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5" yWindow="-15" windowWidth="14400" windowHeight="11670" tabRatio="890"/>
  </bookViews>
  <sheets>
    <sheet name="Front page" sheetId="44" r:id="rId1"/>
    <sheet name="Guidance" sheetId="43" r:id="rId2"/>
    <sheet name="Linked sheet" sheetId="15" r:id="rId3"/>
    <sheet name="All Trusts" sheetId="1" r:id="rId4"/>
    <sheet name="Base MFF calcs" sheetId="5" r:id="rId5"/>
    <sheet name="PCT data" sheetId="6" r:id="rId6"/>
    <sheet name="Staff data" sheetId="9" r:id="rId7"/>
    <sheet name="M&amp;D data" sheetId="13" r:id="rId8"/>
    <sheet name="Buildings data" sheetId="7" r:id="rId9"/>
    <sheet name="Land data" sheetId="8" r:id="rId10"/>
    <sheet name="Other corrections needed" sheetId="12" r:id="rId11"/>
    <sheet name="Mergers &gt;&gt;" sheetId="30" r:id="rId12"/>
    <sheet name="Merged Trusts and MFF year" sheetId="27" r:id="rId13"/>
    <sheet name="Mergers &amp; new Provs to 2013-14" sheetId="28" r:id="rId14"/>
    <sheet name="Mergers for 2014-15 &gt;&gt;" sheetId="31" r:id="rId15"/>
    <sheet name="1.Summary" sheetId="34" r:id="rId16"/>
    <sheet name="Queen Mary to Oxleas" sheetId="35" r:id="rId17"/>
    <sheet name="QMS &amp; QE to Lewisham" sheetId="36" r:id="rId18"/>
    <sheet name="QMS to GSTT" sheetId="37" r:id="rId19"/>
    <sheet name="QMS to Dartford" sheetId="38" r:id="rId20"/>
    <sheet name="QMS &amp; PRUH to Kings" sheetId="39" r:id="rId21"/>
    <sheet name="Index values" sheetId="40" r:id="rId22"/>
    <sheet name="Mergers for 2015-16 &gt;&gt;" sheetId="33" r:id="rId23"/>
    <sheet name="Royal Free + Barnet|Chase Farm" sheetId="18" r:id="rId24"/>
    <sheet name="Mid Staff|Royal Wolverhampton" sheetId="19" r:id="rId25"/>
    <sheet name="Mid Staff|UHNS" sheetId="20" r:id="rId26"/>
    <sheet name="Frimley + Heatherwood|Wexham" sheetId="21" r:id="rId27"/>
    <sheet name="London North West Trust" sheetId="22" r:id="rId28"/>
    <sheet name="RUH Bath + RNHRD" sheetId="23" r:id="rId29"/>
    <sheet name="RJD ERIC 2008|09" sheetId="26" r:id="rId30"/>
    <sheet name="Mergers for 2016-17 &gt;&gt;" sheetId="32" r:id="rId31"/>
    <sheet name="Chelsea Westminster+West Midsx" sheetId="24" r:id="rId32"/>
    <sheet name="South Devon + Torbay|Sthn Devon" sheetId="25" r:id="rId33"/>
    <sheet name="2014-15 MFF Payment values" sheetId="29" r:id="rId34"/>
  </sheets>
  <externalReferences>
    <externalReference r:id="rId35"/>
    <externalReference r:id="rId36"/>
    <externalReference r:id="rId37"/>
    <externalReference r:id="rId38"/>
  </externalReferences>
  <definedNames>
    <definedName name="____net1" localSheetId="0" hidden="1">{"NET",#N/A,FALSE,"401C11"}</definedName>
    <definedName name="____net1" hidden="1">{"NET",#N/A,FALSE,"401C11"}</definedName>
    <definedName name="__123Graph_A" hidden="1">'[1]2002PCTs'!#REF!</definedName>
    <definedName name="__123Graph_B" hidden="1">[2]Dnurse!#REF!</definedName>
    <definedName name="__123Graph_C" hidden="1">[2]Dnurse!#REF!</definedName>
    <definedName name="__123Graph_X" hidden="1">[2]Dnurse!#REF!</definedName>
    <definedName name="__net1" localSheetId="0" hidden="1">{"NET",#N/A,FALSE,"401C11"}</definedName>
    <definedName name="__net1" hidden="1">{"NET",#N/A,FALSE,"401C11"}</definedName>
    <definedName name="_1_0__123Grap" hidden="1">'[3]#REF'!#REF!</definedName>
    <definedName name="_1_123Grap" hidden="1">'[4]#REF'!#REF!</definedName>
    <definedName name="_2_0__123Grap" hidden="1">'[4]#REF'!#REF!</definedName>
    <definedName name="_2_123Grap" hidden="1">'[2]#REF'!#REF!</definedName>
    <definedName name="_3_0_S" hidden="1">'[3]#REF'!#REF!</definedName>
    <definedName name="_3_123Grap" hidden="1">'[4]#REF'!#REF!</definedName>
    <definedName name="_34_123Grap" hidden="1">'[4]#REF'!#REF!</definedName>
    <definedName name="_42S" hidden="1">'[4]#REF'!#REF!</definedName>
    <definedName name="_4S" hidden="1">'[4]#REF'!#REF!</definedName>
    <definedName name="_5_0__123Grap" hidden="1">'[4]#REF'!#REF!</definedName>
    <definedName name="_6_0_S" hidden="1">'[4]#REF'!#REF!</definedName>
    <definedName name="_6_123Grap" hidden="1">'[2]#REF'!#REF!</definedName>
    <definedName name="_8_123Grap" hidden="1">'[4]#REF'!#REF!</definedName>
    <definedName name="_8S" hidden="1">'[2]#REF'!#REF!</definedName>
    <definedName name="_xlnm._FilterDatabase" localSheetId="3" hidden="1">'All Trusts'!$A$6:$U$261</definedName>
    <definedName name="_xlnm._FilterDatabase" localSheetId="4" hidden="1">'Base MFF calcs'!$A$6:$I$258</definedName>
    <definedName name="_xlnm._FilterDatabase" localSheetId="8" hidden="1">'Buildings data'!$A$1:$L$755</definedName>
    <definedName name="_xlnm._FilterDatabase" localSheetId="9" hidden="1">'Land data'!$A$1:$J$234</definedName>
    <definedName name="_xlnm._FilterDatabase" localSheetId="2" hidden="1">'Linked sheet'!$A$3:$D$241</definedName>
    <definedName name="_xlnm._FilterDatabase" localSheetId="7" hidden="1">'M&amp;D data'!$B$12:$G$234</definedName>
    <definedName name="_xlnm._FilterDatabase" localSheetId="12" hidden="1">'Merged Trusts and MFF year'!$A$1:$D$24</definedName>
    <definedName name="_xlnm._FilterDatabase" localSheetId="5" hidden="1">'PCT data'!$A$1:$R$154</definedName>
    <definedName name="_xlnm._FilterDatabase" localSheetId="6" hidden="1">'Staff data'!$A$1:$O$755</definedName>
    <definedName name="_Key1" hidden="1">'[2]#REF'!#REF!</definedName>
    <definedName name="_net1" localSheetId="0" hidden="1">{"NET",#N/A,FALSE,"401C11"}</definedName>
    <definedName name="_net1" hidden="1">{"NET",#N/A,FALSE,"401C11"}</definedName>
    <definedName name="_Order1" hidden="1">0</definedName>
    <definedName name="_Sort" hidden="1">[2]ComPsy!#REF!</definedName>
    <definedName name="a" localSheetId="0" hidden="1">{"CHARGE",#N/A,FALSE,"401C11"}</definedName>
    <definedName name="a" hidden="1">{"CHARGE",#N/A,FALSE,"401C11"}</definedName>
    <definedName name="aa" localSheetId="0" hidden="1">{"CHARGE",#N/A,FALSE,"401C11"}</definedName>
    <definedName name="aa" hidden="1">{"CHARGE",#N/A,FALSE,"401C11"}</definedName>
    <definedName name="aaa" localSheetId="0" hidden="1">{"CHARGE",#N/A,FALSE,"401C11"}</definedName>
    <definedName name="aaa" hidden="1">{"CHARGE",#N/A,FALSE,"401C11"}</definedName>
    <definedName name="aaaa" localSheetId="0" hidden="1">{"CHARGE",#N/A,FALSE,"401C11"}</definedName>
    <definedName name="aaaa" hidden="1">{"CHARGE",#N/A,FALSE,"401C11"}</definedName>
    <definedName name="adbr" localSheetId="0" hidden="1">{"CHARGE",#N/A,FALSE,"401C11"}</definedName>
    <definedName name="adbr" hidden="1">{"CHARGE",#N/A,FALSE,"401C11"}</definedName>
    <definedName name="b" localSheetId="0" hidden="1">{"CHARGE",#N/A,FALSE,"401C11"}</definedName>
    <definedName name="b" hidden="1">{"CHARGE",#N/A,FALSE,"401C11"}</definedName>
    <definedName name="BMGHIndex" hidden="1">"O"</definedName>
    <definedName name="Building_Weight">'Base MFF calcs'!$G$4</definedName>
    <definedName name="change1" localSheetId="0" hidden="1">{"CHARGE",#N/A,FALSE,"401C11"}</definedName>
    <definedName name="change1" hidden="1">{"CHARGE",#N/A,FALSE,"401C11"}</definedName>
    <definedName name="charge" localSheetId="0" hidden="1">{"CHARGE",#N/A,FALSE,"401C11"}</definedName>
    <definedName name="charge" hidden="1">{"CHARGE",#N/A,FALSE,"401C11"}</definedName>
    <definedName name="dog" localSheetId="0" hidden="1">{"NET",#N/A,FALSE,"401C11"}</definedName>
    <definedName name="dog" hidden="1">{"NET",#N/A,FALSE,"401C11"}</definedName>
    <definedName name="EV__LASTREFTIME__" hidden="1">40339.4799074074</definedName>
    <definedName name="Expired" hidden="1">FALSE</definedName>
    <definedName name="gfff" localSheetId="0" hidden="1">{"CHARGE",#N/A,FALSE,"401C11"}</definedName>
    <definedName name="gfff" hidden="1">{"CHARGE",#N/A,FALSE,"401C11"}</definedName>
    <definedName name="gross" localSheetId="0" hidden="1">{"GROSS",#N/A,FALSE,"401C11"}</definedName>
    <definedName name="gross" hidden="1">{"GROSS",#N/A,FALSE,"401C11"}</definedName>
    <definedName name="gross1" localSheetId="0" hidden="1">{"GROSS",#N/A,FALSE,"401C11"}</definedName>
    <definedName name="gross1" hidden="1">{"GROSS",#N/A,FALSE,"401C11"}</definedName>
    <definedName name="hasdfjklhklj" localSheetId="0" hidden="1">{"NET",#N/A,FALSE,"401C11"}</definedName>
    <definedName name="hasdfjklhklj" hidden="1">{"NET",#N/A,FALSE,"401C11"}</definedName>
    <definedName name="help" localSheetId="0" hidden="1">{"CHARGE",#N/A,FALSE,"401C11"}</definedName>
    <definedName name="help" hidden="1">{"CHARGE",#N/A,FALSE,"401C11"}</definedName>
    <definedName name="hghghhj" localSheetId="0" hidden="1">{"CHARGE",#N/A,FALSE,"401C11"}</definedName>
    <definedName name="hghghhj" hidden="1">{"CHARGE",#N/A,FALSE,"401C11"}</definedName>
    <definedName name="HTML_CodePage" hidden="1">1252</definedName>
    <definedName name="HTML_Control" localSheetId="0" hidden="1">{"'Trust by name'!$A$6:$E$350","'Trust by name'!$A$1:$D$348"}</definedName>
    <definedName name="HTML_Control" hidden="1">{"'Trust by name'!$A$6:$E$350","'Trust by name'!$A$1:$D$348"}</definedName>
    <definedName name="HTML_Description" hidden="1">""</definedName>
    <definedName name="HTML_Email" hidden="1">""</definedName>
    <definedName name="HTML_Header" hidden="1">"Trust by name"</definedName>
    <definedName name="HTML_LastUpdate" hidden="1">"22/03/2001"</definedName>
    <definedName name="HTML_LineAfter" hidden="1">FALSE</definedName>
    <definedName name="HTML_LineBefore" hidden="1">FALSE</definedName>
    <definedName name="HTML_Name" hidden="1">"OISIII"</definedName>
    <definedName name="HTML_OBDlg2" hidden="1">TRUE</definedName>
    <definedName name="HTML_OBDlg4" hidden="1">TRUE</definedName>
    <definedName name="HTML_OS" hidden="1">0</definedName>
    <definedName name="HTML_PathFile" hidden="1">"G:\ACTIVITY\HELP\DTPANIC\2001-02\MyHTML.htm"</definedName>
    <definedName name="HTML_Title" hidden="1">"Section 1"</definedName>
    <definedName name="JFELL" hidden="1">#REF!</definedName>
    <definedName name="Land_Weight">'Base MFF calcs'!$H$4</definedName>
    <definedName name="Lowest_Underlying_MFF">'All Trusts'!$D$3</definedName>
    <definedName name="MFF_2014_15">'2014-15 MFF Payment values'!$A$3:$D$248</definedName>
    <definedName name="MnD_Weight">'Base MFF calcs'!$F$4</definedName>
    <definedName name="OISIII" hidden="1">#REF!</definedName>
    <definedName name="Other_Weight">'Base MFF calcs'!$I$4</definedName>
    <definedName name="_xlnm.Print_Area" localSheetId="1">Guidance!$B$1:$E$134</definedName>
    <definedName name="_xlnm.Print_Area" localSheetId="2">'Linked sheet'!$A$1:$D$241</definedName>
    <definedName name="_xlnm.Print_Titles" localSheetId="2">'Linked sheet'!$1:$3</definedName>
    <definedName name="rytry" localSheetId="0" hidden="1">{"NET",#N/A,FALSE,"401C11"}</definedName>
    <definedName name="rytry" hidden="1">{"NET",#N/A,FALSE,"401C11"}</definedName>
    <definedName name="Staff_Weight">'Base MFF calcs'!$E$4</definedName>
    <definedName name="Table3.4" localSheetId="0" hidden="1">{"CHARGE",#N/A,FALSE,"401C11"}</definedName>
    <definedName name="Table3.4" hidden="1">{"CHARGE",#N/A,FALSE,"401C11"}</definedName>
    <definedName name="Test23" localSheetId="0" hidden="1">{"NET",#N/A,FALSE,"401C11"}</definedName>
    <definedName name="Test23" hidden="1">{"NET",#N/A,FALSE,"401C11"}</definedName>
    <definedName name="wert" localSheetId="0" hidden="1">{"GROSS",#N/A,FALSE,"401C11"}</definedName>
    <definedName name="wert" hidden="1">{"GROSS",#N/A,FALSE,"401C11"}</definedName>
    <definedName name="wombat" hidden="1">#REF!</definedName>
    <definedName name="wrn.CHARGE." localSheetId="0" hidden="1">{"CHARGE",#N/A,FALSE,"401C11"}</definedName>
    <definedName name="wrn.CHARGE." hidden="1">{"CHARGE",#N/A,FALSE,"401C11"}</definedName>
    <definedName name="wrn.GROSS." localSheetId="0" hidden="1">{"GROSS",#N/A,FALSE,"401C11"}</definedName>
    <definedName name="wrn.GROSS." hidden="1">{"GROSS",#N/A,FALSE,"401C11"}</definedName>
    <definedName name="wrn.NET." localSheetId="0" hidden="1">{"NET",#N/A,FALSE,"401C11"}</definedName>
    <definedName name="wrn.NET." hidden="1">{"NET",#N/A,FALSE,"401C11"}</definedName>
    <definedName name="xxx" localSheetId="0" hidden="1">{"CHARGE",#N/A,FALSE,"401C11"}</definedName>
    <definedName name="xxx" hidden="1">{"CHARGE",#N/A,FALSE,"401C11"}</definedName>
    <definedName name="yyy" localSheetId="0" hidden="1">{"GROSS",#N/A,FALSE,"401C11"}</definedName>
    <definedName name="yyy" hidden="1">{"GROSS",#N/A,FALSE,"401C11"}</definedName>
    <definedName name="zzz" localSheetId="0" hidden="1">{"NET",#N/A,FALSE,"401C11"}</definedName>
    <definedName name="zzz" hidden="1">{"NET",#N/A,FALSE,"401C11"}</definedName>
  </definedNames>
  <calcPr calcId="145621"/>
</workbook>
</file>

<file path=xl/calcChain.xml><?xml version="1.0" encoding="utf-8"?>
<calcChain xmlns="http://schemas.openxmlformats.org/spreadsheetml/2006/main">
  <c r="B38" i="24" l="1"/>
  <c r="C6" i="12" l="1"/>
  <c r="B6" i="12"/>
  <c r="E25" i="5"/>
  <c r="F25" i="5"/>
  <c r="G25" i="5"/>
  <c r="C4" i="12"/>
  <c r="B4" i="12"/>
  <c r="E101" i="5"/>
  <c r="F101" i="5"/>
  <c r="G101" i="5"/>
  <c r="E258" i="5"/>
  <c r="F258" i="5"/>
  <c r="I258" i="5" s="1"/>
  <c r="D261" i="1" s="1"/>
  <c r="G258" i="5"/>
  <c r="H258" i="5"/>
  <c r="E7" i="5"/>
  <c r="F7" i="5"/>
  <c r="I7" i="5" s="1"/>
  <c r="G7" i="5"/>
  <c r="H7" i="5"/>
  <c r="E8" i="5"/>
  <c r="F8" i="5"/>
  <c r="G8" i="5"/>
  <c r="H8" i="5"/>
  <c r="I8" i="5"/>
  <c r="E9" i="5"/>
  <c r="F9" i="5"/>
  <c r="I9" i="5" s="1"/>
  <c r="G9" i="5"/>
  <c r="H9" i="5"/>
  <c r="E10" i="5"/>
  <c r="F10" i="5"/>
  <c r="G10" i="5"/>
  <c r="H10" i="5"/>
  <c r="I10" i="5"/>
  <c r="E11" i="5"/>
  <c r="F11" i="5"/>
  <c r="I11" i="5" s="1"/>
  <c r="G11" i="5"/>
  <c r="H11" i="5"/>
  <c r="E12" i="5"/>
  <c r="F12" i="5"/>
  <c r="G12" i="5"/>
  <c r="H12" i="5"/>
  <c r="I12" i="5"/>
  <c r="E13" i="5"/>
  <c r="F13" i="5"/>
  <c r="I13" i="5" s="1"/>
  <c r="G13" i="5"/>
  <c r="H13" i="5"/>
  <c r="E14" i="5"/>
  <c r="F14" i="5"/>
  <c r="G14" i="5"/>
  <c r="H14" i="5"/>
  <c r="I14" i="5"/>
  <c r="E15" i="5"/>
  <c r="F15" i="5"/>
  <c r="I15" i="5" s="1"/>
  <c r="G15" i="5"/>
  <c r="H15" i="5"/>
  <c r="E16" i="5"/>
  <c r="F16" i="5"/>
  <c r="G16" i="5"/>
  <c r="H16" i="5"/>
  <c r="I16" i="5"/>
  <c r="E17" i="5"/>
  <c r="F17" i="5"/>
  <c r="G17" i="5"/>
  <c r="H17" i="5"/>
  <c r="I17" i="5"/>
  <c r="E18" i="5"/>
  <c r="F18" i="5"/>
  <c r="G18" i="5"/>
  <c r="H18" i="5"/>
  <c r="I18" i="5" s="1"/>
  <c r="E19" i="5"/>
  <c r="F19" i="5"/>
  <c r="G19" i="5"/>
  <c r="H19" i="5"/>
  <c r="I19" i="5"/>
  <c r="E20" i="5"/>
  <c r="F20" i="5"/>
  <c r="G20" i="5"/>
  <c r="H20" i="5"/>
  <c r="I20" i="5"/>
  <c r="E21" i="5"/>
  <c r="F21" i="5"/>
  <c r="G21" i="5"/>
  <c r="H21" i="5"/>
  <c r="I21" i="5"/>
  <c r="E22" i="5"/>
  <c r="F22" i="5"/>
  <c r="G22" i="5"/>
  <c r="H22" i="5"/>
  <c r="I22" i="5"/>
  <c r="E23" i="5"/>
  <c r="F23" i="5"/>
  <c r="G23" i="5"/>
  <c r="H23" i="5"/>
  <c r="I23" i="5"/>
  <c r="E24" i="5"/>
  <c r="F24" i="5"/>
  <c r="G24" i="5"/>
  <c r="H24" i="5"/>
  <c r="I24" i="5" s="1"/>
  <c r="E26" i="5"/>
  <c r="F26" i="5"/>
  <c r="G26" i="5"/>
  <c r="H26" i="5"/>
  <c r="I26" i="5"/>
  <c r="E27" i="5"/>
  <c r="F27" i="5"/>
  <c r="I27" i="5" s="1"/>
  <c r="G27" i="5"/>
  <c r="H27" i="5"/>
  <c r="E28" i="5"/>
  <c r="F28" i="5"/>
  <c r="G28" i="5"/>
  <c r="H28" i="5"/>
  <c r="I28" i="5"/>
  <c r="E29" i="5"/>
  <c r="F29" i="5"/>
  <c r="I29" i="5" s="1"/>
  <c r="G29" i="5"/>
  <c r="H29" i="5"/>
  <c r="E30" i="5"/>
  <c r="F30" i="5"/>
  <c r="G30" i="5"/>
  <c r="H30" i="5"/>
  <c r="I30" i="5"/>
  <c r="E31" i="5"/>
  <c r="F31" i="5"/>
  <c r="I31" i="5" s="1"/>
  <c r="G31" i="5"/>
  <c r="H31" i="5"/>
  <c r="E32" i="5"/>
  <c r="F32" i="5"/>
  <c r="G32" i="5"/>
  <c r="H32" i="5"/>
  <c r="I32" i="5"/>
  <c r="E33" i="5"/>
  <c r="F33" i="5"/>
  <c r="I33" i="5" s="1"/>
  <c r="G33" i="5"/>
  <c r="H33" i="5"/>
  <c r="E34" i="5"/>
  <c r="F34" i="5"/>
  <c r="G34" i="5"/>
  <c r="H34" i="5"/>
  <c r="I34" i="5"/>
  <c r="E35" i="5"/>
  <c r="F35" i="5"/>
  <c r="I35" i="5" s="1"/>
  <c r="G35" i="5"/>
  <c r="H35" i="5"/>
  <c r="E36" i="5"/>
  <c r="F36" i="5"/>
  <c r="G36" i="5"/>
  <c r="H36" i="5"/>
  <c r="I36" i="5"/>
  <c r="E37" i="5"/>
  <c r="F37" i="5"/>
  <c r="G37" i="5"/>
  <c r="H37" i="5"/>
  <c r="I37" i="5"/>
  <c r="E38" i="5"/>
  <c r="F38" i="5"/>
  <c r="G38" i="5"/>
  <c r="H38" i="5"/>
  <c r="I38" i="5"/>
  <c r="E39" i="5"/>
  <c r="F39" i="5"/>
  <c r="I39" i="5" s="1"/>
  <c r="G39" i="5"/>
  <c r="H39" i="5"/>
  <c r="E40" i="5"/>
  <c r="F40" i="5"/>
  <c r="G40" i="5"/>
  <c r="H40" i="5"/>
  <c r="I40" i="5"/>
  <c r="E41" i="5"/>
  <c r="F41" i="5"/>
  <c r="I41" i="5" s="1"/>
  <c r="G41" i="5"/>
  <c r="H41" i="5"/>
  <c r="E42" i="5"/>
  <c r="F42" i="5"/>
  <c r="G42" i="5"/>
  <c r="H42" i="5"/>
  <c r="I42" i="5"/>
  <c r="E43" i="5"/>
  <c r="F43" i="5"/>
  <c r="I43" i="5" s="1"/>
  <c r="G43" i="5"/>
  <c r="H43" i="5"/>
  <c r="E44" i="5"/>
  <c r="F44" i="5"/>
  <c r="G44" i="5"/>
  <c r="H44" i="5"/>
  <c r="I44" i="5"/>
  <c r="E45" i="5"/>
  <c r="F45" i="5"/>
  <c r="I45" i="5" s="1"/>
  <c r="G45" i="5"/>
  <c r="H45" i="5"/>
  <c r="E46" i="5"/>
  <c r="F46" i="5"/>
  <c r="G46" i="5"/>
  <c r="H46" i="5"/>
  <c r="I46" i="5"/>
  <c r="E47" i="5"/>
  <c r="F47" i="5"/>
  <c r="I47" i="5" s="1"/>
  <c r="G47" i="5"/>
  <c r="H47" i="5"/>
  <c r="E48" i="5"/>
  <c r="F48" i="5"/>
  <c r="G48" i="5"/>
  <c r="H48" i="5"/>
  <c r="I48" i="5"/>
  <c r="E49" i="5"/>
  <c r="F49" i="5"/>
  <c r="I49" i="5" s="1"/>
  <c r="G49" i="5"/>
  <c r="H49" i="5"/>
  <c r="E50" i="5"/>
  <c r="F50" i="5"/>
  <c r="G50" i="5"/>
  <c r="H50" i="5"/>
  <c r="I50" i="5"/>
  <c r="E51" i="5"/>
  <c r="F51" i="5"/>
  <c r="I51" i="5" s="1"/>
  <c r="G51" i="5"/>
  <c r="H51" i="5"/>
  <c r="E52" i="5"/>
  <c r="F52" i="5"/>
  <c r="G52" i="5"/>
  <c r="H52" i="5"/>
  <c r="I52" i="5"/>
  <c r="E53" i="5"/>
  <c r="F53" i="5"/>
  <c r="I53" i="5" s="1"/>
  <c r="G53" i="5"/>
  <c r="H53" i="5"/>
  <c r="E54" i="5"/>
  <c r="F54" i="5"/>
  <c r="G54" i="5"/>
  <c r="H54" i="5"/>
  <c r="I54" i="5"/>
  <c r="E55" i="5"/>
  <c r="F55" i="5"/>
  <c r="I55" i="5" s="1"/>
  <c r="G55" i="5"/>
  <c r="H55" i="5"/>
  <c r="E56" i="5"/>
  <c r="F56" i="5"/>
  <c r="G56" i="5"/>
  <c r="H56" i="5"/>
  <c r="I56" i="5"/>
  <c r="E57" i="5"/>
  <c r="F57" i="5"/>
  <c r="I57" i="5" s="1"/>
  <c r="G57" i="5"/>
  <c r="H57" i="5"/>
  <c r="E58" i="5"/>
  <c r="F58" i="5"/>
  <c r="G58" i="5"/>
  <c r="H58" i="5"/>
  <c r="I58" i="5"/>
  <c r="E59" i="5"/>
  <c r="F59" i="5"/>
  <c r="I59" i="5" s="1"/>
  <c r="G59" i="5"/>
  <c r="H59" i="5"/>
  <c r="E60" i="5"/>
  <c r="F60" i="5"/>
  <c r="G60" i="5"/>
  <c r="H60" i="5"/>
  <c r="I60" i="5"/>
  <c r="E61" i="5"/>
  <c r="F61" i="5"/>
  <c r="I61" i="5" s="1"/>
  <c r="G61" i="5"/>
  <c r="H61" i="5"/>
  <c r="E62" i="5"/>
  <c r="F62" i="5"/>
  <c r="G62" i="5"/>
  <c r="H62" i="5"/>
  <c r="I62" i="5"/>
  <c r="E63" i="5"/>
  <c r="F63" i="5"/>
  <c r="I63" i="5" s="1"/>
  <c r="G63" i="5"/>
  <c r="H63" i="5"/>
  <c r="E64" i="5"/>
  <c r="F64" i="5"/>
  <c r="G64" i="5"/>
  <c r="H64" i="5"/>
  <c r="I64" i="5"/>
  <c r="E65" i="5"/>
  <c r="F65" i="5"/>
  <c r="I65" i="5" s="1"/>
  <c r="G65" i="5"/>
  <c r="H65" i="5"/>
  <c r="E66" i="5"/>
  <c r="F66" i="5"/>
  <c r="G66" i="5"/>
  <c r="H66" i="5"/>
  <c r="I66" i="5"/>
  <c r="E67" i="5"/>
  <c r="F67" i="5"/>
  <c r="I67" i="5" s="1"/>
  <c r="G67" i="5"/>
  <c r="H67" i="5"/>
  <c r="E68" i="5"/>
  <c r="F68" i="5"/>
  <c r="G68" i="5"/>
  <c r="H68" i="5"/>
  <c r="I68" i="5"/>
  <c r="E69" i="5"/>
  <c r="F69" i="5"/>
  <c r="I69" i="5" s="1"/>
  <c r="G69" i="5"/>
  <c r="H69" i="5"/>
  <c r="E70" i="5"/>
  <c r="F70" i="5"/>
  <c r="G70" i="5"/>
  <c r="H70" i="5"/>
  <c r="I70" i="5"/>
  <c r="E71" i="5"/>
  <c r="F71" i="5"/>
  <c r="I71" i="5" s="1"/>
  <c r="G71" i="5"/>
  <c r="H71" i="5"/>
  <c r="E72" i="5"/>
  <c r="F72" i="5"/>
  <c r="G72" i="5"/>
  <c r="H72" i="5"/>
  <c r="I72" i="5"/>
  <c r="E73" i="5"/>
  <c r="F73" i="5"/>
  <c r="I73" i="5" s="1"/>
  <c r="G73" i="5"/>
  <c r="H73" i="5"/>
  <c r="E74" i="5"/>
  <c r="F74" i="5"/>
  <c r="G74" i="5"/>
  <c r="H74" i="5"/>
  <c r="I74" i="5"/>
  <c r="E75" i="5"/>
  <c r="F75" i="5"/>
  <c r="I75" i="5" s="1"/>
  <c r="G75" i="5"/>
  <c r="H75" i="5"/>
  <c r="E76" i="5"/>
  <c r="F76" i="5"/>
  <c r="G76" i="5"/>
  <c r="H76" i="5"/>
  <c r="I76" i="5"/>
  <c r="E77" i="5"/>
  <c r="F77" i="5"/>
  <c r="I77" i="5" s="1"/>
  <c r="G77" i="5"/>
  <c r="H77" i="5"/>
  <c r="E78" i="5"/>
  <c r="F78" i="5"/>
  <c r="G78" i="5"/>
  <c r="H78" i="5"/>
  <c r="I78" i="5"/>
  <c r="E79" i="5"/>
  <c r="F79" i="5"/>
  <c r="I79" i="5" s="1"/>
  <c r="G79" i="5"/>
  <c r="H79" i="5"/>
  <c r="E80" i="5"/>
  <c r="F80" i="5"/>
  <c r="G80" i="5"/>
  <c r="H80" i="5"/>
  <c r="I80" i="5"/>
  <c r="E81" i="5"/>
  <c r="F81" i="5"/>
  <c r="I81" i="5" s="1"/>
  <c r="G81" i="5"/>
  <c r="H81" i="5"/>
  <c r="E82" i="5"/>
  <c r="F82" i="5"/>
  <c r="G82" i="5"/>
  <c r="H82" i="5"/>
  <c r="I82" i="5"/>
  <c r="E83" i="5"/>
  <c r="F83" i="5"/>
  <c r="I83" i="5" s="1"/>
  <c r="G83" i="5"/>
  <c r="H83" i="5"/>
  <c r="E84" i="5"/>
  <c r="F84" i="5"/>
  <c r="G84" i="5"/>
  <c r="H84" i="5"/>
  <c r="I84" i="5"/>
  <c r="E85" i="5"/>
  <c r="F85" i="5"/>
  <c r="I85" i="5" s="1"/>
  <c r="G85" i="5"/>
  <c r="H85" i="5"/>
  <c r="E86" i="5"/>
  <c r="F86" i="5"/>
  <c r="G86" i="5"/>
  <c r="H86" i="5"/>
  <c r="I86" i="5"/>
  <c r="E87" i="5"/>
  <c r="F87" i="5"/>
  <c r="I87" i="5" s="1"/>
  <c r="G87" i="5"/>
  <c r="H87" i="5"/>
  <c r="E88" i="5"/>
  <c r="F88" i="5"/>
  <c r="G88" i="5"/>
  <c r="H88" i="5"/>
  <c r="I88" i="5"/>
  <c r="E89" i="5"/>
  <c r="F89" i="5"/>
  <c r="I89" i="5" s="1"/>
  <c r="G89" i="5"/>
  <c r="H89" i="5"/>
  <c r="E90" i="5"/>
  <c r="F90" i="5"/>
  <c r="G90" i="5"/>
  <c r="H90" i="5"/>
  <c r="I90" i="5"/>
  <c r="E91" i="5"/>
  <c r="F91" i="5"/>
  <c r="I91" i="5" s="1"/>
  <c r="G91" i="5"/>
  <c r="H91" i="5"/>
  <c r="E92" i="5"/>
  <c r="F92" i="5"/>
  <c r="G92" i="5"/>
  <c r="H92" i="5"/>
  <c r="I92" i="5"/>
  <c r="E93" i="5"/>
  <c r="F93" i="5"/>
  <c r="I93" i="5" s="1"/>
  <c r="G93" i="5"/>
  <c r="H93" i="5"/>
  <c r="E94" i="5"/>
  <c r="F94" i="5"/>
  <c r="G94" i="5"/>
  <c r="H94" i="5"/>
  <c r="I94" i="5"/>
  <c r="E95" i="5"/>
  <c r="F95" i="5"/>
  <c r="I95" i="5" s="1"/>
  <c r="G95" i="5"/>
  <c r="H95" i="5"/>
  <c r="E96" i="5"/>
  <c r="F96" i="5"/>
  <c r="G96" i="5"/>
  <c r="H96" i="5"/>
  <c r="I96" i="5"/>
  <c r="E97" i="5"/>
  <c r="F97" i="5"/>
  <c r="I97" i="5" s="1"/>
  <c r="G97" i="5"/>
  <c r="H97" i="5"/>
  <c r="E98" i="5"/>
  <c r="F98" i="5"/>
  <c r="G98" i="5"/>
  <c r="H98" i="5"/>
  <c r="I98" i="5"/>
  <c r="E99" i="5"/>
  <c r="F99" i="5"/>
  <c r="I99" i="5" s="1"/>
  <c r="G99" i="5"/>
  <c r="H99" i="5"/>
  <c r="E100" i="5"/>
  <c r="F100" i="5"/>
  <c r="G100" i="5"/>
  <c r="H100" i="5"/>
  <c r="I100" i="5"/>
  <c r="E102" i="5"/>
  <c r="F102" i="5"/>
  <c r="I102" i="5" s="1"/>
  <c r="G102" i="5"/>
  <c r="H102" i="5"/>
  <c r="E103" i="5"/>
  <c r="F103" i="5"/>
  <c r="G103" i="5"/>
  <c r="H103" i="5"/>
  <c r="I103" i="5"/>
  <c r="E104" i="5"/>
  <c r="F104" i="5"/>
  <c r="I104" i="5" s="1"/>
  <c r="G104" i="5"/>
  <c r="H104" i="5"/>
  <c r="E105" i="5"/>
  <c r="F105" i="5"/>
  <c r="G105" i="5"/>
  <c r="H105" i="5"/>
  <c r="I105" i="5"/>
  <c r="E106" i="5"/>
  <c r="F106" i="5"/>
  <c r="I106" i="5" s="1"/>
  <c r="G106" i="5"/>
  <c r="H106" i="5"/>
  <c r="E107" i="5"/>
  <c r="F107" i="5"/>
  <c r="G107" i="5"/>
  <c r="H107" i="5"/>
  <c r="I107" i="5"/>
  <c r="E108" i="5"/>
  <c r="F108" i="5"/>
  <c r="I108" i="5" s="1"/>
  <c r="G108" i="5"/>
  <c r="H108" i="5"/>
  <c r="E109" i="5"/>
  <c r="F109" i="5"/>
  <c r="G109" i="5"/>
  <c r="H109" i="5"/>
  <c r="I109" i="5"/>
  <c r="E110" i="5"/>
  <c r="F110" i="5"/>
  <c r="I110" i="5" s="1"/>
  <c r="G110" i="5"/>
  <c r="H110" i="5"/>
  <c r="E111" i="5"/>
  <c r="F111" i="5"/>
  <c r="G111" i="5"/>
  <c r="H111" i="5"/>
  <c r="I111" i="5"/>
  <c r="E112" i="5"/>
  <c r="F112" i="5"/>
  <c r="I112" i="5" s="1"/>
  <c r="G112" i="5"/>
  <c r="H112" i="5"/>
  <c r="E113" i="5"/>
  <c r="F113" i="5"/>
  <c r="G113" i="5"/>
  <c r="H113" i="5"/>
  <c r="I113" i="5"/>
  <c r="E114" i="5"/>
  <c r="F114" i="5"/>
  <c r="I114" i="5" s="1"/>
  <c r="G114" i="5"/>
  <c r="H114" i="5"/>
  <c r="E115" i="5"/>
  <c r="F115" i="5"/>
  <c r="G115" i="5"/>
  <c r="H115" i="5"/>
  <c r="I115" i="5"/>
  <c r="E116" i="5"/>
  <c r="F116" i="5"/>
  <c r="I116" i="5" s="1"/>
  <c r="G116" i="5"/>
  <c r="H116" i="5"/>
  <c r="E117" i="5"/>
  <c r="F117" i="5"/>
  <c r="G117" i="5"/>
  <c r="H117" i="5"/>
  <c r="I117" i="5"/>
  <c r="E118" i="5"/>
  <c r="F118" i="5"/>
  <c r="I118" i="5" s="1"/>
  <c r="G118" i="5"/>
  <c r="H118" i="5"/>
  <c r="E119" i="5"/>
  <c r="F119" i="5"/>
  <c r="G119" i="5"/>
  <c r="H119" i="5"/>
  <c r="I119" i="5"/>
  <c r="E120" i="5"/>
  <c r="F120" i="5"/>
  <c r="I120" i="5" s="1"/>
  <c r="G120" i="5"/>
  <c r="H120" i="5"/>
  <c r="E121" i="5"/>
  <c r="F121" i="5"/>
  <c r="G121" i="5"/>
  <c r="H121" i="5"/>
  <c r="I121" i="5"/>
  <c r="E122" i="5"/>
  <c r="F122" i="5"/>
  <c r="I122" i="5" s="1"/>
  <c r="G122" i="5"/>
  <c r="H122" i="5"/>
  <c r="E123" i="5"/>
  <c r="F123" i="5"/>
  <c r="G123" i="5"/>
  <c r="H123" i="5"/>
  <c r="I123" i="5"/>
  <c r="E124" i="5"/>
  <c r="F124" i="5"/>
  <c r="I124" i="5" s="1"/>
  <c r="G124" i="5"/>
  <c r="H124" i="5"/>
  <c r="E125" i="5"/>
  <c r="F125" i="5"/>
  <c r="G125" i="5"/>
  <c r="H125" i="5"/>
  <c r="I125" i="5"/>
  <c r="E126" i="5"/>
  <c r="F126" i="5"/>
  <c r="I126" i="5" s="1"/>
  <c r="G126" i="5"/>
  <c r="H126" i="5"/>
  <c r="E127" i="5"/>
  <c r="F127" i="5"/>
  <c r="G127" i="5"/>
  <c r="H127" i="5"/>
  <c r="I127" i="5"/>
  <c r="E128" i="5"/>
  <c r="F128" i="5"/>
  <c r="I128" i="5" s="1"/>
  <c r="G128" i="5"/>
  <c r="H128" i="5"/>
  <c r="E129" i="5"/>
  <c r="F129" i="5"/>
  <c r="G129" i="5"/>
  <c r="H129" i="5"/>
  <c r="I129" i="5"/>
  <c r="E130" i="5"/>
  <c r="F130" i="5"/>
  <c r="I130" i="5" s="1"/>
  <c r="G130" i="5"/>
  <c r="H130" i="5"/>
  <c r="E131" i="5"/>
  <c r="F131" i="5"/>
  <c r="G131" i="5"/>
  <c r="H131" i="5"/>
  <c r="I131" i="5"/>
  <c r="E132" i="5"/>
  <c r="F132" i="5"/>
  <c r="I132" i="5" s="1"/>
  <c r="G132" i="5"/>
  <c r="H132" i="5"/>
  <c r="E133" i="5"/>
  <c r="F133" i="5"/>
  <c r="G133" i="5"/>
  <c r="H133" i="5"/>
  <c r="I133" i="5"/>
  <c r="E134" i="5"/>
  <c r="F134" i="5"/>
  <c r="I134" i="5" s="1"/>
  <c r="G134" i="5"/>
  <c r="H134" i="5"/>
  <c r="E135" i="5"/>
  <c r="F135" i="5"/>
  <c r="G135" i="5"/>
  <c r="H135" i="5"/>
  <c r="I135" i="5"/>
  <c r="E136" i="5"/>
  <c r="F136" i="5"/>
  <c r="I136" i="5" s="1"/>
  <c r="G136" i="5"/>
  <c r="H136" i="5"/>
  <c r="E137" i="5"/>
  <c r="F137" i="5"/>
  <c r="G137" i="5"/>
  <c r="H137" i="5"/>
  <c r="I137" i="5"/>
  <c r="E138" i="5"/>
  <c r="F138" i="5"/>
  <c r="I138" i="5" s="1"/>
  <c r="G138" i="5"/>
  <c r="H138" i="5"/>
  <c r="E139" i="5"/>
  <c r="F139" i="5"/>
  <c r="G139" i="5"/>
  <c r="H139" i="5"/>
  <c r="I139" i="5"/>
  <c r="E140" i="5"/>
  <c r="F140" i="5"/>
  <c r="I140" i="5" s="1"/>
  <c r="G140" i="5"/>
  <c r="H140" i="5"/>
  <c r="E141" i="5"/>
  <c r="F141" i="5"/>
  <c r="G141" i="5"/>
  <c r="H141" i="5"/>
  <c r="I141" i="5"/>
  <c r="E142" i="5"/>
  <c r="F142" i="5"/>
  <c r="I142" i="5" s="1"/>
  <c r="G142" i="5"/>
  <c r="H142" i="5"/>
  <c r="E143" i="5"/>
  <c r="F143" i="5"/>
  <c r="G143" i="5"/>
  <c r="H143" i="5"/>
  <c r="I143" i="5"/>
  <c r="E144" i="5"/>
  <c r="F144" i="5"/>
  <c r="I144" i="5" s="1"/>
  <c r="G144" i="5"/>
  <c r="H144" i="5"/>
  <c r="E145" i="5"/>
  <c r="F145" i="5"/>
  <c r="G145" i="5"/>
  <c r="H145" i="5"/>
  <c r="I145" i="5"/>
  <c r="E146" i="5"/>
  <c r="F146" i="5"/>
  <c r="I146" i="5" s="1"/>
  <c r="G146" i="5"/>
  <c r="H146" i="5"/>
  <c r="E147" i="5"/>
  <c r="F147" i="5"/>
  <c r="G147" i="5"/>
  <c r="H147" i="5"/>
  <c r="I147" i="5"/>
  <c r="E148" i="5"/>
  <c r="F148" i="5"/>
  <c r="I148" i="5" s="1"/>
  <c r="G148" i="5"/>
  <c r="H148" i="5"/>
  <c r="E149" i="5"/>
  <c r="F149" i="5"/>
  <c r="G149" i="5"/>
  <c r="H149" i="5"/>
  <c r="I149" i="5"/>
  <c r="E150" i="5"/>
  <c r="F150" i="5"/>
  <c r="I150" i="5" s="1"/>
  <c r="G150" i="5"/>
  <c r="H150" i="5"/>
  <c r="E151" i="5"/>
  <c r="F151" i="5"/>
  <c r="G151" i="5"/>
  <c r="H151" i="5"/>
  <c r="I151" i="5"/>
  <c r="E152" i="5"/>
  <c r="F152" i="5"/>
  <c r="I152" i="5" s="1"/>
  <c r="G152" i="5"/>
  <c r="H152" i="5"/>
  <c r="E153" i="5"/>
  <c r="F153" i="5"/>
  <c r="G153" i="5"/>
  <c r="H153" i="5"/>
  <c r="I153" i="5"/>
  <c r="E154" i="5"/>
  <c r="F154" i="5"/>
  <c r="I154" i="5" s="1"/>
  <c r="G154" i="5"/>
  <c r="H154" i="5"/>
  <c r="E155" i="5"/>
  <c r="F155" i="5"/>
  <c r="G155" i="5"/>
  <c r="H155" i="5"/>
  <c r="I155" i="5"/>
  <c r="E156" i="5"/>
  <c r="F156" i="5"/>
  <c r="I156" i="5" s="1"/>
  <c r="G156" i="5"/>
  <c r="H156" i="5"/>
  <c r="E157" i="5"/>
  <c r="F157" i="5"/>
  <c r="G157" i="5"/>
  <c r="H157" i="5"/>
  <c r="I157" i="5"/>
  <c r="E158" i="5"/>
  <c r="F158" i="5"/>
  <c r="I158" i="5" s="1"/>
  <c r="G158" i="5"/>
  <c r="H158" i="5"/>
  <c r="E159" i="5"/>
  <c r="F159" i="5"/>
  <c r="G159" i="5"/>
  <c r="H159" i="5"/>
  <c r="I159" i="5"/>
  <c r="E160" i="5"/>
  <c r="F160" i="5"/>
  <c r="I160" i="5" s="1"/>
  <c r="G160" i="5"/>
  <c r="H160" i="5"/>
  <c r="E161" i="5"/>
  <c r="F161" i="5"/>
  <c r="G161" i="5"/>
  <c r="H161" i="5"/>
  <c r="I161" i="5"/>
  <c r="E162" i="5"/>
  <c r="F162" i="5"/>
  <c r="I162" i="5" s="1"/>
  <c r="G162" i="5"/>
  <c r="H162" i="5"/>
  <c r="E163" i="5"/>
  <c r="F163" i="5"/>
  <c r="G163" i="5"/>
  <c r="H163" i="5"/>
  <c r="I163" i="5"/>
  <c r="E164" i="5"/>
  <c r="F164" i="5"/>
  <c r="I164" i="5" s="1"/>
  <c r="G164" i="5"/>
  <c r="H164" i="5"/>
  <c r="E165" i="5"/>
  <c r="F165" i="5"/>
  <c r="G165" i="5"/>
  <c r="H165" i="5"/>
  <c r="I165" i="5"/>
  <c r="E166" i="5"/>
  <c r="F166" i="5"/>
  <c r="I166" i="5" s="1"/>
  <c r="G166" i="5"/>
  <c r="H166" i="5"/>
  <c r="E167" i="5"/>
  <c r="F167" i="5"/>
  <c r="G167" i="5"/>
  <c r="H167" i="5"/>
  <c r="I167" i="5"/>
  <c r="E168" i="5"/>
  <c r="F168" i="5"/>
  <c r="I168" i="5" s="1"/>
  <c r="G168" i="5"/>
  <c r="H168" i="5"/>
  <c r="E169" i="5"/>
  <c r="F169" i="5"/>
  <c r="G169" i="5"/>
  <c r="H169" i="5"/>
  <c r="I169" i="5"/>
  <c r="E170" i="5"/>
  <c r="F170" i="5"/>
  <c r="I170" i="5" s="1"/>
  <c r="G170" i="5"/>
  <c r="H170" i="5"/>
  <c r="E171" i="5"/>
  <c r="F171" i="5"/>
  <c r="G171" i="5"/>
  <c r="H171" i="5"/>
  <c r="I171" i="5"/>
  <c r="E172" i="5"/>
  <c r="F172" i="5"/>
  <c r="I172" i="5" s="1"/>
  <c r="G172" i="5"/>
  <c r="H172" i="5"/>
  <c r="E173" i="5"/>
  <c r="F173" i="5"/>
  <c r="G173" i="5"/>
  <c r="H173" i="5"/>
  <c r="I173" i="5"/>
  <c r="E174" i="5"/>
  <c r="F174" i="5"/>
  <c r="I174" i="5" s="1"/>
  <c r="G174" i="5"/>
  <c r="H174" i="5"/>
  <c r="E175" i="5"/>
  <c r="F175" i="5"/>
  <c r="G175" i="5"/>
  <c r="H175" i="5"/>
  <c r="I175" i="5"/>
  <c r="E176" i="5"/>
  <c r="F176" i="5"/>
  <c r="I176" i="5" s="1"/>
  <c r="G176" i="5"/>
  <c r="H176" i="5"/>
  <c r="E177" i="5"/>
  <c r="F177" i="5"/>
  <c r="G177" i="5"/>
  <c r="H177" i="5"/>
  <c r="I177" i="5"/>
  <c r="E178" i="5"/>
  <c r="F178" i="5"/>
  <c r="I178" i="5" s="1"/>
  <c r="G178" i="5"/>
  <c r="H178" i="5"/>
  <c r="E179" i="5"/>
  <c r="F179" i="5"/>
  <c r="G179" i="5"/>
  <c r="H179" i="5"/>
  <c r="I179" i="5"/>
  <c r="E180" i="5"/>
  <c r="F180" i="5"/>
  <c r="I180" i="5" s="1"/>
  <c r="G180" i="5"/>
  <c r="H180" i="5"/>
  <c r="E181" i="5"/>
  <c r="F181" i="5"/>
  <c r="G181" i="5"/>
  <c r="H181" i="5"/>
  <c r="I181" i="5"/>
  <c r="E182" i="5"/>
  <c r="F182" i="5"/>
  <c r="I182" i="5" s="1"/>
  <c r="G182" i="5"/>
  <c r="H182" i="5"/>
  <c r="E183" i="5"/>
  <c r="F183" i="5"/>
  <c r="G183" i="5"/>
  <c r="H183" i="5"/>
  <c r="I183" i="5"/>
  <c r="E184" i="5"/>
  <c r="F184" i="5"/>
  <c r="I184" i="5" s="1"/>
  <c r="G184" i="5"/>
  <c r="H184" i="5"/>
  <c r="E185" i="5"/>
  <c r="F185" i="5"/>
  <c r="G185" i="5"/>
  <c r="H185" i="5"/>
  <c r="I185" i="5"/>
  <c r="E186" i="5"/>
  <c r="F186" i="5"/>
  <c r="I186" i="5" s="1"/>
  <c r="G186" i="5"/>
  <c r="H186" i="5"/>
  <c r="E187" i="5"/>
  <c r="F187" i="5"/>
  <c r="G187" i="5"/>
  <c r="H187" i="5"/>
  <c r="I187" i="5"/>
  <c r="E188" i="5"/>
  <c r="F188" i="5"/>
  <c r="G188" i="5"/>
  <c r="H188" i="5"/>
  <c r="E189" i="5"/>
  <c r="F189" i="5"/>
  <c r="G189" i="5"/>
  <c r="H189" i="5"/>
  <c r="I189" i="5"/>
  <c r="E190" i="5"/>
  <c r="F190" i="5"/>
  <c r="G190" i="5"/>
  <c r="H190" i="5"/>
  <c r="E191" i="5"/>
  <c r="F191" i="5"/>
  <c r="G191" i="5"/>
  <c r="H191" i="5"/>
  <c r="I191" i="5"/>
  <c r="E192" i="5"/>
  <c r="F192" i="5"/>
  <c r="G192" i="5"/>
  <c r="H192" i="5"/>
  <c r="E193" i="5"/>
  <c r="F193" i="5"/>
  <c r="G193" i="5"/>
  <c r="H193" i="5"/>
  <c r="I193" i="5"/>
  <c r="E194" i="5"/>
  <c r="F194" i="5"/>
  <c r="G194" i="5"/>
  <c r="H194" i="5"/>
  <c r="I194" i="5" s="1"/>
  <c r="D221" i="1" s="1"/>
  <c r="E195" i="5"/>
  <c r="F195" i="5"/>
  <c r="G195" i="5"/>
  <c r="H195" i="5"/>
  <c r="I195" i="5"/>
  <c r="E196" i="5"/>
  <c r="F196" i="5"/>
  <c r="G196" i="5"/>
  <c r="H196" i="5"/>
  <c r="I196" i="5"/>
  <c r="E197" i="5"/>
  <c r="F197" i="5"/>
  <c r="G197" i="5"/>
  <c r="H197" i="5"/>
  <c r="I197" i="5"/>
  <c r="E198" i="5"/>
  <c r="F198" i="5"/>
  <c r="G198" i="5"/>
  <c r="H198" i="5"/>
  <c r="I198" i="5"/>
  <c r="E199" i="5"/>
  <c r="F199" i="5"/>
  <c r="G199" i="5"/>
  <c r="H199" i="5"/>
  <c r="I199" i="5"/>
  <c r="E200" i="5"/>
  <c r="F200" i="5"/>
  <c r="G200" i="5"/>
  <c r="H200" i="5"/>
  <c r="I200" i="5"/>
  <c r="E201" i="5"/>
  <c r="F201" i="5"/>
  <c r="G201" i="5"/>
  <c r="H201" i="5"/>
  <c r="I201" i="5"/>
  <c r="E202" i="5"/>
  <c r="F202" i="5"/>
  <c r="G202" i="5"/>
  <c r="H202" i="5"/>
  <c r="I202" i="5"/>
  <c r="E203" i="5"/>
  <c r="F203" i="5"/>
  <c r="G203" i="5"/>
  <c r="H203" i="5"/>
  <c r="I203" i="5"/>
  <c r="E204" i="5"/>
  <c r="F204" i="5"/>
  <c r="G204" i="5"/>
  <c r="H204" i="5"/>
  <c r="I204" i="5"/>
  <c r="E205" i="5"/>
  <c r="F205" i="5"/>
  <c r="G205" i="5"/>
  <c r="H205" i="5"/>
  <c r="I205" i="5"/>
  <c r="E206" i="5"/>
  <c r="F206" i="5"/>
  <c r="G206" i="5"/>
  <c r="H206" i="5"/>
  <c r="I206" i="5"/>
  <c r="E207" i="5"/>
  <c r="F207" i="5"/>
  <c r="G207" i="5"/>
  <c r="H207" i="5"/>
  <c r="I207" i="5"/>
  <c r="E208" i="5"/>
  <c r="F208" i="5"/>
  <c r="G208" i="5"/>
  <c r="H208" i="5"/>
  <c r="I208" i="5"/>
  <c r="E209" i="5"/>
  <c r="F209" i="5"/>
  <c r="G209" i="5"/>
  <c r="H209" i="5"/>
  <c r="I209" i="5"/>
  <c r="E210" i="5"/>
  <c r="F210" i="5"/>
  <c r="G210" i="5"/>
  <c r="H210" i="5"/>
  <c r="I210" i="5"/>
  <c r="E211" i="5"/>
  <c r="F211" i="5"/>
  <c r="G211" i="5"/>
  <c r="H211" i="5"/>
  <c r="I211" i="5"/>
  <c r="E212" i="5"/>
  <c r="F212" i="5"/>
  <c r="G212" i="5"/>
  <c r="H212" i="5"/>
  <c r="I212" i="5"/>
  <c r="E213" i="5"/>
  <c r="F213" i="5"/>
  <c r="G213" i="5"/>
  <c r="H213" i="5"/>
  <c r="I213" i="5"/>
  <c r="E214" i="5"/>
  <c r="F214" i="5"/>
  <c r="G214" i="5"/>
  <c r="H214" i="5"/>
  <c r="I214" i="5"/>
  <c r="E215" i="5"/>
  <c r="F215" i="5"/>
  <c r="G215" i="5"/>
  <c r="H215" i="5"/>
  <c r="I215" i="5"/>
  <c r="E216" i="5"/>
  <c r="F216" i="5"/>
  <c r="G216" i="5"/>
  <c r="H216" i="5"/>
  <c r="I216" i="5"/>
  <c r="E217" i="5"/>
  <c r="F217" i="5"/>
  <c r="G217" i="5"/>
  <c r="H217" i="5"/>
  <c r="I217" i="5"/>
  <c r="E218" i="5"/>
  <c r="F218" i="5"/>
  <c r="G218" i="5"/>
  <c r="H218" i="5"/>
  <c r="I218" i="5"/>
  <c r="E219" i="5"/>
  <c r="F219" i="5"/>
  <c r="G219" i="5"/>
  <c r="H219" i="5"/>
  <c r="I219" i="5"/>
  <c r="E220" i="5"/>
  <c r="F220" i="5"/>
  <c r="G220" i="5"/>
  <c r="H220" i="5"/>
  <c r="I220" i="5"/>
  <c r="E221" i="5"/>
  <c r="F221" i="5"/>
  <c r="I221" i="5" s="1"/>
  <c r="D251" i="1" s="1"/>
  <c r="G221" i="5"/>
  <c r="H221" i="5"/>
  <c r="E222" i="5"/>
  <c r="F222" i="5"/>
  <c r="G222" i="5"/>
  <c r="H222" i="5"/>
  <c r="I222" i="5"/>
  <c r="E223" i="5"/>
  <c r="F223" i="5"/>
  <c r="G223" i="5"/>
  <c r="H223" i="5"/>
  <c r="I223" i="5" s="1"/>
  <c r="D254" i="1" s="1"/>
  <c r="E224" i="5"/>
  <c r="F224" i="5"/>
  <c r="G224" i="5"/>
  <c r="H224" i="5"/>
  <c r="I224" i="5"/>
  <c r="E225" i="5"/>
  <c r="F225" i="5"/>
  <c r="I225" i="5" s="1"/>
  <c r="D257" i="1" s="1"/>
  <c r="G225" i="5"/>
  <c r="H225" i="5"/>
  <c r="E226" i="5"/>
  <c r="F226" i="5"/>
  <c r="G226" i="5"/>
  <c r="H226" i="5"/>
  <c r="I226" i="5"/>
  <c r="E227" i="5"/>
  <c r="F227" i="5"/>
  <c r="I227" i="5" s="1"/>
  <c r="D259" i="1" s="1"/>
  <c r="G227" i="5"/>
  <c r="H227" i="5"/>
  <c r="E228" i="5"/>
  <c r="F228" i="5"/>
  <c r="G228" i="5"/>
  <c r="H228" i="5"/>
  <c r="I228" i="5"/>
  <c r="E229" i="5"/>
  <c r="F229" i="5"/>
  <c r="G229" i="5"/>
  <c r="H229" i="5"/>
  <c r="I229" i="5" s="1"/>
  <c r="D26" i="1" s="1"/>
  <c r="E230" i="5"/>
  <c r="F230" i="5"/>
  <c r="G230" i="5"/>
  <c r="H230" i="5"/>
  <c r="I230" i="5"/>
  <c r="E231" i="5"/>
  <c r="F231" i="5"/>
  <c r="G231" i="5"/>
  <c r="H231" i="5"/>
  <c r="I231" i="5" s="1"/>
  <c r="D41" i="1" s="1"/>
  <c r="E232" i="5"/>
  <c r="F232" i="5"/>
  <c r="G232" i="5"/>
  <c r="H232" i="5"/>
  <c r="I232" i="5"/>
  <c r="E233" i="5"/>
  <c r="F233" i="5"/>
  <c r="G233" i="5"/>
  <c r="H233" i="5"/>
  <c r="I233" i="5" s="1"/>
  <c r="D59" i="1" s="1"/>
  <c r="E234" i="5"/>
  <c r="F234" i="5"/>
  <c r="G234" i="5"/>
  <c r="H234" i="5"/>
  <c r="I234" i="5"/>
  <c r="E235" i="5"/>
  <c r="F235" i="5"/>
  <c r="G235" i="5"/>
  <c r="H235" i="5"/>
  <c r="I235" i="5" s="1"/>
  <c r="D94" i="1" s="1"/>
  <c r="E236" i="5"/>
  <c r="F236" i="5"/>
  <c r="G236" i="5"/>
  <c r="H236" i="5"/>
  <c r="I236" i="5"/>
  <c r="E237" i="5"/>
  <c r="F237" i="5"/>
  <c r="I237" i="5" s="1"/>
  <c r="D102" i="1" s="1"/>
  <c r="G237" i="5"/>
  <c r="H237" i="5"/>
  <c r="E238" i="5"/>
  <c r="F238" i="5"/>
  <c r="G238" i="5"/>
  <c r="H238" i="5"/>
  <c r="I238" i="5"/>
  <c r="E239" i="5"/>
  <c r="F239" i="5"/>
  <c r="I239" i="5" s="1"/>
  <c r="D115" i="1" s="1"/>
  <c r="G239" i="5"/>
  <c r="H239" i="5"/>
  <c r="E240" i="5"/>
  <c r="F240" i="5"/>
  <c r="G240" i="5"/>
  <c r="H240" i="5"/>
  <c r="I240" i="5"/>
  <c r="E241" i="5"/>
  <c r="F241" i="5"/>
  <c r="G241" i="5"/>
  <c r="H241" i="5"/>
  <c r="I241" i="5" s="1"/>
  <c r="D186" i="1" s="1"/>
  <c r="E242" i="5"/>
  <c r="F242" i="5"/>
  <c r="G242" i="5"/>
  <c r="H242" i="5"/>
  <c r="I242" i="5"/>
  <c r="E243" i="5"/>
  <c r="F243" i="5"/>
  <c r="I243" i="5" s="1"/>
  <c r="D207" i="1" s="1"/>
  <c r="G243" i="5"/>
  <c r="H243" i="5"/>
  <c r="E244" i="5"/>
  <c r="F244" i="5"/>
  <c r="G244" i="5"/>
  <c r="H244" i="5"/>
  <c r="I244" i="5"/>
  <c r="E245" i="5"/>
  <c r="F245" i="5"/>
  <c r="I245" i="5" s="1"/>
  <c r="D109" i="1" s="1"/>
  <c r="G245" i="5"/>
  <c r="H245" i="5"/>
  <c r="E246" i="5"/>
  <c r="F246" i="5"/>
  <c r="G246" i="5"/>
  <c r="H246" i="5"/>
  <c r="I246" i="5"/>
  <c r="E247" i="5"/>
  <c r="F247" i="5"/>
  <c r="I247" i="5" s="1"/>
  <c r="D79" i="1" s="1"/>
  <c r="G247" i="5"/>
  <c r="H247" i="5"/>
  <c r="E248" i="5"/>
  <c r="F248" i="5"/>
  <c r="G248" i="5"/>
  <c r="H248" i="5"/>
  <c r="I248" i="5"/>
  <c r="E249" i="5"/>
  <c r="F249" i="5"/>
  <c r="I249" i="5" s="1"/>
  <c r="D73" i="1" s="1"/>
  <c r="G249" i="5"/>
  <c r="H249" i="5"/>
  <c r="E250" i="5"/>
  <c r="F250" i="5"/>
  <c r="G250" i="5"/>
  <c r="H250" i="5"/>
  <c r="I250" i="5"/>
  <c r="E251" i="5"/>
  <c r="F251" i="5"/>
  <c r="I251" i="5" s="1"/>
  <c r="D118" i="1" s="1"/>
  <c r="G251" i="5"/>
  <c r="H251" i="5"/>
  <c r="E252" i="5"/>
  <c r="F252" i="5"/>
  <c r="G252" i="5"/>
  <c r="H252" i="5"/>
  <c r="I252" i="5"/>
  <c r="E253" i="5"/>
  <c r="F253" i="5"/>
  <c r="I253" i="5" s="1"/>
  <c r="D143" i="1" s="1"/>
  <c r="G253" i="5"/>
  <c r="H253" i="5"/>
  <c r="E254" i="5"/>
  <c r="F254" i="5"/>
  <c r="G254" i="5"/>
  <c r="H254" i="5"/>
  <c r="I254" i="5"/>
  <c r="E255" i="5"/>
  <c r="F255" i="5"/>
  <c r="I255" i="5" s="1"/>
  <c r="D191" i="1" s="1"/>
  <c r="G255" i="5"/>
  <c r="H255" i="5"/>
  <c r="E256" i="5"/>
  <c r="F256" i="5"/>
  <c r="G256" i="5"/>
  <c r="H256" i="5"/>
  <c r="I256" i="5"/>
  <c r="E257" i="5"/>
  <c r="F257" i="5"/>
  <c r="I257" i="5" s="1"/>
  <c r="D247" i="1" s="1"/>
  <c r="G257" i="5"/>
  <c r="H257" i="5"/>
  <c r="E9" i="28"/>
  <c r="G9" i="28"/>
  <c r="D258" i="1"/>
  <c r="K256" i="1"/>
  <c r="L256" i="1" s="1"/>
  <c r="M256" i="1" s="1"/>
  <c r="N256" i="1" s="1"/>
  <c r="O256" i="1" s="1"/>
  <c r="E5" i="28"/>
  <c r="G5" i="28"/>
  <c r="H5" i="28"/>
  <c r="D253" i="1"/>
  <c r="D252" i="1"/>
  <c r="G252" i="1"/>
  <c r="K251" i="1"/>
  <c r="L251" i="1" s="1"/>
  <c r="M251" i="1" s="1"/>
  <c r="N251" i="1" s="1"/>
  <c r="O251" i="1" s="1"/>
  <c r="D250" i="1"/>
  <c r="D249" i="1"/>
  <c r="D248" i="1"/>
  <c r="D246" i="1"/>
  <c r="D245" i="1"/>
  <c r="D244" i="1"/>
  <c r="D243" i="1"/>
  <c r="D242" i="1"/>
  <c r="D241" i="1"/>
  <c r="D240" i="1"/>
  <c r="D239" i="1"/>
  <c r="D238" i="1"/>
  <c r="D237" i="1"/>
  <c r="D236" i="1"/>
  <c r="D235" i="1"/>
  <c r="D233" i="1"/>
  <c r="D232" i="1"/>
  <c r="D231" i="1"/>
  <c r="G231" i="1"/>
  <c r="D230" i="1"/>
  <c r="D229" i="1"/>
  <c r="D227" i="1"/>
  <c r="D226" i="1"/>
  <c r="D225" i="1"/>
  <c r="D224" i="1"/>
  <c r="D223" i="1"/>
  <c r="D222" i="1"/>
  <c r="D219" i="1"/>
  <c r="D218" i="1"/>
  <c r="D216" i="1"/>
  <c r="D214" i="1"/>
  <c r="D213" i="1"/>
  <c r="D212" i="1"/>
  <c r="D211" i="1"/>
  <c r="D210" i="1"/>
  <c r="D209" i="1"/>
  <c r="D208" i="1"/>
  <c r="G207" i="1"/>
  <c r="D206" i="1"/>
  <c r="D205" i="1"/>
  <c r="D204" i="1"/>
  <c r="E13" i="28"/>
  <c r="G13" i="28"/>
  <c r="D202" i="1"/>
  <c r="D200" i="1"/>
  <c r="D199" i="1"/>
  <c r="D198" i="1"/>
  <c r="D197" i="1"/>
  <c r="D196" i="1"/>
  <c r="D195" i="1"/>
  <c r="D194" i="1"/>
  <c r="D193" i="1"/>
  <c r="E11" i="28"/>
  <c r="G11" i="28"/>
  <c r="D190" i="1"/>
  <c r="D189" i="1"/>
  <c r="D188" i="1"/>
  <c r="D187" i="1"/>
  <c r="G187" i="1"/>
  <c r="G186" i="1"/>
  <c r="D185" i="1"/>
  <c r="D184" i="1"/>
  <c r="D183" i="1"/>
  <c r="D182" i="1"/>
  <c r="D181" i="1"/>
  <c r="K180" i="1"/>
  <c r="L180" i="1" s="1"/>
  <c r="M180" i="1" s="1"/>
  <c r="N180" i="1" s="1"/>
  <c r="O180" i="1" s="1"/>
  <c r="D179" i="1"/>
  <c r="D178" i="1"/>
  <c r="D177" i="1"/>
  <c r="D175" i="1"/>
  <c r="D174" i="1"/>
  <c r="D173" i="1"/>
  <c r="D172" i="1"/>
  <c r="D170" i="1"/>
  <c r="D169" i="1"/>
  <c r="D168" i="1"/>
  <c r="D167" i="1"/>
  <c r="D166" i="1"/>
  <c r="D165" i="1"/>
  <c r="D164" i="1"/>
  <c r="D163" i="1"/>
  <c r="D162" i="1"/>
  <c r="D161" i="1"/>
  <c r="D160" i="1"/>
  <c r="D159" i="1"/>
  <c r="D158" i="1"/>
  <c r="D157" i="1"/>
  <c r="D38" i="35"/>
  <c r="E38" i="35" s="1"/>
  <c r="D39" i="35"/>
  <c r="E39" i="35" s="1"/>
  <c r="D40" i="35"/>
  <c r="E40" i="35" s="1"/>
  <c r="D41" i="35"/>
  <c r="E41" i="35" s="1"/>
  <c r="D42" i="35"/>
  <c r="E42" i="35" s="1"/>
  <c r="K155" i="1"/>
  <c r="L155" i="1" s="1"/>
  <c r="M155" i="1" s="1"/>
  <c r="N155" i="1" s="1"/>
  <c r="O155" i="1" s="1"/>
  <c r="D154" i="1"/>
  <c r="D153" i="1"/>
  <c r="D152" i="1"/>
  <c r="D151" i="1"/>
  <c r="D150" i="1"/>
  <c r="D149" i="1"/>
  <c r="D148" i="1"/>
  <c r="D147" i="1"/>
  <c r="D146" i="1"/>
  <c r="D145" i="1"/>
  <c r="D144" i="1"/>
  <c r="D142" i="1"/>
  <c r="D141" i="1"/>
  <c r="D140" i="1"/>
  <c r="D139" i="1"/>
  <c r="D138" i="1"/>
  <c r="D137" i="1"/>
  <c r="D136" i="1"/>
  <c r="D135" i="1"/>
  <c r="D134" i="1"/>
  <c r="G134" i="1"/>
  <c r="D133" i="1"/>
  <c r="D132" i="1"/>
  <c r="K131" i="1"/>
  <c r="L131" i="1" s="1"/>
  <c r="M131" i="1" s="1"/>
  <c r="N131" i="1" s="1"/>
  <c r="O131" i="1" s="1"/>
  <c r="D130" i="1"/>
  <c r="D129" i="1"/>
  <c r="D128" i="1"/>
  <c r="D127" i="1"/>
  <c r="D126" i="1"/>
  <c r="D125" i="1"/>
  <c r="D124" i="1"/>
  <c r="D123" i="1"/>
  <c r="D121" i="1"/>
  <c r="D120" i="1"/>
  <c r="D117" i="1"/>
  <c r="D116" i="1"/>
  <c r="G115" i="1"/>
  <c r="D114" i="1"/>
  <c r="D113" i="1"/>
  <c r="G113" i="1"/>
  <c r="D29" i="36"/>
  <c r="E29" i="36" s="1"/>
  <c r="D30" i="36"/>
  <c r="E30" i="36" s="1"/>
  <c r="D31" i="36"/>
  <c r="E31" i="36" s="1"/>
  <c r="D32" i="36"/>
  <c r="E32" i="36" s="1"/>
  <c r="D33" i="36"/>
  <c r="E33" i="36" s="1"/>
  <c r="D111" i="1"/>
  <c r="D110" i="1"/>
  <c r="G109" i="1"/>
  <c r="D108" i="1"/>
  <c r="D107" i="1"/>
  <c r="D106" i="1"/>
  <c r="D105" i="1"/>
  <c r="D30" i="39"/>
  <c r="E30" i="39"/>
  <c r="D31" i="39"/>
  <c r="E31" i="39"/>
  <c r="D32" i="39"/>
  <c r="E32" i="39"/>
  <c r="D33" i="39"/>
  <c r="E33" i="39"/>
  <c r="D34" i="39"/>
  <c r="E34" i="39"/>
  <c r="D103" i="1"/>
  <c r="G102" i="1"/>
  <c r="D101" i="1"/>
  <c r="D100" i="1"/>
  <c r="D99" i="1"/>
  <c r="G99" i="1"/>
  <c r="D98" i="1"/>
  <c r="D97" i="1"/>
  <c r="D96" i="1"/>
  <c r="D95" i="1"/>
  <c r="G94" i="1"/>
  <c r="D93" i="1"/>
  <c r="D92" i="1"/>
  <c r="D91" i="1"/>
  <c r="D90" i="1"/>
  <c r="G90" i="1"/>
  <c r="D89" i="1"/>
  <c r="D88" i="1"/>
  <c r="D87" i="1"/>
  <c r="D86" i="1"/>
  <c r="D85" i="1"/>
  <c r="D84" i="1"/>
  <c r="D83" i="1"/>
  <c r="K82" i="1"/>
  <c r="L82" i="1" s="1"/>
  <c r="M82" i="1" s="1"/>
  <c r="N82" i="1" s="1"/>
  <c r="O82" i="1" s="1"/>
  <c r="D81" i="1"/>
  <c r="D80" i="1"/>
  <c r="D78" i="1"/>
  <c r="D77" i="1"/>
  <c r="D75" i="1"/>
  <c r="D74" i="1"/>
  <c r="D72" i="1"/>
  <c r="D71" i="1"/>
  <c r="D70" i="1"/>
  <c r="D69" i="1"/>
  <c r="D68" i="1"/>
  <c r="D67" i="1"/>
  <c r="D66" i="1"/>
  <c r="D65" i="1"/>
  <c r="D64" i="1"/>
  <c r="D63" i="1"/>
  <c r="D62" i="1"/>
  <c r="D61" i="1"/>
  <c r="D60" i="1"/>
  <c r="G59" i="1"/>
  <c r="D58" i="1"/>
  <c r="D33" i="38"/>
  <c r="E33" i="38" s="1"/>
  <c r="D34" i="38"/>
  <c r="E34" i="38" s="1"/>
  <c r="D35" i="38"/>
  <c r="E35" i="38" s="1"/>
  <c r="D36" i="38"/>
  <c r="E36" i="38" s="1"/>
  <c r="D37" i="38"/>
  <c r="E37" i="38" s="1"/>
  <c r="D56" i="1"/>
  <c r="D55" i="1"/>
  <c r="D54" i="1"/>
  <c r="D53" i="1"/>
  <c r="D52" i="1"/>
  <c r="D51" i="1"/>
  <c r="D50" i="1"/>
  <c r="D49" i="1"/>
  <c r="D48" i="1"/>
  <c r="D47" i="1"/>
  <c r="D46" i="1"/>
  <c r="D45" i="1"/>
  <c r="D44" i="1"/>
  <c r="G44" i="1"/>
  <c r="D43" i="1"/>
  <c r="D42" i="1"/>
  <c r="G41" i="1"/>
  <c r="D40" i="1"/>
  <c r="D39" i="1"/>
  <c r="D38" i="1"/>
  <c r="D37" i="1"/>
  <c r="D36" i="1"/>
  <c r="D35" i="1"/>
  <c r="D34" i="1"/>
  <c r="D33" i="1"/>
  <c r="G33" i="1"/>
  <c r="D32" i="1"/>
  <c r="D31" i="1"/>
  <c r="D30" i="1"/>
  <c r="D29" i="1"/>
  <c r="D28" i="1"/>
  <c r="G26" i="1"/>
  <c r="D25" i="1"/>
  <c r="D24" i="1"/>
  <c r="D23" i="1"/>
  <c r="K22" i="1"/>
  <c r="L22" i="1" s="1"/>
  <c r="M22" i="1" s="1"/>
  <c r="N22" i="1" s="1"/>
  <c r="O22" i="1" s="1"/>
  <c r="D21" i="1"/>
  <c r="D20" i="1"/>
  <c r="E6" i="28"/>
  <c r="G6" i="28"/>
  <c r="K18" i="1"/>
  <c r="L18" i="1" s="1"/>
  <c r="M18" i="1" s="1"/>
  <c r="N18" i="1" s="1"/>
  <c r="O18" i="1" s="1"/>
  <c r="D17" i="1"/>
  <c r="D16" i="1"/>
  <c r="D15" i="1"/>
  <c r="D14" i="1"/>
  <c r="D13" i="1"/>
  <c r="D12" i="1"/>
  <c r="D11" i="1"/>
  <c r="D10" i="1"/>
  <c r="D9" i="1"/>
  <c r="D8" i="1"/>
  <c r="D7" i="1"/>
  <c r="D234" i="1"/>
  <c r="D228" i="1"/>
  <c r="D176" i="1"/>
  <c r="D171" i="1"/>
  <c r="D76" i="1"/>
  <c r="D156" i="1"/>
  <c r="P119" i="1"/>
  <c r="D112" i="1"/>
  <c r="D104" i="1"/>
  <c r="D57" i="1"/>
  <c r="D203" i="1"/>
  <c r="D201" i="1"/>
  <c r="G79" i="1"/>
  <c r="K260" i="1"/>
  <c r="K192" i="1"/>
  <c r="D82" i="1"/>
  <c r="L192" i="1"/>
  <c r="M192" i="1" s="1"/>
  <c r="L260" i="1"/>
  <c r="M260" i="1" s="1"/>
  <c r="D260" i="1"/>
  <c r="D256" i="1"/>
  <c r="D192" i="1"/>
  <c r="D180" i="1"/>
  <c r="D155" i="1"/>
  <c r="D131" i="1"/>
  <c r="D18" i="1"/>
  <c r="D22" i="1"/>
  <c r="R3" i="6"/>
  <c r="M146" i="9"/>
  <c r="M2" i="9"/>
  <c r="M3" i="9"/>
  <c r="M4" i="9"/>
  <c r="M5" i="9"/>
  <c r="M6" i="9"/>
  <c r="M7" i="9"/>
  <c r="M8" i="9"/>
  <c r="M9" i="9"/>
  <c r="M10" i="9"/>
  <c r="M11" i="9"/>
  <c r="M12" i="9"/>
  <c r="M13" i="9"/>
  <c r="M14" i="9"/>
  <c r="M15" i="9"/>
  <c r="M16" i="9"/>
  <c r="M17" i="9"/>
  <c r="M18" i="9"/>
  <c r="M19" i="9"/>
  <c r="M20" i="9"/>
  <c r="M21" i="9"/>
  <c r="M22" i="9"/>
  <c r="M23" i="9"/>
  <c r="M24" i="9"/>
  <c r="M25" i="9"/>
  <c r="M26" i="9"/>
  <c r="M27" i="9"/>
  <c r="M28" i="9"/>
  <c r="M29" i="9"/>
  <c r="M30" i="9"/>
  <c r="M31" i="9"/>
  <c r="M32" i="9"/>
  <c r="M33" i="9"/>
  <c r="M34" i="9"/>
  <c r="M35" i="9"/>
  <c r="M36" i="9"/>
  <c r="M37" i="9"/>
  <c r="M38" i="9"/>
  <c r="M39" i="9"/>
  <c r="M40" i="9"/>
  <c r="M41" i="9"/>
  <c r="M42" i="9"/>
  <c r="M43" i="9"/>
  <c r="M44" i="9"/>
  <c r="M45" i="9"/>
  <c r="M46" i="9"/>
  <c r="M47" i="9"/>
  <c r="M48" i="9"/>
  <c r="M49" i="9"/>
  <c r="M50" i="9"/>
  <c r="M51" i="9"/>
  <c r="M52" i="9"/>
  <c r="M53" i="9"/>
  <c r="M54" i="9"/>
  <c r="M55" i="9"/>
  <c r="M56" i="9"/>
  <c r="M57" i="9"/>
  <c r="M58" i="9"/>
  <c r="M59" i="9"/>
  <c r="M60" i="9"/>
  <c r="M61" i="9"/>
  <c r="M62" i="9"/>
  <c r="M63" i="9"/>
  <c r="M64" i="9"/>
  <c r="M65" i="9"/>
  <c r="M66" i="9"/>
  <c r="M67" i="9"/>
  <c r="M68" i="9"/>
  <c r="M69" i="9"/>
  <c r="M70" i="9"/>
  <c r="M71" i="9"/>
  <c r="M72" i="9"/>
  <c r="M73" i="9"/>
  <c r="M74" i="9"/>
  <c r="M75" i="9"/>
  <c r="M76" i="9"/>
  <c r="M77" i="9"/>
  <c r="M78" i="9"/>
  <c r="M79" i="9"/>
  <c r="M80" i="9"/>
  <c r="M81" i="9"/>
  <c r="M82" i="9"/>
  <c r="M83" i="9"/>
  <c r="M84" i="9"/>
  <c r="M85" i="9"/>
  <c r="M86" i="9"/>
  <c r="M87" i="9"/>
  <c r="M88" i="9"/>
  <c r="M89" i="9"/>
  <c r="M90" i="9"/>
  <c r="M91" i="9"/>
  <c r="M92" i="9"/>
  <c r="M93" i="9"/>
  <c r="M94" i="9"/>
  <c r="M95" i="9"/>
  <c r="M96" i="9"/>
  <c r="M97" i="9"/>
  <c r="M98" i="9"/>
  <c r="M99" i="9"/>
  <c r="M100" i="9"/>
  <c r="M101" i="9"/>
  <c r="M102" i="9"/>
  <c r="M103" i="9"/>
  <c r="M104" i="9"/>
  <c r="M105" i="9"/>
  <c r="M106" i="9"/>
  <c r="M107" i="9"/>
  <c r="M108" i="9"/>
  <c r="M109" i="9"/>
  <c r="M110" i="9"/>
  <c r="M111" i="9"/>
  <c r="M112" i="9"/>
  <c r="M113" i="9"/>
  <c r="M114" i="9"/>
  <c r="M115" i="9"/>
  <c r="M116" i="9"/>
  <c r="M117" i="9"/>
  <c r="M118" i="9"/>
  <c r="M119" i="9"/>
  <c r="M120" i="9"/>
  <c r="M121" i="9"/>
  <c r="M122" i="9"/>
  <c r="M123" i="9"/>
  <c r="M124" i="9"/>
  <c r="M125" i="9"/>
  <c r="M126" i="9"/>
  <c r="M127" i="9"/>
  <c r="M128" i="9"/>
  <c r="M129" i="9"/>
  <c r="M130" i="9"/>
  <c r="M131" i="9"/>
  <c r="M132" i="9"/>
  <c r="M133" i="9"/>
  <c r="M134" i="9"/>
  <c r="M135" i="9"/>
  <c r="M136" i="9"/>
  <c r="M137" i="9"/>
  <c r="M138" i="9"/>
  <c r="M139" i="9"/>
  <c r="M140" i="9"/>
  <c r="M141" i="9"/>
  <c r="M142" i="9"/>
  <c r="M143" i="9"/>
  <c r="M144" i="9"/>
  <c r="M145" i="9"/>
  <c r="M147" i="9"/>
  <c r="M148" i="9"/>
  <c r="M149" i="9"/>
  <c r="M150" i="9"/>
  <c r="M151" i="9"/>
  <c r="M152" i="9"/>
  <c r="M153" i="9"/>
  <c r="M154" i="9"/>
  <c r="M155" i="9"/>
  <c r="M156" i="9"/>
  <c r="M157" i="9"/>
  <c r="M158" i="9"/>
  <c r="M159" i="9"/>
  <c r="M160" i="9"/>
  <c r="M161" i="9"/>
  <c r="M162" i="9"/>
  <c r="M163" i="9"/>
  <c r="M164" i="9"/>
  <c r="M165" i="9"/>
  <c r="M166" i="9"/>
  <c r="M167" i="9"/>
  <c r="M168" i="9"/>
  <c r="M169" i="9"/>
  <c r="M170" i="9"/>
  <c r="M171" i="9"/>
  <c r="M172" i="9"/>
  <c r="M173" i="9"/>
  <c r="M174" i="9"/>
  <c r="M175" i="9"/>
  <c r="M176" i="9"/>
  <c r="M177" i="9"/>
  <c r="M178" i="9"/>
  <c r="M179" i="9"/>
  <c r="M180" i="9"/>
  <c r="M181" i="9"/>
  <c r="M182" i="9"/>
  <c r="M183" i="9"/>
  <c r="M184" i="9"/>
  <c r="M185" i="9"/>
  <c r="M186" i="9"/>
  <c r="M187" i="9"/>
  <c r="M188" i="9"/>
  <c r="M189" i="9"/>
  <c r="M190" i="9"/>
  <c r="M191" i="9"/>
  <c r="M192" i="9"/>
  <c r="M193" i="9"/>
  <c r="M194" i="9"/>
  <c r="M195" i="9"/>
  <c r="M196" i="9"/>
  <c r="M197" i="9"/>
  <c r="M198" i="9"/>
  <c r="M199" i="9"/>
  <c r="M200" i="9"/>
  <c r="M201" i="9"/>
  <c r="M202" i="9"/>
  <c r="M203" i="9"/>
  <c r="M204" i="9"/>
  <c r="M205" i="9"/>
  <c r="M206" i="9"/>
  <c r="M207" i="9"/>
  <c r="M208" i="9"/>
  <c r="M209" i="9"/>
  <c r="M210" i="9"/>
  <c r="M211" i="9"/>
  <c r="M212" i="9"/>
  <c r="M213" i="9"/>
  <c r="M214" i="9"/>
  <c r="M215" i="9"/>
  <c r="M216" i="9"/>
  <c r="M217" i="9"/>
  <c r="M218" i="9"/>
  <c r="M219" i="9"/>
  <c r="M220" i="9"/>
  <c r="M221" i="9"/>
  <c r="M222" i="9"/>
  <c r="M223" i="9"/>
  <c r="M224" i="9"/>
  <c r="M225" i="9"/>
  <c r="M226" i="9"/>
  <c r="M227" i="9"/>
  <c r="M228" i="9"/>
  <c r="M229" i="9"/>
  <c r="M230" i="9"/>
  <c r="M231" i="9"/>
  <c r="M232" i="9"/>
  <c r="M233" i="9"/>
  <c r="M234" i="9"/>
  <c r="M235" i="9"/>
  <c r="M236" i="9"/>
  <c r="M237" i="9"/>
  <c r="M238" i="9"/>
  <c r="M239" i="9"/>
  <c r="M240" i="9"/>
  <c r="M241" i="9"/>
  <c r="M242" i="9"/>
  <c r="M243" i="9"/>
  <c r="M244" i="9"/>
  <c r="M245" i="9"/>
  <c r="M246" i="9"/>
  <c r="M247" i="9"/>
  <c r="M248" i="9"/>
  <c r="M249" i="9"/>
  <c r="M250" i="9"/>
  <c r="M251" i="9"/>
  <c r="M252" i="9"/>
  <c r="M253" i="9"/>
  <c r="M254" i="9"/>
  <c r="M255" i="9"/>
  <c r="M256" i="9"/>
  <c r="M257" i="9"/>
  <c r="M258" i="9"/>
  <c r="M259" i="9"/>
  <c r="M260" i="9"/>
  <c r="M261" i="9"/>
  <c r="M262" i="9"/>
  <c r="M263" i="9"/>
  <c r="M264" i="9"/>
  <c r="M265" i="9"/>
  <c r="M266" i="9"/>
  <c r="M267" i="9"/>
  <c r="M268" i="9"/>
  <c r="M269" i="9"/>
  <c r="M270" i="9"/>
  <c r="M271" i="9"/>
  <c r="M272" i="9"/>
  <c r="M273" i="9"/>
  <c r="M274" i="9"/>
  <c r="M275" i="9"/>
  <c r="M276" i="9"/>
  <c r="M277" i="9"/>
  <c r="M278" i="9"/>
  <c r="M279" i="9"/>
  <c r="M280" i="9"/>
  <c r="M281" i="9"/>
  <c r="M282" i="9"/>
  <c r="M283" i="9"/>
  <c r="M284" i="9"/>
  <c r="M285" i="9"/>
  <c r="M286" i="9"/>
  <c r="M287" i="9"/>
  <c r="M288" i="9"/>
  <c r="M289" i="9"/>
  <c r="M290" i="9"/>
  <c r="M291" i="9"/>
  <c r="M292" i="9"/>
  <c r="M293" i="9"/>
  <c r="M294" i="9"/>
  <c r="M295" i="9"/>
  <c r="M296" i="9"/>
  <c r="M297" i="9"/>
  <c r="M298" i="9"/>
  <c r="M299" i="9"/>
  <c r="M300" i="9"/>
  <c r="M301" i="9"/>
  <c r="M302" i="9"/>
  <c r="M303" i="9"/>
  <c r="M304" i="9"/>
  <c r="M305" i="9"/>
  <c r="M306" i="9"/>
  <c r="M307" i="9"/>
  <c r="M308" i="9"/>
  <c r="M309" i="9"/>
  <c r="M310" i="9"/>
  <c r="M311" i="9"/>
  <c r="M312" i="9"/>
  <c r="M313" i="9"/>
  <c r="M314" i="9"/>
  <c r="M315" i="9"/>
  <c r="M316" i="9"/>
  <c r="M317" i="9"/>
  <c r="M318" i="9"/>
  <c r="M319" i="9"/>
  <c r="M320" i="9"/>
  <c r="M321" i="9"/>
  <c r="M322" i="9"/>
  <c r="M323" i="9"/>
  <c r="M324" i="9"/>
  <c r="M325" i="9"/>
  <c r="M326" i="9"/>
  <c r="M327" i="9"/>
  <c r="M328" i="9"/>
  <c r="M329" i="9"/>
  <c r="M330" i="9"/>
  <c r="M331" i="9"/>
  <c r="M332" i="9"/>
  <c r="M333" i="9"/>
  <c r="M334" i="9"/>
  <c r="M335" i="9"/>
  <c r="M336" i="9"/>
  <c r="M337" i="9"/>
  <c r="M338" i="9"/>
  <c r="M339" i="9"/>
  <c r="M340" i="9"/>
  <c r="M341" i="9"/>
  <c r="M342" i="9"/>
  <c r="M343" i="9"/>
  <c r="M344" i="9"/>
  <c r="M345" i="9"/>
  <c r="M346" i="9"/>
  <c r="M347" i="9"/>
  <c r="M348" i="9"/>
  <c r="M349" i="9"/>
  <c r="M350" i="9"/>
  <c r="M351" i="9"/>
  <c r="M352" i="9"/>
  <c r="M353" i="9"/>
  <c r="M354" i="9"/>
  <c r="M355" i="9"/>
  <c r="M356" i="9"/>
  <c r="M357" i="9"/>
  <c r="M358" i="9"/>
  <c r="M359" i="9"/>
  <c r="M360" i="9"/>
  <c r="M361" i="9"/>
  <c r="M362" i="9"/>
  <c r="M363" i="9"/>
  <c r="M364" i="9"/>
  <c r="M365" i="9"/>
  <c r="M366" i="9"/>
  <c r="M367" i="9"/>
  <c r="M368" i="9"/>
  <c r="M369" i="9"/>
  <c r="M370" i="9"/>
  <c r="M371" i="9"/>
  <c r="M372" i="9"/>
  <c r="M373" i="9"/>
  <c r="M374" i="9"/>
  <c r="M375" i="9"/>
  <c r="M376" i="9"/>
  <c r="M377" i="9"/>
  <c r="M378" i="9"/>
  <c r="M379" i="9"/>
  <c r="M380" i="9"/>
  <c r="M381" i="9"/>
  <c r="M382" i="9"/>
  <c r="M383" i="9"/>
  <c r="M384" i="9"/>
  <c r="M385" i="9"/>
  <c r="M386" i="9"/>
  <c r="M387" i="9"/>
  <c r="M388" i="9"/>
  <c r="M389" i="9"/>
  <c r="M390" i="9"/>
  <c r="M391" i="9"/>
  <c r="M392" i="9"/>
  <c r="M393" i="9"/>
  <c r="M394" i="9"/>
  <c r="M395" i="9"/>
  <c r="M396" i="9"/>
  <c r="M397" i="9"/>
  <c r="M398" i="9"/>
  <c r="M399" i="9"/>
  <c r="M400" i="9"/>
  <c r="M401" i="9"/>
  <c r="M402" i="9"/>
  <c r="M403" i="9"/>
  <c r="M404" i="9"/>
  <c r="M405" i="9"/>
  <c r="M406" i="9"/>
  <c r="M407" i="9"/>
  <c r="M408" i="9"/>
  <c r="M409" i="9"/>
  <c r="M410" i="9"/>
  <c r="M411" i="9"/>
  <c r="M412" i="9"/>
  <c r="M413" i="9"/>
  <c r="M414" i="9"/>
  <c r="M415" i="9"/>
  <c r="M416" i="9"/>
  <c r="M417" i="9"/>
  <c r="M418" i="9"/>
  <c r="M419" i="9"/>
  <c r="M420" i="9"/>
  <c r="M421" i="9"/>
  <c r="M422" i="9"/>
  <c r="M423" i="9"/>
  <c r="M424" i="9"/>
  <c r="M425" i="9"/>
  <c r="M426" i="9"/>
  <c r="M427" i="9"/>
  <c r="M428" i="9"/>
  <c r="M429" i="9"/>
  <c r="M430" i="9"/>
  <c r="M431" i="9"/>
  <c r="M432" i="9"/>
  <c r="M433" i="9"/>
  <c r="M434" i="9"/>
  <c r="M435" i="9"/>
  <c r="M436" i="9"/>
  <c r="M437" i="9"/>
  <c r="M438" i="9"/>
  <c r="M439" i="9"/>
  <c r="M440" i="9"/>
  <c r="M441" i="9"/>
  <c r="M442" i="9"/>
  <c r="M443" i="9"/>
  <c r="M444" i="9"/>
  <c r="M445" i="9"/>
  <c r="M446" i="9"/>
  <c r="M447" i="9"/>
  <c r="M448" i="9"/>
  <c r="M449" i="9"/>
  <c r="M450" i="9"/>
  <c r="M451" i="9"/>
  <c r="M452" i="9"/>
  <c r="M453" i="9"/>
  <c r="M454" i="9"/>
  <c r="M455" i="9"/>
  <c r="M456" i="9"/>
  <c r="M457" i="9"/>
  <c r="M458" i="9"/>
  <c r="M459" i="9"/>
  <c r="M460" i="9"/>
  <c r="M461" i="9"/>
  <c r="M462" i="9"/>
  <c r="M463" i="9"/>
  <c r="M464" i="9"/>
  <c r="M465" i="9"/>
  <c r="M466" i="9"/>
  <c r="M467" i="9"/>
  <c r="M468" i="9"/>
  <c r="M469" i="9"/>
  <c r="M470" i="9"/>
  <c r="M471" i="9"/>
  <c r="M472" i="9"/>
  <c r="M473" i="9"/>
  <c r="M474" i="9"/>
  <c r="M475" i="9"/>
  <c r="M476" i="9"/>
  <c r="M477" i="9"/>
  <c r="M478" i="9"/>
  <c r="M479" i="9"/>
  <c r="M480" i="9"/>
  <c r="M481" i="9"/>
  <c r="M482" i="9"/>
  <c r="M483" i="9"/>
  <c r="M484" i="9"/>
  <c r="M485" i="9"/>
  <c r="M486" i="9"/>
  <c r="M487" i="9"/>
  <c r="M488" i="9"/>
  <c r="M489" i="9"/>
  <c r="M490" i="9"/>
  <c r="M491" i="9"/>
  <c r="M492" i="9"/>
  <c r="M493" i="9"/>
  <c r="M494" i="9"/>
  <c r="M495" i="9"/>
  <c r="M496" i="9"/>
  <c r="M497" i="9"/>
  <c r="M498" i="9"/>
  <c r="M499" i="9"/>
  <c r="M500" i="9"/>
  <c r="M501" i="9"/>
  <c r="M502" i="9"/>
  <c r="M503" i="9"/>
  <c r="M504" i="9"/>
  <c r="M505" i="9"/>
  <c r="M506" i="9"/>
  <c r="M507" i="9"/>
  <c r="M508" i="9"/>
  <c r="M509" i="9"/>
  <c r="M510" i="9"/>
  <c r="M511" i="9"/>
  <c r="M512" i="9"/>
  <c r="M513" i="9"/>
  <c r="M514" i="9"/>
  <c r="M515" i="9"/>
  <c r="M516" i="9"/>
  <c r="M517" i="9"/>
  <c r="M518" i="9"/>
  <c r="M519" i="9"/>
  <c r="M520" i="9"/>
  <c r="M521" i="9"/>
  <c r="M522" i="9"/>
  <c r="M523" i="9"/>
  <c r="M524" i="9"/>
  <c r="M525" i="9"/>
  <c r="M526" i="9"/>
  <c r="M527" i="9"/>
  <c r="M528" i="9"/>
  <c r="M529" i="9"/>
  <c r="M530" i="9"/>
  <c r="M531" i="9"/>
  <c r="M532" i="9"/>
  <c r="M533" i="9"/>
  <c r="M534" i="9"/>
  <c r="M535" i="9"/>
  <c r="M536" i="9"/>
  <c r="M537" i="9"/>
  <c r="M538" i="9"/>
  <c r="M539" i="9"/>
  <c r="M540" i="9"/>
  <c r="M541" i="9"/>
  <c r="M542" i="9"/>
  <c r="M543" i="9"/>
  <c r="M544" i="9"/>
  <c r="M545" i="9"/>
  <c r="M546" i="9"/>
  <c r="M547" i="9"/>
  <c r="M548" i="9"/>
  <c r="M549" i="9"/>
  <c r="M550" i="9"/>
  <c r="M551" i="9"/>
  <c r="M552" i="9"/>
  <c r="M553" i="9"/>
  <c r="M554" i="9"/>
  <c r="M555" i="9"/>
  <c r="M556" i="9"/>
  <c r="M557" i="9"/>
  <c r="M558" i="9"/>
  <c r="M559" i="9"/>
  <c r="M560" i="9"/>
  <c r="M561" i="9"/>
  <c r="M562" i="9"/>
  <c r="M563" i="9"/>
  <c r="M564" i="9"/>
  <c r="M565" i="9"/>
  <c r="M566" i="9"/>
  <c r="M567" i="9"/>
  <c r="M568" i="9"/>
  <c r="M569" i="9"/>
  <c r="M570" i="9"/>
  <c r="M571" i="9"/>
  <c r="M572" i="9"/>
  <c r="M573" i="9"/>
  <c r="M574" i="9"/>
  <c r="M575" i="9"/>
  <c r="M576" i="9"/>
  <c r="M577" i="9"/>
  <c r="M578" i="9"/>
  <c r="M579" i="9"/>
  <c r="M580" i="9"/>
  <c r="M581" i="9"/>
  <c r="M582" i="9"/>
  <c r="M583" i="9"/>
  <c r="M584" i="9"/>
  <c r="M585" i="9"/>
  <c r="M586" i="9"/>
  <c r="M587" i="9"/>
  <c r="M588" i="9"/>
  <c r="M589" i="9"/>
  <c r="M590" i="9"/>
  <c r="M591" i="9"/>
  <c r="M592" i="9"/>
  <c r="M593" i="9"/>
  <c r="M594" i="9"/>
  <c r="M595" i="9"/>
  <c r="M596" i="9"/>
  <c r="M597" i="9"/>
  <c r="M598" i="9"/>
  <c r="M599" i="9"/>
  <c r="M600" i="9"/>
  <c r="M601" i="9"/>
  <c r="M602" i="9"/>
  <c r="M603" i="9"/>
  <c r="M604" i="9"/>
  <c r="M605" i="9"/>
  <c r="M606" i="9"/>
  <c r="M607" i="9"/>
  <c r="M608" i="9"/>
  <c r="M609" i="9"/>
  <c r="M610" i="9"/>
  <c r="M611" i="9"/>
  <c r="M612" i="9"/>
  <c r="M613" i="9"/>
  <c r="M614" i="9"/>
  <c r="M615" i="9"/>
  <c r="M616" i="9"/>
  <c r="M617" i="9"/>
  <c r="M618" i="9"/>
  <c r="M619" i="9"/>
  <c r="M620" i="9"/>
  <c r="M621" i="9"/>
  <c r="M622" i="9"/>
  <c r="M623" i="9"/>
  <c r="M624" i="9"/>
  <c r="M625" i="9"/>
  <c r="M626" i="9"/>
  <c r="M627" i="9"/>
  <c r="M628" i="9"/>
  <c r="M629" i="9"/>
  <c r="M630" i="9"/>
  <c r="M631" i="9"/>
  <c r="M632" i="9"/>
  <c r="M633" i="9"/>
  <c r="M634" i="9"/>
  <c r="M635" i="9"/>
  <c r="M636" i="9"/>
  <c r="M637" i="9"/>
  <c r="M638" i="9"/>
  <c r="M639" i="9"/>
  <c r="M640" i="9"/>
  <c r="M641" i="9"/>
  <c r="M642" i="9"/>
  <c r="M643" i="9"/>
  <c r="M644" i="9"/>
  <c r="M645" i="9"/>
  <c r="M646" i="9"/>
  <c r="M647" i="9"/>
  <c r="M648" i="9"/>
  <c r="M649" i="9"/>
  <c r="M650" i="9"/>
  <c r="M651" i="9"/>
  <c r="M652" i="9"/>
  <c r="M653" i="9"/>
  <c r="M654" i="9"/>
  <c r="M655" i="9"/>
  <c r="M656" i="9"/>
  <c r="M657" i="9"/>
  <c r="M658" i="9"/>
  <c r="M659" i="9"/>
  <c r="M660" i="9"/>
  <c r="M661" i="9"/>
  <c r="M662" i="9"/>
  <c r="M663" i="9"/>
  <c r="M664" i="9"/>
  <c r="M665" i="9"/>
  <c r="M666" i="9"/>
  <c r="M667" i="9"/>
  <c r="M668" i="9"/>
  <c r="M669" i="9"/>
  <c r="M670" i="9"/>
  <c r="M671" i="9"/>
  <c r="M672" i="9"/>
  <c r="M673" i="9"/>
  <c r="M674" i="9"/>
  <c r="M675" i="9"/>
  <c r="M676" i="9"/>
  <c r="M677" i="9"/>
  <c r="M678" i="9"/>
  <c r="M679" i="9"/>
  <c r="M680" i="9"/>
  <c r="M681" i="9"/>
  <c r="M682" i="9"/>
  <c r="M683" i="9"/>
  <c r="M684" i="9"/>
  <c r="M685" i="9"/>
  <c r="M686" i="9"/>
  <c r="M687" i="9"/>
  <c r="M688" i="9"/>
  <c r="M689" i="9"/>
  <c r="M690" i="9"/>
  <c r="M691" i="9"/>
  <c r="M692" i="9"/>
  <c r="M693" i="9"/>
  <c r="M694" i="9"/>
  <c r="M695" i="9"/>
  <c r="M696" i="9"/>
  <c r="M697" i="9"/>
  <c r="M698" i="9"/>
  <c r="M699" i="9"/>
  <c r="M700" i="9"/>
  <c r="M701" i="9"/>
  <c r="M702" i="9"/>
  <c r="M703" i="9"/>
  <c r="M704" i="9"/>
  <c r="M705" i="9"/>
  <c r="M706" i="9"/>
  <c r="M707" i="9"/>
  <c r="M708" i="9"/>
  <c r="M709" i="9"/>
  <c r="M710" i="9"/>
  <c r="M711" i="9"/>
  <c r="M712" i="9"/>
  <c r="M713" i="9"/>
  <c r="M714" i="9"/>
  <c r="M715" i="9"/>
  <c r="M716" i="9"/>
  <c r="M717" i="9"/>
  <c r="M718" i="9"/>
  <c r="M719" i="9"/>
  <c r="M720" i="9"/>
  <c r="M721" i="9"/>
  <c r="M722" i="9"/>
  <c r="M723" i="9"/>
  <c r="M724" i="9"/>
  <c r="M725" i="9"/>
  <c r="M726" i="9"/>
  <c r="M727" i="9"/>
  <c r="M728" i="9"/>
  <c r="M729" i="9"/>
  <c r="M730" i="9"/>
  <c r="M731" i="9"/>
  <c r="M732" i="9"/>
  <c r="M733" i="9"/>
  <c r="M734" i="9"/>
  <c r="M735" i="9"/>
  <c r="M736" i="9"/>
  <c r="M737" i="9"/>
  <c r="M738" i="9"/>
  <c r="M739" i="9"/>
  <c r="M740" i="9"/>
  <c r="M741" i="9"/>
  <c r="M742" i="9"/>
  <c r="M743" i="9"/>
  <c r="M744" i="9"/>
  <c r="M745" i="9"/>
  <c r="M746" i="9"/>
  <c r="M747" i="9"/>
  <c r="M748" i="9"/>
  <c r="M749" i="9"/>
  <c r="M750" i="9"/>
  <c r="M751" i="9"/>
  <c r="M752" i="9"/>
  <c r="M753" i="9"/>
  <c r="M754" i="9"/>
  <c r="M755" i="9"/>
  <c r="M757" i="9"/>
  <c r="N146" i="9"/>
  <c r="J146" i="9"/>
  <c r="O146" i="9"/>
  <c r="F13" i="13"/>
  <c r="F14" i="13"/>
  <c r="F15" i="13"/>
  <c r="F16" i="13"/>
  <c r="F17" i="13"/>
  <c r="F18" i="13"/>
  <c r="F19" i="13"/>
  <c r="F20" i="13"/>
  <c r="F21" i="13"/>
  <c r="F22" i="13"/>
  <c r="F23" i="13"/>
  <c r="F24" i="13"/>
  <c r="F25" i="13"/>
  <c r="F26" i="13"/>
  <c r="F27" i="13"/>
  <c r="F28" i="13"/>
  <c r="F29" i="13"/>
  <c r="F30" i="13"/>
  <c r="F31" i="13"/>
  <c r="F32" i="13"/>
  <c r="F33" i="13"/>
  <c r="F34" i="13"/>
  <c r="F35" i="13"/>
  <c r="F36" i="13"/>
  <c r="F37" i="13"/>
  <c r="F38" i="13"/>
  <c r="F39" i="13"/>
  <c r="F40" i="13"/>
  <c r="F41" i="13"/>
  <c r="F42" i="13"/>
  <c r="F43" i="13"/>
  <c r="F44" i="13"/>
  <c r="F45" i="13"/>
  <c r="F46" i="13"/>
  <c r="F47" i="13"/>
  <c r="F48" i="13"/>
  <c r="F49" i="13"/>
  <c r="F50" i="13"/>
  <c r="F51" i="13"/>
  <c r="F52" i="13"/>
  <c r="F53" i="13"/>
  <c r="F54" i="13"/>
  <c r="F55" i="13"/>
  <c r="F56" i="13"/>
  <c r="F57" i="13"/>
  <c r="F58" i="13"/>
  <c r="F59" i="13"/>
  <c r="F60" i="13"/>
  <c r="F61" i="13"/>
  <c r="F62" i="13"/>
  <c r="F63" i="13"/>
  <c r="F64" i="13"/>
  <c r="F65" i="13"/>
  <c r="F66" i="13"/>
  <c r="F67" i="13"/>
  <c r="F68" i="13"/>
  <c r="F69" i="13"/>
  <c r="F70" i="13"/>
  <c r="F71" i="13"/>
  <c r="F72" i="13"/>
  <c r="F73" i="13"/>
  <c r="F74" i="13"/>
  <c r="F75" i="13"/>
  <c r="F76" i="13"/>
  <c r="F77" i="13"/>
  <c r="F78" i="13"/>
  <c r="F79" i="13"/>
  <c r="F80" i="13"/>
  <c r="F81" i="13"/>
  <c r="F82" i="13"/>
  <c r="F83" i="13"/>
  <c r="F84" i="13"/>
  <c r="F85" i="13"/>
  <c r="F86" i="13"/>
  <c r="F87" i="13"/>
  <c r="F88" i="13"/>
  <c r="F89" i="13"/>
  <c r="F90" i="13"/>
  <c r="F91" i="13"/>
  <c r="F92" i="13"/>
  <c r="F93" i="13"/>
  <c r="F94" i="13"/>
  <c r="F95" i="13"/>
  <c r="F96" i="13"/>
  <c r="F97" i="13"/>
  <c r="F98" i="13"/>
  <c r="F99" i="13"/>
  <c r="F100" i="13"/>
  <c r="F101" i="13"/>
  <c r="F102" i="13"/>
  <c r="F103" i="13"/>
  <c r="F104" i="13"/>
  <c r="F105" i="13"/>
  <c r="F106" i="13"/>
  <c r="F107" i="13"/>
  <c r="F108" i="13"/>
  <c r="F109" i="13"/>
  <c r="F110" i="13"/>
  <c r="F111" i="13"/>
  <c r="F112" i="13"/>
  <c r="F113" i="13"/>
  <c r="F114" i="13"/>
  <c r="F115" i="13"/>
  <c r="F116" i="13"/>
  <c r="F117" i="13"/>
  <c r="F118" i="13"/>
  <c r="F119" i="13"/>
  <c r="F120" i="13"/>
  <c r="F121" i="13"/>
  <c r="F122" i="13"/>
  <c r="F123" i="13"/>
  <c r="F124" i="13"/>
  <c r="F125" i="13"/>
  <c r="F126" i="13"/>
  <c r="F127" i="13"/>
  <c r="F128" i="13"/>
  <c r="F129" i="13"/>
  <c r="F130" i="13"/>
  <c r="F131" i="13"/>
  <c r="F132" i="13"/>
  <c r="F133" i="13"/>
  <c r="F134" i="13"/>
  <c r="F135" i="13"/>
  <c r="F136" i="13"/>
  <c r="F137" i="13"/>
  <c r="F138" i="13"/>
  <c r="F139" i="13"/>
  <c r="F140" i="13"/>
  <c r="F141" i="13"/>
  <c r="F142" i="13"/>
  <c r="F143" i="13"/>
  <c r="F144" i="13"/>
  <c r="F145" i="13"/>
  <c r="F146" i="13"/>
  <c r="F147" i="13"/>
  <c r="F148" i="13"/>
  <c r="F149" i="13"/>
  <c r="F150" i="13"/>
  <c r="F151" i="13"/>
  <c r="F152" i="13"/>
  <c r="F153" i="13"/>
  <c r="F154" i="13"/>
  <c r="F155" i="13"/>
  <c r="F156" i="13"/>
  <c r="F157" i="13"/>
  <c r="F158" i="13"/>
  <c r="F159" i="13"/>
  <c r="F160" i="13"/>
  <c r="F161" i="13"/>
  <c r="F162" i="13"/>
  <c r="F163" i="13"/>
  <c r="F164" i="13"/>
  <c r="F165" i="13"/>
  <c r="F166" i="13"/>
  <c r="F167" i="13"/>
  <c r="F168" i="13"/>
  <c r="F169" i="13"/>
  <c r="F170" i="13"/>
  <c r="F171" i="13"/>
  <c r="F172" i="13"/>
  <c r="F173" i="13"/>
  <c r="F174" i="13"/>
  <c r="F175" i="13"/>
  <c r="F176" i="13"/>
  <c r="F177" i="13"/>
  <c r="F178" i="13"/>
  <c r="F179" i="13"/>
  <c r="F180" i="13"/>
  <c r="F181" i="13"/>
  <c r="F182" i="13"/>
  <c r="F183" i="13"/>
  <c r="F184" i="13"/>
  <c r="F185" i="13"/>
  <c r="F186" i="13"/>
  <c r="F187" i="13"/>
  <c r="F188" i="13"/>
  <c r="F189" i="13"/>
  <c r="F190" i="13"/>
  <c r="F191" i="13"/>
  <c r="F192" i="13"/>
  <c r="F193" i="13"/>
  <c r="F194" i="13"/>
  <c r="F195" i="13"/>
  <c r="F196" i="13"/>
  <c r="F197" i="13"/>
  <c r="F198" i="13"/>
  <c r="F199" i="13"/>
  <c r="F200" i="13"/>
  <c r="F201" i="13"/>
  <c r="F202" i="13"/>
  <c r="F203" i="13"/>
  <c r="F204" i="13"/>
  <c r="F205" i="13"/>
  <c r="F206" i="13"/>
  <c r="F207" i="13"/>
  <c r="F208" i="13"/>
  <c r="F209" i="13"/>
  <c r="F210" i="13"/>
  <c r="F211" i="13"/>
  <c r="F212" i="13"/>
  <c r="F213" i="13"/>
  <c r="F214" i="13"/>
  <c r="F215" i="13"/>
  <c r="F216" i="13"/>
  <c r="F217" i="13"/>
  <c r="F218" i="13"/>
  <c r="F219" i="13"/>
  <c r="F220" i="13"/>
  <c r="F221" i="13"/>
  <c r="F222" i="13"/>
  <c r="F223" i="13"/>
  <c r="F224" i="13"/>
  <c r="F225" i="13"/>
  <c r="F226" i="13"/>
  <c r="F227" i="13"/>
  <c r="F228" i="13"/>
  <c r="F229" i="13"/>
  <c r="F230" i="13"/>
  <c r="F231" i="13"/>
  <c r="F232" i="13"/>
  <c r="F233" i="13"/>
  <c r="F234" i="13"/>
  <c r="E268" i="13"/>
  <c r="G31" i="13"/>
  <c r="N740" i="9"/>
  <c r="J740" i="9"/>
  <c r="O740" i="9"/>
  <c r="N741" i="9"/>
  <c r="J741" i="9"/>
  <c r="O741" i="9"/>
  <c r="N742" i="9"/>
  <c r="J742" i="9"/>
  <c r="O742" i="9"/>
  <c r="G108" i="13"/>
  <c r="N165" i="9"/>
  <c r="J165" i="9"/>
  <c r="O165" i="9"/>
  <c r="N166" i="9"/>
  <c r="J166" i="9"/>
  <c r="O166" i="9"/>
  <c r="N167" i="9"/>
  <c r="J167" i="9"/>
  <c r="O167" i="9"/>
  <c r="G24" i="13"/>
  <c r="N564" i="9"/>
  <c r="J564" i="9"/>
  <c r="O564" i="9"/>
  <c r="N565" i="9"/>
  <c r="J565" i="9"/>
  <c r="O565" i="9"/>
  <c r="N566" i="9"/>
  <c r="J566" i="9"/>
  <c r="O566" i="9"/>
  <c r="G13" i="13"/>
  <c r="N567" i="9"/>
  <c r="J567" i="9"/>
  <c r="O567" i="9"/>
  <c r="N568" i="9"/>
  <c r="J568" i="9"/>
  <c r="O568" i="9"/>
  <c r="N569" i="9"/>
  <c r="J569" i="9"/>
  <c r="O569" i="9"/>
  <c r="N570" i="9"/>
  <c r="J570" i="9"/>
  <c r="O570" i="9"/>
  <c r="N2" i="9"/>
  <c r="J2" i="9"/>
  <c r="O2" i="9"/>
  <c r="N3" i="9"/>
  <c r="J3" i="9"/>
  <c r="O3" i="9"/>
  <c r="N4" i="9"/>
  <c r="J4" i="9"/>
  <c r="O4" i="9"/>
  <c r="N5" i="9"/>
  <c r="J5" i="9"/>
  <c r="O5" i="9"/>
  <c r="N6" i="9"/>
  <c r="J6" i="9"/>
  <c r="O6" i="9"/>
  <c r="N7" i="9"/>
  <c r="J7" i="9"/>
  <c r="O7" i="9"/>
  <c r="N8" i="9"/>
  <c r="J8" i="9"/>
  <c r="O8" i="9"/>
  <c r="N9" i="9"/>
  <c r="J9" i="9"/>
  <c r="O9" i="9"/>
  <c r="N10" i="9"/>
  <c r="J10" i="9"/>
  <c r="O10" i="9"/>
  <c r="N11" i="9"/>
  <c r="J11" i="9"/>
  <c r="O11" i="9"/>
  <c r="N12" i="9"/>
  <c r="J12" i="9"/>
  <c r="O12" i="9"/>
  <c r="N13" i="9"/>
  <c r="J13" i="9"/>
  <c r="O13" i="9"/>
  <c r="N14" i="9"/>
  <c r="J14" i="9"/>
  <c r="O14" i="9"/>
  <c r="N15" i="9"/>
  <c r="J15" i="9"/>
  <c r="O15" i="9"/>
  <c r="N16" i="9"/>
  <c r="J16" i="9"/>
  <c r="O16" i="9"/>
  <c r="N17" i="9"/>
  <c r="J17" i="9"/>
  <c r="O17" i="9"/>
  <c r="N18" i="9"/>
  <c r="J18" i="9"/>
  <c r="O18" i="9"/>
  <c r="N19" i="9"/>
  <c r="J19" i="9"/>
  <c r="O19" i="9"/>
  <c r="N20" i="9"/>
  <c r="J20" i="9"/>
  <c r="O20" i="9"/>
  <c r="N21" i="9"/>
  <c r="J21" i="9"/>
  <c r="O21" i="9"/>
  <c r="N22" i="9"/>
  <c r="J22" i="9"/>
  <c r="O22" i="9"/>
  <c r="N23" i="9"/>
  <c r="J23" i="9"/>
  <c r="O23" i="9"/>
  <c r="N24" i="9"/>
  <c r="J24" i="9"/>
  <c r="O24" i="9"/>
  <c r="N25" i="9"/>
  <c r="J25" i="9"/>
  <c r="O25" i="9"/>
  <c r="N26" i="9"/>
  <c r="J26" i="9"/>
  <c r="O26" i="9"/>
  <c r="N27" i="9"/>
  <c r="J27" i="9"/>
  <c r="O27" i="9"/>
  <c r="N28" i="9"/>
  <c r="J28" i="9"/>
  <c r="O28" i="9"/>
  <c r="N29" i="9"/>
  <c r="J29" i="9"/>
  <c r="O29" i="9"/>
  <c r="N30" i="9"/>
  <c r="J30" i="9"/>
  <c r="O30" i="9"/>
  <c r="N31" i="9"/>
  <c r="J31" i="9"/>
  <c r="O31" i="9"/>
  <c r="N32" i="9"/>
  <c r="J32" i="9"/>
  <c r="O32" i="9"/>
  <c r="N33" i="9"/>
  <c r="J33" i="9"/>
  <c r="O33" i="9"/>
  <c r="N34" i="9"/>
  <c r="J34" i="9"/>
  <c r="O34" i="9"/>
  <c r="N35" i="9"/>
  <c r="J35" i="9"/>
  <c r="O35" i="9"/>
  <c r="N36" i="9"/>
  <c r="J36" i="9"/>
  <c r="O36" i="9"/>
  <c r="N37" i="9"/>
  <c r="J37" i="9"/>
  <c r="O37" i="9"/>
  <c r="N38" i="9"/>
  <c r="J38" i="9"/>
  <c r="O38" i="9"/>
  <c r="N39" i="9"/>
  <c r="J39" i="9"/>
  <c r="O39" i="9"/>
  <c r="N40" i="9"/>
  <c r="J40" i="9"/>
  <c r="O40" i="9"/>
  <c r="N41" i="9"/>
  <c r="J41" i="9"/>
  <c r="O41" i="9"/>
  <c r="N42" i="9"/>
  <c r="J42" i="9"/>
  <c r="O42" i="9"/>
  <c r="N43" i="9"/>
  <c r="J43" i="9"/>
  <c r="O43" i="9"/>
  <c r="N44" i="9"/>
  <c r="J44" i="9"/>
  <c r="O44" i="9"/>
  <c r="N45" i="9"/>
  <c r="J45" i="9"/>
  <c r="O45" i="9"/>
  <c r="N46" i="9"/>
  <c r="J46" i="9"/>
  <c r="O46" i="9"/>
  <c r="N47" i="9"/>
  <c r="J47" i="9"/>
  <c r="O47" i="9"/>
  <c r="N48" i="9"/>
  <c r="J48" i="9"/>
  <c r="O48" i="9"/>
  <c r="N49" i="9"/>
  <c r="J49" i="9"/>
  <c r="O49" i="9"/>
  <c r="N50" i="9"/>
  <c r="J50" i="9"/>
  <c r="O50" i="9"/>
  <c r="N51" i="9"/>
  <c r="J51" i="9"/>
  <c r="O51" i="9"/>
  <c r="N52" i="9"/>
  <c r="J52" i="9"/>
  <c r="O52" i="9"/>
  <c r="N53" i="9"/>
  <c r="J53" i="9"/>
  <c r="O53" i="9"/>
  <c r="N54" i="9"/>
  <c r="J54" i="9"/>
  <c r="O54" i="9"/>
  <c r="N55" i="9"/>
  <c r="J55" i="9"/>
  <c r="O55" i="9"/>
  <c r="N56" i="9"/>
  <c r="J56" i="9"/>
  <c r="O56" i="9"/>
  <c r="N57" i="9"/>
  <c r="J57" i="9"/>
  <c r="O57" i="9"/>
  <c r="N58" i="9"/>
  <c r="J58" i="9"/>
  <c r="O58" i="9"/>
  <c r="N59" i="9"/>
  <c r="J59" i="9"/>
  <c r="O59" i="9"/>
  <c r="N60" i="9"/>
  <c r="J60" i="9"/>
  <c r="O60" i="9"/>
  <c r="N61" i="9"/>
  <c r="J61" i="9"/>
  <c r="O61" i="9"/>
  <c r="N62" i="9"/>
  <c r="J62" i="9"/>
  <c r="O62" i="9"/>
  <c r="N63" i="9"/>
  <c r="J63" i="9"/>
  <c r="O63" i="9"/>
  <c r="N64" i="9"/>
  <c r="J64" i="9"/>
  <c r="O64" i="9"/>
  <c r="N65" i="9"/>
  <c r="J65" i="9"/>
  <c r="O65" i="9"/>
  <c r="N66" i="9"/>
  <c r="J66" i="9"/>
  <c r="O66" i="9"/>
  <c r="N67" i="9"/>
  <c r="J67" i="9"/>
  <c r="O67" i="9"/>
  <c r="N68" i="9"/>
  <c r="J68" i="9"/>
  <c r="O68" i="9"/>
  <c r="N69" i="9"/>
  <c r="J69" i="9"/>
  <c r="O69" i="9"/>
  <c r="N70" i="9"/>
  <c r="J70" i="9"/>
  <c r="O70" i="9"/>
  <c r="N71" i="9"/>
  <c r="J71" i="9"/>
  <c r="O71" i="9"/>
  <c r="N72" i="9"/>
  <c r="J72" i="9"/>
  <c r="O72" i="9"/>
  <c r="N73" i="9"/>
  <c r="J73" i="9"/>
  <c r="O73" i="9"/>
  <c r="N74" i="9"/>
  <c r="J74" i="9"/>
  <c r="O74" i="9"/>
  <c r="N75" i="9"/>
  <c r="J75" i="9"/>
  <c r="O75" i="9"/>
  <c r="N76" i="9"/>
  <c r="J76" i="9"/>
  <c r="O76" i="9"/>
  <c r="N77" i="9"/>
  <c r="J77" i="9"/>
  <c r="O77" i="9"/>
  <c r="N78" i="9"/>
  <c r="J78" i="9"/>
  <c r="O78" i="9"/>
  <c r="N79" i="9"/>
  <c r="J79" i="9"/>
  <c r="O79" i="9"/>
  <c r="N80" i="9"/>
  <c r="J80" i="9"/>
  <c r="O80" i="9"/>
  <c r="N81" i="9"/>
  <c r="J81" i="9"/>
  <c r="O81" i="9"/>
  <c r="N82" i="9"/>
  <c r="J82" i="9"/>
  <c r="O82" i="9"/>
  <c r="N83" i="9"/>
  <c r="J83" i="9"/>
  <c r="O83" i="9"/>
  <c r="N84" i="9"/>
  <c r="J84" i="9"/>
  <c r="O84" i="9"/>
  <c r="N85" i="9"/>
  <c r="J85" i="9"/>
  <c r="O85" i="9"/>
  <c r="N86" i="9"/>
  <c r="J86" i="9"/>
  <c r="O86" i="9"/>
  <c r="N87" i="9"/>
  <c r="J87" i="9"/>
  <c r="O87" i="9"/>
  <c r="N88" i="9"/>
  <c r="J88" i="9"/>
  <c r="O88" i="9"/>
  <c r="N89" i="9"/>
  <c r="J89" i="9"/>
  <c r="O89" i="9"/>
  <c r="N90" i="9"/>
  <c r="J90" i="9"/>
  <c r="O90" i="9"/>
  <c r="N91" i="9"/>
  <c r="J91" i="9"/>
  <c r="O91" i="9"/>
  <c r="N92" i="9"/>
  <c r="J92" i="9"/>
  <c r="O92" i="9"/>
  <c r="N93" i="9"/>
  <c r="J93" i="9"/>
  <c r="O93" i="9"/>
  <c r="N94" i="9"/>
  <c r="J94" i="9"/>
  <c r="O94" i="9"/>
  <c r="N95" i="9"/>
  <c r="J95" i="9"/>
  <c r="O95" i="9"/>
  <c r="N96" i="9"/>
  <c r="J96" i="9"/>
  <c r="O96" i="9"/>
  <c r="N97" i="9"/>
  <c r="J97" i="9"/>
  <c r="O97" i="9"/>
  <c r="N98" i="9"/>
  <c r="J98" i="9"/>
  <c r="O98" i="9"/>
  <c r="N99" i="9"/>
  <c r="J99" i="9"/>
  <c r="O99" i="9"/>
  <c r="N100" i="9"/>
  <c r="J100" i="9"/>
  <c r="O100" i="9"/>
  <c r="N101" i="9"/>
  <c r="J101" i="9"/>
  <c r="O101" i="9"/>
  <c r="N102" i="9"/>
  <c r="J102" i="9"/>
  <c r="O102" i="9"/>
  <c r="N103" i="9"/>
  <c r="J103" i="9"/>
  <c r="O103" i="9"/>
  <c r="N104" i="9"/>
  <c r="J104" i="9"/>
  <c r="O104" i="9"/>
  <c r="N105" i="9"/>
  <c r="J105" i="9"/>
  <c r="O105" i="9"/>
  <c r="N106" i="9"/>
  <c r="J106" i="9"/>
  <c r="O106" i="9"/>
  <c r="N107" i="9"/>
  <c r="J107" i="9"/>
  <c r="O107" i="9"/>
  <c r="N108" i="9"/>
  <c r="J108" i="9"/>
  <c r="O108" i="9"/>
  <c r="N109" i="9"/>
  <c r="J109" i="9"/>
  <c r="O109" i="9"/>
  <c r="N110" i="9"/>
  <c r="J110" i="9"/>
  <c r="O110" i="9"/>
  <c r="N111" i="9"/>
  <c r="J111" i="9"/>
  <c r="O111" i="9"/>
  <c r="N112" i="9"/>
  <c r="J112" i="9"/>
  <c r="O112" i="9"/>
  <c r="N113" i="9"/>
  <c r="J113" i="9"/>
  <c r="O113" i="9"/>
  <c r="N114" i="9"/>
  <c r="J114" i="9"/>
  <c r="O114" i="9"/>
  <c r="N115" i="9"/>
  <c r="J115" i="9"/>
  <c r="O115" i="9"/>
  <c r="N116" i="9"/>
  <c r="J116" i="9"/>
  <c r="O116" i="9"/>
  <c r="N117" i="9"/>
  <c r="J117" i="9"/>
  <c r="O117" i="9"/>
  <c r="N118" i="9"/>
  <c r="J118" i="9"/>
  <c r="O118" i="9"/>
  <c r="N119" i="9"/>
  <c r="J119" i="9"/>
  <c r="O119" i="9"/>
  <c r="N120" i="9"/>
  <c r="J120" i="9"/>
  <c r="O120" i="9"/>
  <c r="N121" i="9"/>
  <c r="J121" i="9"/>
  <c r="O121" i="9"/>
  <c r="N122" i="9"/>
  <c r="J122" i="9"/>
  <c r="O122" i="9"/>
  <c r="N123" i="9"/>
  <c r="J123" i="9"/>
  <c r="O123" i="9"/>
  <c r="N124" i="9"/>
  <c r="J124" i="9"/>
  <c r="O124" i="9"/>
  <c r="N125" i="9"/>
  <c r="J125" i="9"/>
  <c r="O125" i="9"/>
  <c r="N126" i="9"/>
  <c r="J126" i="9"/>
  <c r="O126" i="9"/>
  <c r="N127" i="9"/>
  <c r="J127" i="9"/>
  <c r="O127" i="9"/>
  <c r="N128" i="9"/>
  <c r="J128" i="9"/>
  <c r="O128" i="9"/>
  <c r="N129" i="9"/>
  <c r="J129" i="9"/>
  <c r="O129" i="9"/>
  <c r="N130" i="9"/>
  <c r="J130" i="9"/>
  <c r="O130" i="9"/>
  <c r="N131" i="9"/>
  <c r="J131" i="9"/>
  <c r="O131" i="9"/>
  <c r="N132" i="9"/>
  <c r="J132" i="9"/>
  <c r="O132" i="9"/>
  <c r="N133" i="9"/>
  <c r="J133" i="9"/>
  <c r="O133" i="9"/>
  <c r="N134" i="9"/>
  <c r="J134" i="9"/>
  <c r="O134" i="9"/>
  <c r="N135" i="9"/>
  <c r="J135" i="9"/>
  <c r="O135" i="9"/>
  <c r="N136" i="9"/>
  <c r="J136" i="9"/>
  <c r="O136" i="9"/>
  <c r="N137" i="9"/>
  <c r="J137" i="9"/>
  <c r="O137" i="9"/>
  <c r="N138" i="9"/>
  <c r="J138" i="9"/>
  <c r="O138" i="9"/>
  <c r="N139" i="9"/>
  <c r="J139" i="9"/>
  <c r="O139" i="9"/>
  <c r="N140" i="9"/>
  <c r="J140" i="9"/>
  <c r="O140" i="9"/>
  <c r="N141" i="9"/>
  <c r="J141" i="9"/>
  <c r="O141" i="9"/>
  <c r="N142" i="9"/>
  <c r="J142" i="9"/>
  <c r="O142" i="9"/>
  <c r="N143" i="9"/>
  <c r="J143" i="9"/>
  <c r="O143" i="9"/>
  <c r="N144" i="9"/>
  <c r="J144" i="9"/>
  <c r="O144" i="9"/>
  <c r="N145" i="9"/>
  <c r="J145" i="9"/>
  <c r="O145" i="9"/>
  <c r="N147" i="9"/>
  <c r="J147" i="9"/>
  <c r="O147" i="9"/>
  <c r="N148" i="9"/>
  <c r="J148" i="9"/>
  <c r="O148" i="9"/>
  <c r="N149" i="9"/>
  <c r="J149" i="9"/>
  <c r="O149" i="9"/>
  <c r="N150" i="9"/>
  <c r="J150" i="9"/>
  <c r="O150" i="9"/>
  <c r="N151" i="9"/>
  <c r="J151" i="9"/>
  <c r="O151" i="9"/>
  <c r="N152" i="9"/>
  <c r="J152" i="9"/>
  <c r="O152" i="9"/>
  <c r="N153" i="9"/>
  <c r="J153" i="9"/>
  <c r="O153" i="9"/>
  <c r="N154" i="9"/>
  <c r="J154" i="9"/>
  <c r="O154" i="9"/>
  <c r="N155" i="9"/>
  <c r="J155" i="9"/>
  <c r="O155" i="9"/>
  <c r="N156" i="9"/>
  <c r="J156" i="9"/>
  <c r="O156" i="9"/>
  <c r="N157" i="9"/>
  <c r="J157" i="9"/>
  <c r="O157" i="9"/>
  <c r="N158" i="9"/>
  <c r="J158" i="9"/>
  <c r="O158" i="9"/>
  <c r="N159" i="9"/>
  <c r="J159" i="9"/>
  <c r="O159" i="9"/>
  <c r="N160" i="9"/>
  <c r="J160" i="9"/>
  <c r="O160" i="9"/>
  <c r="N161" i="9"/>
  <c r="J161" i="9"/>
  <c r="O161" i="9"/>
  <c r="N162" i="9"/>
  <c r="J162" i="9"/>
  <c r="O162" i="9"/>
  <c r="N163" i="9"/>
  <c r="J163" i="9"/>
  <c r="O163" i="9"/>
  <c r="N164" i="9"/>
  <c r="J164" i="9"/>
  <c r="O164" i="9"/>
  <c r="N168" i="9"/>
  <c r="J168" i="9"/>
  <c r="O168" i="9"/>
  <c r="N169" i="9"/>
  <c r="J169" i="9"/>
  <c r="O169" i="9"/>
  <c r="N170" i="9"/>
  <c r="J170" i="9"/>
  <c r="O170" i="9"/>
  <c r="N171" i="9"/>
  <c r="J171" i="9"/>
  <c r="O171" i="9"/>
  <c r="N172" i="9"/>
  <c r="J172" i="9"/>
  <c r="O172" i="9"/>
  <c r="N173" i="9"/>
  <c r="J173" i="9"/>
  <c r="O173" i="9"/>
  <c r="N174" i="9"/>
  <c r="J174" i="9"/>
  <c r="O174" i="9"/>
  <c r="N175" i="9"/>
  <c r="J175" i="9"/>
  <c r="O175" i="9"/>
  <c r="N176" i="9"/>
  <c r="J176" i="9"/>
  <c r="O176" i="9"/>
  <c r="N177" i="9"/>
  <c r="J177" i="9"/>
  <c r="O177" i="9"/>
  <c r="N178" i="9"/>
  <c r="J178" i="9"/>
  <c r="O178" i="9"/>
  <c r="N179" i="9"/>
  <c r="J179" i="9"/>
  <c r="O179" i="9"/>
  <c r="N180" i="9"/>
  <c r="J180" i="9"/>
  <c r="O180" i="9"/>
  <c r="N181" i="9"/>
  <c r="J181" i="9"/>
  <c r="O181" i="9"/>
  <c r="N182" i="9"/>
  <c r="J182" i="9"/>
  <c r="O182" i="9"/>
  <c r="N183" i="9"/>
  <c r="J183" i="9"/>
  <c r="O183" i="9"/>
  <c r="N184" i="9"/>
  <c r="J184" i="9"/>
  <c r="O184" i="9"/>
  <c r="N185" i="9"/>
  <c r="J185" i="9"/>
  <c r="O185" i="9"/>
  <c r="N186" i="9"/>
  <c r="J186" i="9"/>
  <c r="O186" i="9"/>
  <c r="N187" i="9"/>
  <c r="J187" i="9"/>
  <c r="O187" i="9"/>
  <c r="N188" i="9"/>
  <c r="J188" i="9"/>
  <c r="O188" i="9"/>
  <c r="N189" i="9"/>
  <c r="J189" i="9"/>
  <c r="O189" i="9"/>
  <c r="N190" i="9"/>
  <c r="J190" i="9"/>
  <c r="O190" i="9"/>
  <c r="N191" i="9"/>
  <c r="J191" i="9"/>
  <c r="O191" i="9"/>
  <c r="N192" i="9"/>
  <c r="J192" i="9"/>
  <c r="O192" i="9"/>
  <c r="N193" i="9"/>
  <c r="J193" i="9"/>
  <c r="O193" i="9"/>
  <c r="N194" i="9"/>
  <c r="J194" i="9"/>
  <c r="O194" i="9"/>
  <c r="N195" i="9"/>
  <c r="J195" i="9"/>
  <c r="O195" i="9"/>
  <c r="N196" i="9"/>
  <c r="J196" i="9"/>
  <c r="O196" i="9"/>
  <c r="N197" i="9"/>
  <c r="J197" i="9"/>
  <c r="O197" i="9"/>
  <c r="N198" i="9"/>
  <c r="J198" i="9"/>
  <c r="O198" i="9"/>
  <c r="N199" i="9"/>
  <c r="J199" i="9"/>
  <c r="O199" i="9"/>
  <c r="N200" i="9"/>
  <c r="J200" i="9"/>
  <c r="O200" i="9"/>
  <c r="N201" i="9"/>
  <c r="J201" i="9"/>
  <c r="O201" i="9"/>
  <c r="N202" i="9"/>
  <c r="J202" i="9"/>
  <c r="O202" i="9"/>
  <c r="N203" i="9"/>
  <c r="J203" i="9"/>
  <c r="O203" i="9"/>
  <c r="N204" i="9"/>
  <c r="J204" i="9"/>
  <c r="O204" i="9"/>
  <c r="N205" i="9"/>
  <c r="J205" i="9"/>
  <c r="O205" i="9"/>
  <c r="N206" i="9"/>
  <c r="J206" i="9"/>
  <c r="O206" i="9"/>
  <c r="N207" i="9"/>
  <c r="J207" i="9"/>
  <c r="O207" i="9"/>
  <c r="N208" i="9"/>
  <c r="J208" i="9"/>
  <c r="O208" i="9"/>
  <c r="N209" i="9"/>
  <c r="J209" i="9"/>
  <c r="O209" i="9"/>
  <c r="N210" i="9"/>
  <c r="J210" i="9"/>
  <c r="O210" i="9"/>
  <c r="N211" i="9"/>
  <c r="J211" i="9"/>
  <c r="O211" i="9"/>
  <c r="N212" i="9"/>
  <c r="J212" i="9"/>
  <c r="O212" i="9"/>
  <c r="N213" i="9"/>
  <c r="J213" i="9"/>
  <c r="O213" i="9"/>
  <c r="N214" i="9"/>
  <c r="J214" i="9"/>
  <c r="O214" i="9"/>
  <c r="N215" i="9"/>
  <c r="J215" i="9"/>
  <c r="O215" i="9"/>
  <c r="N216" i="9"/>
  <c r="J216" i="9"/>
  <c r="O216" i="9"/>
  <c r="N217" i="9"/>
  <c r="J217" i="9"/>
  <c r="O217" i="9"/>
  <c r="N218" i="9"/>
  <c r="J218" i="9"/>
  <c r="O218" i="9"/>
  <c r="N219" i="9"/>
  <c r="J219" i="9"/>
  <c r="O219" i="9"/>
  <c r="N220" i="9"/>
  <c r="J220" i="9"/>
  <c r="O220" i="9"/>
  <c r="N221" i="9"/>
  <c r="J221" i="9"/>
  <c r="O221" i="9"/>
  <c r="N222" i="9"/>
  <c r="J222" i="9"/>
  <c r="O222" i="9"/>
  <c r="N223" i="9"/>
  <c r="J223" i="9"/>
  <c r="O223" i="9"/>
  <c r="N224" i="9"/>
  <c r="J224" i="9"/>
  <c r="O224" i="9"/>
  <c r="N225" i="9"/>
  <c r="J225" i="9"/>
  <c r="O225" i="9"/>
  <c r="N226" i="9"/>
  <c r="J226" i="9"/>
  <c r="O226" i="9"/>
  <c r="N227" i="9"/>
  <c r="J227" i="9"/>
  <c r="O227" i="9"/>
  <c r="N228" i="9"/>
  <c r="J228" i="9"/>
  <c r="O228" i="9"/>
  <c r="N229" i="9"/>
  <c r="J229" i="9"/>
  <c r="O229" i="9"/>
  <c r="N230" i="9"/>
  <c r="J230" i="9"/>
  <c r="O230" i="9"/>
  <c r="N231" i="9"/>
  <c r="J231" i="9"/>
  <c r="O231" i="9"/>
  <c r="N232" i="9"/>
  <c r="J232" i="9"/>
  <c r="O232" i="9"/>
  <c r="N233" i="9"/>
  <c r="J233" i="9"/>
  <c r="O233" i="9"/>
  <c r="N234" i="9"/>
  <c r="J234" i="9"/>
  <c r="O234" i="9"/>
  <c r="N235" i="9"/>
  <c r="J235" i="9"/>
  <c r="O235" i="9"/>
  <c r="N236" i="9"/>
  <c r="J236" i="9"/>
  <c r="O236" i="9"/>
  <c r="N237" i="9"/>
  <c r="J237" i="9"/>
  <c r="O237" i="9"/>
  <c r="N238" i="9"/>
  <c r="J238" i="9"/>
  <c r="O238" i="9"/>
  <c r="N239" i="9"/>
  <c r="J239" i="9"/>
  <c r="O239" i="9"/>
  <c r="N240" i="9"/>
  <c r="J240" i="9"/>
  <c r="O240" i="9"/>
  <c r="N241" i="9"/>
  <c r="J241" i="9"/>
  <c r="O241" i="9"/>
  <c r="N242" i="9"/>
  <c r="J242" i="9"/>
  <c r="O242" i="9"/>
  <c r="N243" i="9"/>
  <c r="J243" i="9"/>
  <c r="O243" i="9"/>
  <c r="N244" i="9"/>
  <c r="J244" i="9"/>
  <c r="O244" i="9"/>
  <c r="N245" i="9"/>
  <c r="J245" i="9"/>
  <c r="O245" i="9"/>
  <c r="N246" i="9"/>
  <c r="J246" i="9"/>
  <c r="O246" i="9"/>
  <c r="N247" i="9"/>
  <c r="J247" i="9"/>
  <c r="O247" i="9"/>
  <c r="N248" i="9"/>
  <c r="J248" i="9"/>
  <c r="O248" i="9"/>
  <c r="N249" i="9"/>
  <c r="J249" i="9"/>
  <c r="O249" i="9"/>
  <c r="N250" i="9"/>
  <c r="J250" i="9"/>
  <c r="O250" i="9"/>
  <c r="N251" i="9"/>
  <c r="J251" i="9"/>
  <c r="O251" i="9"/>
  <c r="N252" i="9"/>
  <c r="J252" i="9"/>
  <c r="O252" i="9"/>
  <c r="N253" i="9"/>
  <c r="J253" i="9"/>
  <c r="O253" i="9"/>
  <c r="N254" i="9"/>
  <c r="J254" i="9"/>
  <c r="O254" i="9"/>
  <c r="N255" i="9"/>
  <c r="J255" i="9"/>
  <c r="O255" i="9"/>
  <c r="N256" i="9"/>
  <c r="J256" i="9"/>
  <c r="O256" i="9"/>
  <c r="N257" i="9"/>
  <c r="J257" i="9"/>
  <c r="O257" i="9"/>
  <c r="N258" i="9"/>
  <c r="J258" i="9"/>
  <c r="O258" i="9"/>
  <c r="N259" i="9"/>
  <c r="J259" i="9"/>
  <c r="O259" i="9"/>
  <c r="N260" i="9"/>
  <c r="J260" i="9"/>
  <c r="O260" i="9"/>
  <c r="N261" i="9"/>
  <c r="J261" i="9"/>
  <c r="O261" i="9"/>
  <c r="N262" i="9"/>
  <c r="J262" i="9"/>
  <c r="O262" i="9"/>
  <c r="N263" i="9"/>
  <c r="J263" i="9"/>
  <c r="O263" i="9"/>
  <c r="N264" i="9"/>
  <c r="J264" i="9"/>
  <c r="O264" i="9"/>
  <c r="N265" i="9"/>
  <c r="J265" i="9"/>
  <c r="O265" i="9"/>
  <c r="N266" i="9"/>
  <c r="J266" i="9"/>
  <c r="O266" i="9"/>
  <c r="N267" i="9"/>
  <c r="J267" i="9"/>
  <c r="O267" i="9"/>
  <c r="N268" i="9"/>
  <c r="J268" i="9"/>
  <c r="O268" i="9"/>
  <c r="N269" i="9"/>
  <c r="J269" i="9"/>
  <c r="O269" i="9"/>
  <c r="N270" i="9"/>
  <c r="J270" i="9"/>
  <c r="O270" i="9"/>
  <c r="N271" i="9"/>
  <c r="J271" i="9"/>
  <c r="O271" i="9"/>
  <c r="N272" i="9"/>
  <c r="J272" i="9"/>
  <c r="O272" i="9"/>
  <c r="N273" i="9"/>
  <c r="J273" i="9"/>
  <c r="O273" i="9"/>
  <c r="N274" i="9"/>
  <c r="J274" i="9"/>
  <c r="O274" i="9"/>
  <c r="N275" i="9"/>
  <c r="J275" i="9"/>
  <c r="O275" i="9"/>
  <c r="N276" i="9"/>
  <c r="J276" i="9"/>
  <c r="O276" i="9"/>
  <c r="N277" i="9"/>
  <c r="J277" i="9"/>
  <c r="O277" i="9"/>
  <c r="N278" i="9"/>
  <c r="J278" i="9"/>
  <c r="O278" i="9"/>
  <c r="N279" i="9"/>
  <c r="J279" i="9"/>
  <c r="O279" i="9"/>
  <c r="N280" i="9"/>
  <c r="J280" i="9"/>
  <c r="O280" i="9"/>
  <c r="N281" i="9"/>
  <c r="J281" i="9"/>
  <c r="O281" i="9"/>
  <c r="N282" i="9"/>
  <c r="J282" i="9"/>
  <c r="O282" i="9"/>
  <c r="N283" i="9"/>
  <c r="J283" i="9"/>
  <c r="O283" i="9"/>
  <c r="N284" i="9"/>
  <c r="J284" i="9"/>
  <c r="O284" i="9"/>
  <c r="N285" i="9"/>
  <c r="J285" i="9"/>
  <c r="O285" i="9"/>
  <c r="N286" i="9"/>
  <c r="J286" i="9"/>
  <c r="O286" i="9"/>
  <c r="N287" i="9"/>
  <c r="J287" i="9"/>
  <c r="O287" i="9"/>
  <c r="N288" i="9"/>
  <c r="J288" i="9"/>
  <c r="O288" i="9"/>
  <c r="N289" i="9"/>
  <c r="J289" i="9"/>
  <c r="O289" i="9"/>
  <c r="N290" i="9"/>
  <c r="J290" i="9"/>
  <c r="O290" i="9"/>
  <c r="N291" i="9"/>
  <c r="J291" i="9"/>
  <c r="O291" i="9"/>
  <c r="N292" i="9"/>
  <c r="J292" i="9"/>
  <c r="O292" i="9"/>
  <c r="N293" i="9"/>
  <c r="J293" i="9"/>
  <c r="O293" i="9"/>
  <c r="N294" i="9"/>
  <c r="J294" i="9"/>
  <c r="O294" i="9"/>
  <c r="N295" i="9"/>
  <c r="J295" i="9"/>
  <c r="O295" i="9"/>
  <c r="N296" i="9"/>
  <c r="J296" i="9"/>
  <c r="O296" i="9"/>
  <c r="N297" i="9"/>
  <c r="J297" i="9"/>
  <c r="O297" i="9"/>
  <c r="N298" i="9"/>
  <c r="J298" i="9"/>
  <c r="O298" i="9"/>
  <c r="N299" i="9"/>
  <c r="J299" i="9"/>
  <c r="O299" i="9"/>
  <c r="N300" i="9"/>
  <c r="J300" i="9"/>
  <c r="O300" i="9"/>
  <c r="N301" i="9"/>
  <c r="J301" i="9"/>
  <c r="O301" i="9"/>
  <c r="N302" i="9"/>
  <c r="J302" i="9"/>
  <c r="O302" i="9"/>
  <c r="N303" i="9"/>
  <c r="J303" i="9"/>
  <c r="O303" i="9"/>
  <c r="N304" i="9"/>
  <c r="J304" i="9"/>
  <c r="O304" i="9"/>
  <c r="N305" i="9"/>
  <c r="J305" i="9"/>
  <c r="O305" i="9"/>
  <c r="N306" i="9"/>
  <c r="J306" i="9"/>
  <c r="O306" i="9"/>
  <c r="N307" i="9"/>
  <c r="J307" i="9"/>
  <c r="O307" i="9"/>
  <c r="N308" i="9"/>
  <c r="J308" i="9"/>
  <c r="O308" i="9"/>
  <c r="N309" i="9"/>
  <c r="J309" i="9"/>
  <c r="O309" i="9"/>
  <c r="N310" i="9"/>
  <c r="J310" i="9"/>
  <c r="O310" i="9"/>
  <c r="N311" i="9"/>
  <c r="J311" i="9"/>
  <c r="O311" i="9"/>
  <c r="N312" i="9"/>
  <c r="J312" i="9"/>
  <c r="O312" i="9"/>
  <c r="N313" i="9"/>
  <c r="J313" i="9"/>
  <c r="O313" i="9"/>
  <c r="N314" i="9"/>
  <c r="J314" i="9"/>
  <c r="O314" i="9"/>
  <c r="N315" i="9"/>
  <c r="J315" i="9"/>
  <c r="O315" i="9"/>
  <c r="N316" i="9"/>
  <c r="J316" i="9"/>
  <c r="O316" i="9"/>
  <c r="N317" i="9"/>
  <c r="J317" i="9"/>
  <c r="O317" i="9"/>
  <c r="N318" i="9"/>
  <c r="J318" i="9"/>
  <c r="O318" i="9"/>
  <c r="N319" i="9"/>
  <c r="J319" i="9"/>
  <c r="O319" i="9"/>
  <c r="N320" i="9"/>
  <c r="J320" i="9"/>
  <c r="O320" i="9"/>
  <c r="N321" i="9"/>
  <c r="J321" i="9"/>
  <c r="O321" i="9"/>
  <c r="N322" i="9"/>
  <c r="J322" i="9"/>
  <c r="O322" i="9"/>
  <c r="N323" i="9"/>
  <c r="J323" i="9"/>
  <c r="O323" i="9"/>
  <c r="N324" i="9"/>
  <c r="J324" i="9"/>
  <c r="O324" i="9"/>
  <c r="N325" i="9"/>
  <c r="J325" i="9"/>
  <c r="O325" i="9"/>
  <c r="N326" i="9"/>
  <c r="J326" i="9"/>
  <c r="O326" i="9"/>
  <c r="N327" i="9"/>
  <c r="J327" i="9"/>
  <c r="O327" i="9"/>
  <c r="N328" i="9"/>
  <c r="J328" i="9"/>
  <c r="O328" i="9"/>
  <c r="N329" i="9"/>
  <c r="J329" i="9"/>
  <c r="O329" i="9"/>
  <c r="N330" i="9"/>
  <c r="J330" i="9"/>
  <c r="O330" i="9"/>
  <c r="N331" i="9"/>
  <c r="J331" i="9"/>
  <c r="O331" i="9"/>
  <c r="N332" i="9"/>
  <c r="J332" i="9"/>
  <c r="O332" i="9"/>
  <c r="N333" i="9"/>
  <c r="J333" i="9"/>
  <c r="O333" i="9"/>
  <c r="N334" i="9"/>
  <c r="J334" i="9"/>
  <c r="O334" i="9"/>
  <c r="N335" i="9"/>
  <c r="J335" i="9"/>
  <c r="O335" i="9"/>
  <c r="N336" i="9"/>
  <c r="J336" i="9"/>
  <c r="O336" i="9"/>
  <c r="N337" i="9"/>
  <c r="J337" i="9"/>
  <c r="O337" i="9"/>
  <c r="N338" i="9"/>
  <c r="J338" i="9"/>
  <c r="O338" i="9"/>
  <c r="N339" i="9"/>
  <c r="J339" i="9"/>
  <c r="O339" i="9"/>
  <c r="N340" i="9"/>
  <c r="J340" i="9"/>
  <c r="O340" i="9"/>
  <c r="N341" i="9"/>
  <c r="J341" i="9"/>
  <c r="O341" i="9"/>
  <c r="N342" i="9"/>
  <c r="J342" i="9"/>
  <c r="O342" i="9"/>
  <c r="N343" i="9"/>
  <c r="J343" i="9"/>
  <c r="O343" i="9"/>
  <c r="N344" i="9"/>
  <c r="J344" i="9"/>
  <c r="O344" i="9"/>
  <c r="N345" i="9"/>
  <c r="J345" i="9"/>
  <c r="O345" i="9"/>
  <c r="N346" i="9"/>
  <c r="J346" i="9"/>
  <c r="O346" i="9"/>
  <c r="N347" i="9"/>
  <c r="J347" i="9"/>
  <c r="O347" i="9"/>
  <c r="N348" i="9"/>
  <c r="J348" i="9"/>
  <c r="O348" i="9"/>
  <c r="N349" i="9"/>
  <c r="J349" i="9"/>
  <c r="O349" i="9"/>
  <c r="N350" i="9"/>
  <c r="J350" i="9"/>
  <c r="O350" i="9"/>
  <c r="N351" i="9"/>
  <c r="J351" i="9"/>
  <c r="O351" i="9"/>
  <c r="N352" i="9"/>
  <c r="J352" i="9"/>
  <c r="O352" i="9"/>
  <c r="N353" i="9"/>
  <c r="J353" i="9"/>
  <c r="O353" i="9"/>
  <c r="N354" i="9"/>
  <c r="J354" i="9"/>
  <c r="O354" i="9"/>
  <c r="N355" i="9"/>
  <c r="J355" i="9"/>
  <c r="O355" i="9"/>
  <c r="N356" i="9"/>
  <c r="J356" i="9"/>
  <c r="O356" i="9"/>
  <c r="N357" i="9"/>
  <c r="J357" i="9"/>
  <c r="O357" i="9"/>
  <c r="N358" i="9"/>
  <c r="J358" i="9"/>
  <c r="O358" i="9"/>
  <c r="N359" i="9"/>
  <c r="J359" i="9"/>
  <c r="O359" i="9"/>
  <c r="N360" i="9"/>
  <c r="J360" i="9"/>
  <c r="O360" i="9"/>
  <c r="N361" i="9"/>
  <c r="J361" i="9"/>
  <c r="O361" i="9"/>
  <c r="N362" i="9"/>
  <c r="J362" i="9"/>
  <c r="O362" i="9"/>
  <c r="N363" i="9"/>
  <c r="J363" i="9"/>
  <c r="O363" i="9"/>
  <c r="N364" i="9"/>
  <c r="J364" i="9"/>
  <c r="O364" i="9"/>
  <c r="N365" i="9"/>
  <c r="J365" i="9"/>
  <c r="O365" i="9"/>
  <c r="N366" i="9"/>
  <c r="J366" i="9"/>
  <c r="O366" i="9"/>
  <c r="N367" i="9"/>
  <c r="J367" i="9"/>
  <c r="O367" i="9"/>
  <c r="N368" i="9"/>
  <c r="J368" i="9"/>
  <c r="O368" i="9"/>
  <c r="N369" i="9"/>
  <c r="J369" i="9"/>
  <c r="O369" i="9"/>
  <c r="N370" i="9"/>
  <c r="J370" i="9"/>
  <c r="O370" i="9"/>
  <c r="N371" i="9"/>
  <c r="J371" i="9"/>
  <c r="O371" i="9"/>
  <c r="N372" i="9"/>
  <c r="J372" i="9"/>
  <c r="O372" i="9"/>
  <c r="N373" i="9"/>
  <c r="J373" i="9"/>
  <c r="O373" i="9"/>
  <c r="N374" i="9"/>
  <c r="J374" i="9"/>
  <c r="O374" i="9"/>
  <c r="N375" i="9"/>
  <c r="J375" i="9"/>
  <c r="O375" i="9"/>
  <c r="N376" i="9"/>
  <c r="J376" i="9"/>
  <c r="O376" i="9"/>
  <c r="N377" i="9"/>
  <c r="J377" i="9"/>
  <c r="O377" i="9"/>
  <c r="N378" i="9"/>
  <c r="J378" i="9"/>
  <c r="O378" i="9"/>
  <c r="N379" i="9"/>
  <c r="J379" i="9"/>
  <c r="O379" i="9"/>
  <c r="N380" i="9"/>
  <c r="J380" i="9"/>
  <c r="O380" i="9"/>
  <c r="N381" i="9"/>
  <c r="J381" i="9"/>
  <c r="O381" i="9"/>
  <c r="N382" i="9"/>
  <c r="J382" i="9"/>
  <c r="O382" i="9"/>
  <c r="N383" i="9"/>
  <c r="J383" i="9"/>
  <c r="O383" i="9"/>
  <c r="N384" i="9"/>
  <c r="J384" i="9"/>
  <c r="O384" i="9"/>
  <c r="N385" i="9"/>
  <c r="J385" i="9"/>
  <c r="O385" i="9"/>
  <c r="N386" i="9"/>
  <c r="J386" i="9"/>
  <c r="O386" i="9"/>
  <c r="N387" i="9"/>
  <c r="J387" i="9"/>
  <c r="O387" i="9"/>
  <c r="N388" i="9"/>
  <c r="J388" i="9"/>
  <c r="O388" i="9"/>
  <c r="N389" i="9"/>
  <c r="J389" i="9"/>
  <c r="O389" i="9"/>
  <c r="N390" i="9"/>
  <c r="J390" i="9"/>
  <c r="O390" i="9"/>
  <c r="N391" i="9"/>
  <c r="J391" i="9"/>
  <c r="O391" i="9"/>
  <c r="N392" i="9"/>
  <c r="J392" i="9"/>
  <c r="O392" i="9"/>
  <c r="N393" i="9"/>
  <c r="J393" i="9"/>
  <c r="O393" i="9"/>
  <c r="N394" i="9"/>
  <c r="J394" i="9"/>
  <c r="O394" i="9"/>
  <c r="N395" i="9"/>
  <c r="J395" i="9"/>
  <c r="O395" i="9"/>
  <c r="N396" i="9"/>
  <c r="J396" i="9"/>
  <c r="O396" i="9"/>
  <c r="N397" i="9"/>
  <c r="J397" i="9"/>
  <c r="O397" i="9"/>
  <c r="N398" i="9"/>
  <c r="J398" i="9"/>
  <c r="O398" i="9"/>
  <c r="N399" i="9"/>
  <c r="J399" i="9"/>
  <c r="O399" i="9"/>
  <c r="N400" i="9"/>
  <c r="J400" i="9"/>
  <c r="O400" i="9"/>
  <c r="N401" i="9"/>
  <c r="J401" i="9"/>
  <c r="O401" i="9"/>
  <c r="N402" i="9"/>
  <c r="J402" i="9"/>
  <c r="O402" i="9"/>
  <c r="N403" i="9"/>
  <c r="J403" i="9"/>
  <c r="O403" i="9"/>
  <c r="N404" i="9"/>
  <c r="J404" i="9"/>
  <c r="O404" i="9"/>
  <c r="N405" i="9"/>
  <c r="J405" i="9"/>
  <c r="O405" i="9"/>
  <c r="N406" i="9"/>
  <c r="J406" i="9"/>
  <c r="O406" i="9"/>
  <c r="N407" i="9"/>
  <c r="J407" i="9"/>
  <c r="O407" i="9"/>
  <c r="N408" i="9"/>
  <c r="J408" i="9"/>
  <c r="O408" i="9"/>
  <c r="N409" i="9"/>
  <c r="J409" i="9"/>
  <c r="O409" i="9"/>
  <c r="N410" i="9"/>
  <c r="J410" i="9"/>
  <c r="O410" i="9"/>
  <c r="N411" i="9"/>
  <c r="J411" i="9"/>
  <c r="O411" i="9"/>
  <c r="N412" i="9"/>
  <c r="J412" i="9"/>
  <c r="O412" i="9"/>
  <c r="N413" i="9"/>
  <c r="J413" i="9"/>
  <c r="O413" i="9"/>
  <c r="N414" i="9"/>
  <c r="J414" i="9"/>
  <c r="O414" i="9"/>
  <c r="N415" i="9"/>
  <c r="J415" i="9"/>
  <c r="O415" i="9"/>
  <c r="N416" i="9"/>
  <c r="J416" i="9"/>
  <c r="O416" i="9"/>
  <c r="N417" i="9"/>
  <c r="J417" i="9"/>
  <c r="O417" i="9"/>
  <c r="N418" i="9"/>
  <c r="J418" i="9"/>
  <c r="O418" i="9"/>
  <c r="N419" i="9"/>
  <c r="J419" i="9"/>
  <c r="O419" i="9"/>
  <c r="N420" i="9"/>
  <c r="J420" i="9"/>
  <c r="O420" i="9"/>
  <c r="N421" i="9"/>
  <c r="J421" i="9"/>
  <c r="O421" i="9"/>
  <c r="N422" i="9"/>
  <c r="J422" i="9"/>
  <c r="O422" i="9"/>
  <c r="N423" i="9"/>
  <c r="J423" i="9"/>
  <c r="O423" i="9"/>
  <c r="N424" i="9"/>
  <c r="J424" i="9"/>
  <c r="O424" i="9"/>
  <c r="N425" i="9"/>
  <c r="J425" i="9"/>
  <c r="O425" i="9"/>
  <c r="N426" i="9"/>
  <c r="J426" i="9"/>
  <c r="O426" i="9"/>
  <c r="N427" i="9"/>
  <c r="J427" i="9"/>
  <c r="O427" i="9"/>
  <c r="N428" i="9"/>
  <c r="J428" i="9"/>
  <c r="O428" i="9"/>
  <c r="N429" i="9"/>
  <c r="J429" i="9"/>
  <c r="O429" i="9"/>
  <c r="N430" i="9"/>
  <c r="J430" i="9"/>
  <c r="O430" i="9"/>
  <c r="N431" i="9"/>
  <c r="J431" i="9"/>
  <c r="O431" i="9"/>
  <c r="N432" i="9"/>
  <c r="J432" i="9"/>
  <c r="O432" i="9"/>
  <c r="N433" i="9"/>
  <c r="J433" i="9"/>
  <c r="O433" i="9"/>
  <c r="N434" i="9"/>
  <c r="J434" i="9"/>
  <c r="O434" i="9"/>
  <c r="N435" i="9"/>
  <c r="J435" i="9"/>
  <c r="O435" i="9"/>
  <c r="N436" i="9"/>
  <c r="J436" i="9"/>
  <c r="O436" i="9"/>
  <c r="N437" i="9"/>
  <c r="J437" i="9"/>
  <c r="O437" i="9"/>
  <c r="N438" i="9"/>
  <c r="J438" i="9"/>
  <c r="O438" i="9"/>
  <c r="N439" i="9"/>
  <c r="J439" i="9"/>
  <c r="O439" i="9"/>
  <c r="N440" i="9"/>
  <c r="J440" i="9"/>
  <c r="O440" i="9"/>
  <c r="N441" i="9"/>
  <c r="J441" i="9"/>
  <c r="O441" i="9"/>
  <c r="N442" i="9"/>
  <c r="J442" i="9"/>
  <c r="O442" i="9"/>
  <c r="N443" i="9"/>
  <c r="J443" i="9"/>
  <c r="O443" i="9"/>
  <c r="N444" i="9"/>
  <c r="J444" i="9"/>
  <c r="O444" i="9"/>
  <c r="N445" i="9"/>
  <c r="J445" i="9"/>
  <c r="O445" i="9"/>
  <c r="N446" i="9"/>
  <c r="J446" i="9"/>
  <c r="O446" i="9"/>
  <c r="N447" i="9"/>
  <c r="J447" i="9"/>
  <c r="O447" i="9"/>
  <c r="N448" i="9"/>
  <c r="J448" i="9"/>
  <c r="O448" i="9"/>
  <c r="N449" i="9"/>
  <c r="J449" i="9"/>
  <c r="O449" i="9"/>
  <c r="N450" i="9"/>
  <c r="J450" i="9"/>
  <c r="O450" i="9"/>
  <c r="N451" i="9"/>
  <c r="J451" i="9"/>
  <c r="O451" i="9"/>
  <c r="N452" i="9"/>
  <c r="J452" i="9"/>
  <c r="O452" i="9"/>
  <c r="N453" i="9"/>
  <c r="J453" i="9"/>
  <c r="O453" i="9"/>
  <c r="N454" i="9"/>
  <c r="J454" i="9"/>
  <c r="O454" i="9"/>
  <c r="N455" i="9"/>
  <c r="J455" i="9"/>
  <c r="O455" i="9"/>
  <c r="N456" i="9"/>
  <c r="J456" i="9"/>
  <c r="O456" i="9"/>
  <c r="N457" i="9"/>
  <c r="J457" i="9"/>
  <c r="O457" i="9"/>
  <c r="N458" i="9"/>
  <c r="J458" i="9"/>
  <c r="O458" i="9"/>
  <c r="N459" i="9"/>
  <c r="J459" i="9"/>
  <c r="O459" i="9"/>
  <c r="N460" i="9"/>
  <c r="J460" i="9"/>
  <c r="O460" i="9"/>
  <c r="N461" i="9"/>
  <c r="J461" i="9"/>
  <c r="O461" i="9"/>
  <c r="N462" i="9"/>
  <c r="J462" i="9"/>
  <c r="O462" i="9"/>
  <c r="N463" i="9"/>
  <c r="J463" i="9"/>
  <c r="O463" i="9"/>
  <c r="N464" i="9"/>
  <c r="J464" i="9"/>
  <c r="O464" i="9"/>
  <c r="N465" i="9"/>
  <c r="J465" i="9"/>
  <c r="O465" i="9"/>
  <c r="N466" i="9"/>
  <c r="J466" i="9"/>
  <c r="O466" i="9"/>
  <c r="N467" i="9"/>
  <c r="J467" i="9"/>
  <c r="O467" i="9"/>
  <c r="N468" i="9"/>
  <c r="J468" i="9"/>
  <c r="O468" i="9"/>
  <c r="N469" i="9"/>
  <c r="J469" i="9"/>
  <c r="O469" i="9"/>
  <c r="N470" i="9"/>
  <c r="J470" i="9"/>
  <c r="O470" i="9"/>
  <c r="N471" i="9"/>
  <c r="J471" i="9"/>
  <c r="O471" i="9"/>
  <c r="N472" i="9"/>
  <c r="J472" i="9"/>
  <c r="O472" i="9"/>
  <c r="N473" i="9"/>
  <c r="J473" i="9"/>
  <c r="O473" i="9"/>
  <c r="N474" i="9"/>
  <c r="J474" i="9"/>
  <c r="O474" i="9"/>
  <c r="N475" i="9"/>
  <c r="J475" i="9"/>
  <c r="O475" i="9"/>
  <c r="N476" i="9"/>
  <c r="J476" i="9"/>
  <c r="O476" i="9"/>
  <c r="N477" i="9"/>
  <c r="J477" i="9"/>
  <c r="O477" i="9"/>
  <c r="N478" i="9"/>
  <c r="J478" i="9"/>
  <c r="O478" i="9"/>
  <c r="N479" i="9"/>
  <c r="J479" i="9"/>
  <c r="O479" i="9"/>
  <c r="N480" i="9"/>
  <c r="J480" i="9"/>
  <c r="O480" i="9"/>
  <c r="N481" i="9"/>
  <c r="J481" i="9"/>
  <c r="O481" i="9"/>
  <c r="N482" i="9"/>
  <c r="J482" i="9"/>
  <c r="O482" i="9"/>
  <c r="N483" i="9"/>
  <c r="J483" i="9"/>
  <c r="O483" i="9"/>
  <c r="N484" i="9"/>
  <c r="J484" i="9"/>
  <c r="O484" i="9"/>
  <c r="N485" i="9"/>
  <c r="J485" i="9"/>
  <c r="O485" i="9"/>
  <c r="N486" i="9"/>
  <c r="J486" i="9"/>
  <c r="O486" i="9"/>
  <c r="N487" i="9"/>
  <c r="J487" i="9"/>
  <c r="O487" i="9"/>
  <c r="N488" i="9"/>
  <c r="J488" i="9"/>
  <c r="O488" i="9"/>
  <c r="N489" i="9"/>
  <c r="J489" i="9"/>
  <c r="O489" i="9"/>
  <c r="N490" i="9"/>
  <c r="J490" i="9"/>
  <c r="O490" i="9"/>
  <c r="N491" i="9"/>
  <c r="J491" i="9"/>
  <c r="O491" i="9"/>
  <c r="N492" i="9"/>
  <c r="J492" i="9"/>
  <c r="O492" i="9"/>
  <c r="N493" i="9"/>
  <c r="J493" i="9"/>
  <c r="O493" i="9"/>
  <c r="N494" i="9"/>
  <c r="J494" i="9"/>
  <c r="O494" i="9"/>
  <c r="N495" i="9"/>
  <c r="J495" i="9"/>
  <c r="O495" i="9"/>
  <c r="N496" i="9"/>
  <c r="J496" i="9"/>
  <c r="O496" i="9"/>
  <c r="N497" i="9"/>
  <c r="J497" i="9"/>
  <c r="O497" i="9"/>
  <c r="N498" i="9"/>
  <c r="J498" i="9"/>
  <c r="O498" i="9"/>
  <c r="N499" i="9"/>
  <c r="J499" i="9"/>
  <c r="O499" i="9"/>
  <c r="N500" i="9"/>
  <c r="J500" i="9"/>
  <c r="O500" i="9"/>
  <c r="N501" i="9"/>
  <c r="J501" i="9"/>
  <c r="O501" i="9"/>
  <c r="N502" i="9"/>
  <c r="J502" i="9"/>
  <c r="O502" i="9"/>
  <c r="N503" i="9"/>
  <c r="J503" i="9"/>
  <c r="O503" i="9"/>
  <c r="N504" i="9"/>
  <c r="J504" i="9"/>
  <c r="O504" i="9"/>
  <c r="N505" i="9"/>
  <c r="J505" i="9"/>
  <c r="O505" i="9"/>
  <c r="N506" i="9"/>
  <c r="J506" i="9"/>
  <c r="O506" i="9"/>
  <c r="N507" i="9"/>
  <c r="J507" i="9"/>
  <c r="O507" i="9"/>
  <c r="N508" i="9"/>
  <c r="J508" i="9"/>
  <c r="O508" i="9"/>
  <c r="N509" i="9"/>
  <c r="J509" i="9"/>
  <c r="O509" i="9"/>
  <c r="N510" i="9"/>
  <c r="J510" i="9"/>
  <c r="O510" i="9"/>
  <c r="N511" i="9"/>
  <c r="J511" i="9"/>
  <c r="O511" i="9"/>
  <c r="N512" i="9"/>
  <c r="J512" i="9"/>
  <c r="O512" i="9"/>
  <c r="N513" i="9"/>
  <c r="J513" i="9"/>
  <c r="O513" i="9"/>
  <c r="N514" i="9"/>
  <c r="J514" i="9"/>
  <c r="O514" i="9"/>
  <c r="N515" i="9"/>
  <c r="J515" i="9"/>
  <c r="O515" i="9"/>
  <c r="N516" i="9"/>
  <c r="J516" i="9"/>
  <c r="O516" i="9"/>
  <c r="N517" i="9"/>
  <c r="J517" i="9"/>
  <c r="O517" i="9"/>
  <c r="N518" i="9"/>
  <c r="J518" i="9"/>
  <c r="O518" i="9"/>
  <c r="N519" i="9"/>
  <c r="J519" i="9"/>
  <c r="O519" i="9"/>
  <c r="N520" i="9"/>
  <c r="J520" i="9"/>
  <c r="O520" i="9"/>
  <c r="N521" i="9"/>
  <c r="J521" i="9"/>
  <c r="O521" i="9"/>
  <c r="N522" i="9"/>
  <c r="J522" i="9"/>
  <c r="O522" i="9"/>
  <c r="N523" i="9"/>
  <c r="J523" i="9"/>
  <c r="O523" i="9"/>
  <c r="N524" i="9"/>
  <c r="J524" i="9"/>
  <c r="O524" i="9"/>
  <c r="N525" i="9"/>
  <c r="J525" i="9"/>
  <c r="O525" i="9"/>
  <c r="N526" i="9"/>
  <c r="J526" i="9"/>
  <c r="O526" i="9"/>
  <c r="N527" i="9"/>
  <c r="J527" i="9"/>
  <c r="O527" i="9"/>
  <c r="N528" i="9"/>
  <c r="J528" i="9"/>
  <c r="O528" i="9"/>
  <c r="N529" i="9"/>
  <c r="J529" i="9"/>
  <c r="O529" i="9"/>
  <c r="N530" i="9"/>
  <c r="J530" i="9"/>
  <c r="O530" i="9"/>
  <c r="N531" i="9"/>
  <c r="J531" i="9"/>
  <c r="O531" i="9"/>
  <c r="N532" i="9"/>
  <c r="J532" i="9"/>
  <c r="O532" i="9"/>
  <c r="N533" i="9"/>
  <c r="J533" i="9"/>
  <c r="O533" i="9"/>
  <c r="N534" i="9"/>
  <c r="J534" i="9"/>
  <c r="O534" i="9"/>
  <c r="N535" i="9"/>
  <c r="J535" i="9"/>
  <c r="O535" i="9"/>
  <c r="N536" i="9"/>
  <c r="J536" i="9"/>
  <c r="O536" i="9"/>
  <c r="N537" i="9"/>
  <c r="J537" i="9"/>
  <c r="O537" i="9"/>
  <c r="N538" i="9"/>
  <c r="J538" i="9"/>
  <c r="O538" i="9"/>
  <c r="N539" i="9"/>
  <c r="J539" i="9"/>
  <c r="O539" i="9"/>
  <c r="N540" i="9"/>
  <c r="J540" i="9"/>
  <c r="O540" i="9"/>
  <c r="N541" i="9"/>
  <c r="J541" i="9"/>
  <c r="O541" i="9"/>
  <c r="N542" i="9"/>
  <c r="J542" i="9"/>
  <c r="O542" i="9"/>
  <c r="N543" i="9"/>
  <c r="J543" i="9"/>
  <c r="O543" i="9"/>
  <c r="N544" i="9"/>
  <c r="J544" i="9"/>
  <c r="O544" i="9"/>
  <c r="N545" i="9"/>
  <c r="J545" i="9"/>
  <c r="O545" i="9"/>
  <c r="N546" i="9"/>
  <c r="J546" i="9"/>
  <c r="O546" i="9"/>
  <c r="N547" i="9"/>
  <c r="J547" i="9"/>
  <c r="O547" i="9"/>
  <c r="N548" i="9"/>
  <c r="J548" i="9"/>
  <c r="O548" i="9"/>
  <c r="N549" i="9"/>
  <c r="J549" i="9"/>
  <c r="O549" i="9"/>
  <c r="N550" i="9"/>
  <c r="J550" i="9"/>
  <c r="O550" i="9"/>
  <c r="N551" i="9"/>
  <c r="J551" i="9"/>
  <c r="O551" i="9"/>
  <c r="N552" i="9"/>
  <c r="J552" i="9"/>
  <c r="O552" i="9"/>
  <c r="N553" i="9"/>
  <c r="J553" i="9"/>
  <c r="O553" i="9"/>
  <c r="N554" i="9"/>
  <c r="J554" i="9"/>
  <c r="O554" i="9"/>
  <c r="N555" i="9"/>
  <c r="J555" i="9"/>
  <c r="O555" i="9"/>
  <c r="N556" i="9"/>
  <c r="J556" i="9"/>
  <c r="O556" i="9"/>
  <c r="N557" i="9"/>
  <c r="J557" i="9"/>
  <c r="O557" i="9"/>
  <c r="N558" i="9"/>
  <c r="J558" i="9"/>
  <c r="O558" i="9"/>
  <c r="N559" i="9"/>
  <c r="J559" i="9"/>
  <c r="O559" i="9"/>
  <c r="N560" i="9"/>
  <c r="J560" i="9"/>
  <c r="O560" i="9"/>
  <c r="N561" i="9"/>
  <c r="J561" i="9"/>
  <c r="O561" i="9"/>
  <c r="N562" i="9"/>
  <c r="J562" i="9"/>
  <c r="O562" i="9"/>
  <c r="N563" i="9"/>
  <c r="J563" i="9"/>
  <c r="O563" i="9"/>
  <c r="N571" i="9"/>
  <c r="J571" i="9"/>
  <c r="O571" i="9"/>
  <c r="N572" i="9"/>
  <c r="J572" i="9"/>
  <c r="O572" i="9"/>
  <c r="N573" i="9"/>
  <c r="J573" i="9"/>
  <c r="O573" i="9"/>
  <c r="N574" i="9"/>
  <c r="J574" i="9"/>
  <c r="O574" i="9"/>
  <c r="N575" i="9"/>
  <c r="J575" i="9"/>
  <c r="O575" i="9"/>
  <c r="N576" i="9"/>
  <c r="J576" i="9"/>
  <c r="O576" i="9"/>
  <c r="N577" i="9"/>
  <c r="J577" i="9"/>
  <c r="O577" i="9"/>
  <c r="N578" i="9"/>
  <c r="J578" i="9"/>
  <c r="O578" i="9"/>
  <c r="N579" i="9"/>
  <c r="J579" i="9"/>
  <c r="O579" i="9"/>
  <c r="N580" i="9"/>
  <c r="J580" i="9"/>
  <c r="O580" i="9"/>
  <c r="N581" i="9"/>
  <c r="J581" i="9"/>
  <c r="O581" i="9"/>
  <c r="N582" i="9"/>
  <c r="J582" i="9"/>
  <c r="O582" i="9"/>
  <c r="N583" i="9"/>
  <c r="J583" i="9"/>
  <c r="O583" i="9"/>
  <c r="N584" i="9"/>
  <c r="J584" i="9"/>
  <c r="O584" i="9"/>
  <c r="N585" i="9"/>
  <c r="J585" i="9"/>
  <c r="O585" i="9"/>
  <c r="N586" i="9"/>
  <c r="J586" i="9"/>
  <c r="O586" i="9"/>
  <c r="N587" i="9"/>
  <c r="J587" i="9"/>
  <c r="O587" i="9"/>
  <c r="N588" i="9"/>
  <c r="J588" i="9"/>
  <c r="O588" i="9"/>
  <c r="N589" i="9"/>
  <c r="J589" i="9"/>
  <c r="O589" i="9"/>
  <c r="N590" i="9"/>
  <c r="J590" i="9"/>
  <c r="O590" i="9"/>
  <c r="N591" i="9"/>
  <c r="J591" i="9"/>
  <c r="O591" i="9"/>
  <c r="N592" i="9"/>
  <c r="J592" i="9"/>
  <c r="O592" i="9"/>
  <c r="N593" i="9"/>
  <c r="J593" i="9"/>
  <c r="O593" i="9"/>
  <c r="N594" i="9"/>
  <c r="J594" i="9"/>
  <c r="O594" i="9"/>
  <c r="N595" i="9"/>
  <c r="J595" i="9"/>
  <c r="O595" i="9"/>
  <c r="N596" i="9"/>
  <c r="J596" i="9"/>
  <c r="O596" i="9"/>
  <c r="N597" i="9"/>
  <c r="J597" i="9"/>
  <c r="O597" i="9"/>
  <c r="N598" i="9"/>
  <c r="J598" i="9"/>
  <c r="O598" i="9"/>
  <c r="N599" i="9"/>
  <c r="J599" i="9"/>
  <c r="O599" i="9"/>
  <c r="N600" i="9"/>
  <c r="J600" i="9"/>
  <c r="O600" i="9"/>
  <c r="N601" i="9"/>
  <c r="J601" i="9"/>
  <c r="O601" i="9"/>
  <c r="N602" i="9"/>
  <c r="J602" i="9"/>
  <c r="O602" i="9"/>
  <c r="N603" i="9"/>
  <c r="J603" i="9"/>
  <c r="O603" i="9"/>
  <c r="N604" i="9"/>
  <c r="J604" i="9"/>
  <c r="O604" i="9"/>
  <c r="N605" i="9"/>
  <c r="J605" i="9"/>
  <c r="O605" i="9"/>
  <c r="N606" i="9"/>
  <c r="J606" i="9"/>
  <c r="O606" i="9"/>
  <c r="N607" i="9"/>
  <c r="J607" i="9"/>
  <c r="O607" i="9"/>
  <c r="N608" i="9"/>
  <c r="J608" i="9"/>
  <c r="O608" i="9"/>
  <c r="N609" i="9"/>
  <c r="J609" i="9"/>
  <c r="O609" i="9"/>
  <c r="N610" i="9"/>
  <c r="J610" i="9"/>
  <c r="O610" i="9"/>
  <c r="N611" i="9"/>
  <c r="J611" i="9"/>
  <c r="O611" i="9"/>
  <c r="N612" i="9"/>
  <c r="J612" i="9"/>
  <c r="O612" i="9"/>
  <c r="N613" i="9"/>
  <c r="J613" i="9"/>
  <c r="O613" i="9"/>
  <c r="N614" i="9"/>
  <c r="J614" i="9"/>
  <c r="O614" i="9"/>
  <c r="N615" i="9"/>
  <c r="J615" i="9"/>
  <c r="O615" i="9"/>
  <c r="N616" i="9"/>
  <c r="J616" i="9"/>
  <c r="O616" i="9"/>
  <c r="N617" i="9"/>
  <c r="J617" i="9"/>
  <c r="O617" i="9"/>
  <c r="N618" i="9"/>
  <c r="J618" i="9"/>
  <c r="O618" i="9"/>
  <c r="N619" i="9"/>
  <c r="J619" i="9"/>
  <c r="O619" i="9"/>
  <c r="N620" i="9"/>
  <c r="J620" i="9"/>
  <c r="O620" i="9"/>
  <c r="N621" i="9"/>
  <c r="J621" i="9"/>
  <c r="O621" i="9"/>
  <c r="N622" i="9"/>
  <c r="J622" i="9"/>
  <c r="O622" i="9"/>
  <c r="N623" i="9"/>
  <c r="J623" i="9"/>
  <c r="O623" i="9"/>
  <c r="N624" i="9"/>
  <c r="J624" i="9"/>
  <c r="O624" i="9"/>
  <c r="N625" i="9"/>
  <c r="J625" i="9"/>
  <c r="O625" i="9"/>
  <c r="N626" i="9"/>
  <c r="J626" i="9"/>
  <c r="O626" i="9"/>
  <c r="N627" i="9"/>
  <c r="J627" i="9"/>
  <c r="O627" i="9"/>
  <c r="N628" i="9"/>
  <c r="J628" i="9"/>
  <c r="O628" i="9"/>
  <c r="N629" i="9"/>
  <c r="J629" i="9"/>
  <c r="O629" i="9"/>
  <c r="N630" i="9"/>
  <c r="J630" i="9"/>
  <c r="O630" i="9"/>
  <c r="N631" i="9"/>
  <c r="J631" i="9"/>
  <c r="O631" i="9"/>
  <c r="N632" i="9"/>
  <c r="J632" i="9"/>
  <c r="O632" i="9"/>
  <c r="N633" i="9"/>
  <c r="J633" i="9"/>
  <c r="O633" i="9"/>
  <c r="N634" i="9"/>
  <c r="J634" i="9"/>
  <c r="O634" i="9"/>
  <c r="N635" i="9"/>
  <c r="J635" i="9"/>
  <c r="O635" i="9"/>
  <c r="N636" i="9"/>
  <c r="J636" i="9"/>
  <c r="O636" i="9"/>
  <c r="N637" i="9"/>
  <c r="J637" i="9"/>
  <c r="O637" i="9"/>
  <c r="N638" i="9"/>
  <c r="J638" i="9"/>
  <c r="O638" i="9"/>
  <c r="N639" i="9"/>
  <c r="J639" i="9"/>
  <c r="O639" i="9"/>
  <c r="N640" i="9"/>
  <c r="J640" i="9"/>
  <c r="O640" i="9"/>
  <c r="N641" i="9"/>
  <c r="J641" i="9"/>
  <c r="O641" i="9"/>
  <c r="N642" i="9"/>
  <c r="J642" i="9"/>
  <c r="O642" i="9"/>
  <c r="N643" i="9"/>
  <c r="J643" i="9"/>
  <c r="O643" i="9"/>
  <c r="N644" i="9"/>
  <c r="J644" i="9"/>
  <c r="O644" i="9"/>
  <c r="N645" i="9"/>
  <c r="J645" i="9"/>
  <c r="O645" i="9"/>
  <c r="N646" i="9"/>
  <c r="J646" i="9"/>
  <c r="O646" i="9"/>
  <c r="N647" i="9"/>
  <c r="J647" i="9"/>
  <c r="O647" i="9"/>
  <c r="N648" i="9"/>
  <c r="J648" i="9"/>
  <c r="O648" i="9"/>
  <c r="N649" i="9"/>
  <c r="J649" i="9"/>
  <c r="O649" i="9"/>
  <c r="N650" i="9"/>
  <c r="J650" i="9"/>
  <c r="O650" i="9"/>
  <c r="N651" i="9"/>
  <c r="J651" i="9"/>
  <c r="O651" i="9"/>
  <c r="N652" i="9"/>
  <c r="J652" i="9"/>
  <c r="O652" i="9"/>
  <c r="N653" i="9"/>
  <c r="J653" i="9"/>
  <c r="O653" i="9"/>
  <c r="N654" i="9"/>
  <c r="J654" i="9"/>
  <c r="O654" i="9"/>
  <c r="N655" i="9"/>
  <c r="J655" i="9"/>
  <c r="O655" i="9"/>
  <c r="N656" i="9"/>
  <c r="J656" i="9"/>
  <c r="O656" i="9"/>
  <c r="N657" i="9"/>
  <c r="J657" i="9"/>
  <c r="O657" i="9"/>
  <c r="N658" i="9"/>
  <c r="J658" i="9"/>
  <c r="O658" i="9"/>
  <c r="N659" i="9"/>
  <c r="J659" i="9"/>
  <c r="O659" i="9"/>
  <c r="N660" i="9"/>
  <c r="J660" i="9"/>
  <c r="O660" i="9"/>
  <c r="N661" i="9"/>
  <c r="J661" i="9"/>
  <c r="O661" i="9"/>
  <c r="N662" i="9"/>
  <c r="J662" i="9"/>
  <c r="O662" i="9"/>
  <c r="N663" i="9"/>
  <c r="J663" i="9"/>
  <c r="O663" i="9"/>
  <c r="N664" i="9"/>
  <c r="J664" i="9"/>
  <c r="O664" i="9"/>
  <c r="N665" i="9"/>
  <c r="J665" i="9"/>
  <c r="O665" i="9"/>
  <c r="N666" i="9"/>
  <c r="J666" i="9"/>
  <c r="O666" i="9"/>
  <c r="N667" i="9"/>
  <c r="J667" i="9"/>
  <c r="O667" i="9"/>
  <c r="N668" i="9"/>
  <c r="J668" i="9"/>
  <c r="O668" i="9"/>
  <c r="N669" i="9"/>
  <c r="J669" i="9"/>
  <c r="O669" i="9"/>
  <c r="N670" i="9"/>
  <c r="J670" i="9"/>
  <c r="O670" i="9"/>
  <c r="N671" i="9"/>
  <c r="J671" i="9"/>
  <c r="O671" i="9"/>
  <c r="N672" i="9"/>
  <c r="J672" i="9"/>
  <c r="O672" i="9"/>
  <c r="N673" i="9"/>
  <c r="J673" i="9"/>
  <c r="O673" i="9"/>
  <c r="N674" i="9"/>
  <c r="J674" i="9"/>
  <c r="O674" i="9"/>
  <c r="N675" i="9"/>
  <c r="J675" i="9"/>
  <c r="O675" i="9"/>
  <c r="N676" i="9"/>
  <c r="J676" i="9"/>
  <c r="O676" i="9"/>
  <c r="N677" i="9"/>
  <c r="J677" i="9"/>
  <c r="O677" i="9"/>
  <c r="N678" i="9"/>
  <c r="J678" i="9"/>
  <c r="O678" i="9"/>
  <c r="N679" i="9"/>
  <c r="J679" i="9"/>
  <c r="O679" i="9"/>
  <c r="N680" i="9"/>
  <c r="J680" i="9"/>
  <c r="O680" i="9"/>
  <c r="N681" i="9"/>
  <c r="J681" i="9"/>
  <c r="O681" i="9"/>
  <c r="N682" i="9"/>
  <c r="J682" i="9"/>
  <c r="O682" i="9"/>
  <c r="N683" i="9"/>
  <c r="J683" i="9"/>
  <c r="O683" i="9"/>
  <c r="N684" i="9"/>
  <c r="J684" i="9"/>
  <c r="O684" i="9"/>
  <c r="N685" i="9"/>
  <c r="J685" i="9"/>
  <c r="O685" i="9"/>
  <c r="N686" i="9"/>
  <c r="J686" i="9"/>
  <c r="O686" i="9"/>
  <c r="N687" i="9"/>
  <c r="J687" i="9"/>
  <c r="O687" i="9"/>
  <c r="N688" i="9"/>
  <c r="J688" i="9"/>
  <c r="O688" i="9"/>
  <c r="N689" i="9"/>
  <c r="J689" i="9"/>
  <c r="O689" i="9"/>
  <c r="N690" i="9"/>
  <c r="J690" i="9"/>
  <c r="O690" i="9"/>
  <c r="N691" i="9"/>
  <c r="J691" i="9"/>
  <c r="O691" i="9"/>
  <c r="N692" i="9"/>
  <c r="J692" i="9"/>
  <c r="O692" i="9"/>
  <c r="N693" i="9"/>
  <c r="J693" i="9"/>
  <c r="O693" i="9"/>
  <c r="N694" i="9"/>
  <c r="J694" i="9"/>
  <c r="O694" i="9"/>
  <c r="N695" i="9"/>
  <c r="J695" i="9"/>
  <c r="O695" i="9"/>
  <c r="N696" i="9"/>
  <c r="J696" i="9"/>
  <c r="O696" i="9"/>
  <c r="N697" i="9"/>
  <c r="J697" i="9"/>
  <c r="O697" i="9"/>
  <c r="N698" i="9"/>
  <c r="J698" i="9"/>
  <c r="O698" i="9"/>
  <c r="N699" i="9"/>
  <c r="J699" i="9"/>
  <c r="O699" i="9"/>
  <c r="N700" i="9"/>
  <c r="J700" i="9"/>
  <c r="O700" i="9"/>
  <c r="N701" i="9"/>
  <c r="J701" i="9"/>
  <c r="O701" i="9"/>
  <c r="N702" i="9"/>
  <c r="J702" i="9"/>
  <c r="O702" i="9"/>
  <c r="N703" i="9"/>
  <c r="J703" i="9"/>
  <c r="O703" i="9"/>
  <c r="N704" i="9"/>
  <c r="J704" i="9"/>
  <c r="O704" i="9"/>
  <c r="N705" i="9"/>
  <c r="J705" i="9"/>
  <c r="O705" i="9"/>
  <c r="N706" i="9"/>
  <c r="J706" i="9"/>
  <c r="O706" i="9"/>
  <c r="N707" i="9"/>
  <c r="J707" i="9"/>
  <c r="O707" i="9"/>
  <c r="N708" i="9"/>
  <c r="J708" i="9"/>
  <c r="O708" i="9"/>
  <c r="N709" i="9"/>
  <c r="J709" i="9"/>
  <c r="O709" i="9"/>
  <c r="N710" i="9"/>
  <c r="J710" i="9"/>
  <c r="O710" i="9"/>
  <c r="N711" i="9"/>
  <c r="J711" i="9"/>
  <c r="O711" i="9"/>
  <c r="N712" i="9"/>
  <c r="J712" i="9"/>
  <c r="O712" i="9"/>
  <c r="N713" i="9"/>
  <c r="J713" i="9"/>
  <c r="O713" i="9"/>
  <c r="N714" i="9"/>
  <c r="J714" i="9"/>
  <c r="O714" i="9"/>
  <c r="N715" i="9"/>
  <c r="J715" i="9"/>
  <c r="O715" i="9"/>
  <c r="N716" i="9"/>
  <c r="J716" i="9"/>
  <c r="O716" i="9"/>
  <c r="N717" i="9"/>
  <c r="J717" i="9"/>
  <c r="O717" i="9"/>
  <c r="N718" i="9"/>
  <c r="J718" i="9"/>
  <c r="O718" i="9"/>
  <c r="N719" i="9"/>
  <c r="J719" i="9"/>
  <c r="O719" i="9"/>
  <c r="N720" i="9"/>
  <c r="J720" i="9"/>
  <c r="O720" i="9"/>
  <c r="N721" i="9"/>
  <c r="J721" i="9"/>
  <c r="O721" i="9"/>
  <c r="N722" i="9"/>
  <c r="J722" i="9"/>
  <c r="O722" i="9"/>
  <c r="N723" i="9"/>
  <c r="J723" i="9"/>
  <c r="O723" i="9"/>
  <c r="N724" i="9"/>
  <c r="J724" i="9"/>
  <c r="O724" i="9"/>
  <c r="N725" i="9"/>
  <c r="J725" i="9"/>
  <c r="O725" i="9"/>
  <c r="N726" i="9"/>
  <c r="J726" i="9"/>
  <c r="O726" i="9"/>
  <c r="N727" i="9"/>
  <c r="J727" i="9"/>
  <c r="O727" i="9"/>
  <c r="N728" i="9"/>
  <c r="J728" i="9"/>
  <c r="O728" i="9"/>
  <c r="N729" i="9"/>
  <c r="J729" i="9"/>
  <c r="O729" i="9"/>
  <c r="N730" i="9"/>
  <c r="J730" i="9"/>
  <c r="O730" i="9"/>
  <c r="N731" i="9"/>
  <c r="J731" i="9"/>
  <c r="O731" i="9"/>
  <c r="N732" i="9"/>
  <c r="J732" i="9"/>
  <c r="O732" i="9"/>
  <c r="N733" i="9"/>
  <c r="J733" i="9"/>
  <c r="O733" i="9"/>
  <c r="N734" i="9"/>
  <c r="J734" i="9"/>
  <c r="O734" i="9"/>
  <c r="N735" i="9"/>
  <c r="J735" i="9"/>
  <c r="O735" i="9"/>
  <c r="N736" i="9"/>
  <c r="J736" i="9"/>
  <c r="O736" i="9"/>
  <c r="N737" i="9"/>
  <c r="J737" i="9"/>
  <c r="O737" i="9"/>
  <c r="N738" i="9"/>
  <c r="J738" i="9"/>
  <c r="O738" i="9"/>
  <c r="N739" i="9"/>
  <c r="J739" i="9"/>
  <c r="O739" i="9"/>
  <c r="N743" i="9"/>
  <c r="J743" i="9"/>
  <c r="O743" i="9"/>
  <c r="N744" i="9"/>
  <c r="J744" i="9"/>
  <c r="O744" i="9"/>
  <c r="N745" i="9"/>
  <c r="J745" i="9"/>
  <c r="O745" i="9"/>
  <c r="N746" i="9"/>
  <c r="J746" i="9"/>
  <c r="O746" i="9"/>
  <c r="N747" i="9"/>
  <c r="J747" i="9"/>
  <c r="O747" i="9"/>
  <c r="N748" i="9"/>
  <c r="J748" i="9"/>
  <c r="O748" i="9"/>
  <c r="N749" i="9"/>
  <c r="J749" i="9"/>
  <c r="O749" i="9"/>
  <c r="N750" i="9"/>
  <c r="J750" i="9"/>
  <c r="O750" i="9"/>
  <c r="N751" i="9"/>
  <c r="J751" i="9"/>
  <c r="O751" i="9"/>
  <c r="N752" i="9"/>
  <c r="J752" i="9"/>
  <c r="O752" i="9"/>
  <c r="N753" i="9"/>
  <c r="J753" i="9"/>
  <c r="O753" i="9"/>
  <c r="N754" i="9"/>
  <c r="J754" i="9"/>
  <c r="O754" i="9"/>
  <c r="N755" i="9"/>
  <c r="J755" i="9"/>
  <c r="O755" i="9"/>
  <c r="G14" i="13"/>
  <c r="G15" i="13"/>
  <c r="G16" i="13"/>
  <c r="G17" i="13"/>
  <c r="G18" i="13"/>
  <c r="G19" i="13"/>
  <c r="G20" i="13"/>
  <c r="G21" i="13"/>
  <c r="G22" i="13"/>
  <c r="G23" i="13"/>
  <c r="G25" i="13"/>
  <c r="G26" i="13"/>
  <c r="G27" i="13"/>
  <c r="G28" i="13"/>
  <c r="G29" i="13"/>
  <c r="G30" i="13"/>
  <c r="G32" i="13"/>
  <c r="G33" i="13"/>
  <c r="G34" i="13"/>
  <c r="G35" i="13"/>
  <c r="G36" i="13"/>
  <c r="G37" i="13"/>
  <c r="G38" i="13"/>
  <c r="G39" i="13"/>
  <c r="G40" i="13"/>
  <c r="G41" i="13"/>
  <c r="G42" i="13"/>
  <c r="G43" i="13"/>
  <c r="G44" i="13"/>
  <c r="G45" i="13"/>
  <c r="G46" i="13"/>
  <c r="G47" i="13"/>
  <c r="G48" i="13"/>
  <c r="G49" i="13"/>
  <c r="G50" i="13"/>
  <c r="G51" i="13"/>
  <c r="G52" i="13"/>
  <c r="G53" i="13"/>
  <c r="G54" i="13"/>
  <c r="G55" i="13"/>
  <c r="G56" i="13"/>
  <c r="G57" i="13"/>
  <c r="G58" i="13"/>
  <c r="G59" i="13"/>
  <c r="G60" i="13"/>
  <c r="G61" i="13"/>
  <c r="G62" i="13"/>
  <c r="G63" i="13"/>
  <c r="G64" i="13"/>
  <c r="G65" i="13"/>
  <c r="G66" i="13"/>
  <c r="G67" i="13"/>
  <c r="G68" i="13"/>
  <c r="G69" i="13"/>
  <c r="G70" i="13"/>
  <c r="G71" i="13"/>
  <c r="G72" i="13"/>
  <c r="G73" i="13"/>
  <c r="G74" i="13"/>
  <c r="G75" i="13"/>
  <c r="G76" i="13"/>
  <c r="G77" i="13"/>
  <c r="G78" i="13"/>
  <c r="G79" i="13"/>
  <c r="G80" i="13"/>
  <c r="G81" i="13"/>
  <c r="G82" i="13"/>
  <c r="G83" i="13"/>
  <c r="G84" i="13"/>
  <c r="G86" i="13"/>
  <c r="G87" i="13"/>
  <c r="G88" i="13"/>
  <c r="G89" i="13"/>
  <c r="G90" i="13"/>
  <c r="G91" i="13"/>
  <c r="G92" i="13"/>
  <c r="G93" i="13"/>
  <c r="G94" i="13"/>
  <c r="G95" i="13"/>
  <c r="G96" i="13"/>
  <c r="G97" i="13"/>
  <c r="G98" i="13"/>
  <c r="G99" i="13"/>
  <c r="G100" i="13"/>
  <c r="G101" i="13"/>
  <c r="G102" i="13"/>
  <c r="G103" i="13"/>
  <c r="G104" i="13"/>
  <c r="G105" i="13"/>
  <c r="G106" i="13"/>
  <c r="G107" i="13"/>
  <c r="G109" i="13"/>
  <c r="G110" i="13"/>
  <c r="G111" i="13"/>
  <c r="G112" i="13"/>
  <c r="G113" i="13"/>
  <c r="G114" i="13"/>
  <c r="G115" i="13"/>
  <c r="G116" i="13"/>
  <c r="G117" i="13"/>
  <c r="G118" i="13"/>
  <c r="G119" i="13"/>
  <c r="G120" i="13"/>
  <c r="G121" i="13"/>
  <c r="G122" i="13"/>
  <c r="G123" i="13"/>
  <c r="G124" i="13"/>
  <c r="G125" i="13"/>
  <c r="G126" i="13"/>
  <c r="G127" i="13"/>
  <c r="G128" i="13"/>
  <c r="G129" i="13"/>
  <c r="G130" i="13"/>
  <c r="G131" i="13"/>
  <c r="G132" i="13"/>
  <c r="G133" i="13"/>
  <c r="G134" i="13"/>
  <c r="G135" i="13"/>
  <c r="G136" i="13"/>
  <c r="G137" i="13"/>
  <c r="G138" i="13"/>
  <c r="G139" i="13"/>
  <c r="G140" i="13"/>
  <c r="G141" i="13"/>
  <c r="G142" i="13"/>
  <c r="G143" i="13"/>
  <c r="G144" i="13"/>
  <c r="G145" i="13"/>
  <c r="G146" i="13"/>
  <c r="G147" i="13"/>
  <c r="G148" i="13"/>
  <c r="G149" i="13"/>
  <c r="G150" i="13"/>
  <c r="G151" i="13"/>
  <c r="G152" i="13"/>
  <c r="G153" i="13"/>
  <c r="G154" i="13"/>
  <c r="G155" i="13"/>
  <c r="G156" i="13"/>
  <c r="G157" i="13"/>
  <c r="G158" i="13"/>
  <c r="G159" i="13"/>
  <c r="G160" i="13"/>
  <c r="G161" i="13"/>
  <c r="G162" i="13"/>
  <c r="G163" i="13"/>
  <c r="G164" i="13"/>
  <c r="G165" i="13"/>
  <c r="G166" i="13"/>
  <c r="G167" i="13"/>
  <c r="G168" i="13"/>
  <c r="G169" i="13"/>
  <c r="G170" i="13"/>
  <c r="G171" i="13"/>
  <c r="G172" i="13"/>
  <c r="G173" i="13"/>
  <c r="G174" i="13"/>
  <c r="G175" i="13"/>
  <c r="G176" i="13"/>
  <c r="G177" i="13"/>
  <c r="G178" i="13"/>
  <c r="G179" i="13"/>
  <c r="G180" i="13"/>
  <c r="G181" i="13"/>
  <c r="G182" i="13"/>
  <c r="G183" i="13"/>
  <c r="G184" i="13"/>
  <c r="G185" i="13"/>
  <c r="G186" i="13"/>
  <c r="G187" i="13"/>
  <c r="G188" i="13"/>
  <c r="G189" i="13"/>
  <c r="G190" i="13"/>
  <c r="G191" i="13"/>
  <c r="G192" i="13"/>
  <c r="G193" i="13"/>
  <c r="G194" i="13"/>
  <c r="G195" i="13"/>
  <c r="G196" i="13"/>
  <c r="G197" i="13"/>
  <c r="G198" i="13"/>
  <c r="G199" i="13"/>
  <c r="G200" i="13"/>
  <c r="G201" i="13"/>
  <c r="G202" i="13"/>
  <c r="G203" i="13"/>
  <c r="G204" i="13"/>
  <c r="G205" i="13"/>
  <c r="G206" i="13"/>
  <c r="G207" i="13"/>
  <c r="G208" i="13"/>
  <c r="G209" i="13"/>
  <c r="G210" i="13"/>
  <c r="G211" i="13"/>
  <c r="G212" i="13"/>
  <c r="G213" i="13"/>
  <c r="G214" i="13"/>
  <c r="G215" i="13"/>
  <c r="G216" i="13"/>
  <c r="G217" i="13"/>
  <c r="G218" i="13"/>
  <c r="G219" i="13"/>
  <c r="G220" i="13"/>
  <c r="G221" i="13"/>
  <c r="G222" i="13"/>
  <c r="G223" i="13"/>
  <c r="G224" i="13"/>
  <c r="G225" i="13"/>
  <c r="G226" i="13"/>
  <c r="G227" i="13"/>
  <c r="G228" i="13"/>
  <c r="G229" i="13"/>
  <c r="G230" i="13"/>
  <c r="G231" i="13"/>
  <c r="G232" i="13"/>
  <c r="G85" i="13"/>
  <c r="G233" i="13"/>
  <c r="G234" i="13"/>
  <c r="J9" i="13"/>
  <c r="G236" i="13"/>
  <c r="G237" i="13"/>
  <c r="G238" i="13"/>
  <c r="G239" i="13"/>
  <c r="G240" i="13"/>
  <c r="G241" i="13"/>
  <c r="G242" i="13"/>
  <c r="G243" i="13"/>
  <c r="G244" i="13"/>
  <c r="G245" i="13"/>
  <c r="G246" i="13"/>
  <c r="G247" i="13"/>
  <c r="G248" i="13"/>
  <c r="G249" i="13"/>
  <c r="G250" i="13"/>
  <c r="G251" i="13"/>
  <c r="G252" i="13"/>
  <c r="G253" i="13"/>
  <c r="G254" i="13"/>
  <c r="G256" i="13"/>
  <c r="G257" i="13"/>
  <c r="G258" i="13"/>
  <c r="G259" i="13"/>
  <c r="G260" i="13"/>
  <c r="G261" i="13"/>
  <c r="G262" i="13"/>
  <c r="G263" i="13"/>
  <c r="G264" i="13"/>
  <c r="G265" i="13"/>
  <c r="G266" i="13"/>
  <c r="E20" i="37"/>
  <c r="D20" i="37"/>
  <c r="F6" i="39"/>
  <c r="D6" i="39"/>
  <c r="D4" i="39"/>
  <c r="D5" i="39"/>
  <c r="D7" i="39"/>
  <c r="E6" i="39"/>
  <c r="G6" i="39"/>
  <c r="F5" i="39"/>
  <c r="E5" i="39"/>
  <c r="G5" i="39"/>
  <c r="F4" i="39"/>
  <c r="E4" i="39"/>
  <c r="G4" i="39"/>
  <c r="D14" i="39"/>
  <c r="D12" i="39"/>
  <c r="D13" i="39"/>
  <c r="D15" i="39"/>
  <c r="E14" i="39"/>
  <c r="F14" i="39"/>
  <c r="G14" i="39"/>
  <c r="E13" i="39"/>
  <c r="F13" i="39"/>
  <c r="G13" i="39"/>
  <c r="E12" i="39"/>
  <c r="F12" i="39"/>
  <c r="G12" i="39"/>
  <c r="E22" i="39"/>
  <c r="D22" i="39"/>
  <c r="E24" i="39"/>
  <c r="D24" i="39"/>
  <c r="F24" i="39"/>
  <c r="E28" i="38"/>
  <c r="D28" i="38"/>
  <c r="F28" i="38"/>
  <c r="F19" i="38"/>
  <c r="D5" i="38"/>
  <c r="D19" i="38"/>
  <c r="D4" i="38"/>
  <c r="D11" i="38"/>
  <c r="D12" i="38"/>
  <c r="D13" i="38"/>
  <c r="E19" i="38"/>
  <c r="F18" i="38"/>
  <c r="D18" i="38"/>
  <c r="E18" i="38"/>
  <c r="E12" i="38"/>
  <c r="F12" i="38"/>
  <c r="G12" i="38"/>
  <c r="E11" i="38"/>
  <c r="F11" i="38"/>
  <c r="G11" i="38"/>
  <c r="F5" i="38"/>
  <c r="D6" i="38"/>
  <c r="E5" i="38"/>
  <c r="G5" i="38"/>
  <c r="F4" i="38"/>
  <c r="E4" i="38"/>
  <c r="G4" i="38"/>
  <c r="E25" i="38"/>
  <c r="D25" i="38"/>
  <c r="E24" i="36"/>
  <c r="D24" i="36"/>
  <c r="F24" i="36"/>
  <c r="E23" i="37"/>
  <c r="D23" i="37"/>
  <c r="F23" i="37"/>
  <c r="D6" i="37"/>
  <c r="D14" i="37"/>
  <c r="D4" i="37"/>
  <c r="D12" i="37"/>
  <c r="D5" i="37"/>
  <c r="D13" i="37"/>
  <c r="D15" i="37"/>
  <c r="E14" i="37"/>
  <c r="F14" i="37"/>
  <c r="G14" i="37"/>
  <c r="E13" i="37"/>
  <c r="F13" i="37"/>
  <c r="G13" i="37"/>
  <c r="E12" i="37"/>
  <c r="F12" i="37"/>
  <c r="G12" i="37"/>
  <c r="F6" i="37"/>
  <c r="D7" i="37"/>
  <c r="E6" i="37"/>
  <c r="G6" i="37"/>
  <c r="F5" i="37"/>
  <c r="E5" i="37"/>
  <c r="G5" i="37"/>
  <c r="F4" i="37"/>
  <c r="E4" i="37"/>
  <c r="G4" i="37"/>
  <c r="D32" i="37"/>
  <c r="D31" i="37"/>
  <c r="D30" i="37"/>
  <c r="D29" i="37"/>
  <c r="D28" i="37"/>
  <c r="E28" i="37" s="1"/>
  <c r="E33" i="37" s="1"/>
  <c r="D4" i="35"/>
  <c r="D5" i="35"/>
  <c r="D6" i="35"/>
  <c r="D7" i="35"/>
  <c r="D8" i="35"/>
  <c r="D9" i="35"/>
  <c r="D10" i="35"/>
  <c r="D11" i="35"/>
  <c r="D12" i="35"/>
  <c r="E4" i="35"/>
  <c r="F4" i="35"/>
  <c r="G4" i="35"/>
  <c r="E5" i="35"/>
  <c r="F5" i="35"/>
  <c r="G5" i="35"/>
  <c r="E6" i="35"/>
  <c r="F6" i="35"/>
  <c r="G6" i="35"/>
  <c r="E7" i="35"/>
  <c r="F7" i="35"/>
  <c r="G7" i="35"/>
  <c r="E8" i="35"/>
  <c r="F8" i="35"/>
  <c r="G8" i="35"/>
  <c r="E9" i="35"/>
  <c r="F9" i="35"/>
  <c r="G9" i="35"/>
  <c r="E10" i="35"/>
  <c r="F10" i="35"/>
  <c r="G10" i="35"/>
  <c r="E11" i="35"/>
  <c r="F11" i="35"/>
  <c r="G11" i="35"/>
  <c r="D17" i="35"/>
  <c r="D18" i="35"/>
  <c r="D19" i="35"/>
  <c r="D20" i="35"/>
  <c r="D21" i="35"/>
  <c r="D22" i="35"/>
  <c r="D23" i="35"/>
  <c r="D24" i="35"/>
  <c r="D25" i="35"/>
  <c r="E17" i="35"/>
  <c r="F17" i="35"/>
  <c r="G17" i="35"/>
  <c r="E18" i="35"/>
  <c r="F18" i="35"/>
  <c r="G18" i="35"/>
  <c r="E19" i="35"/>
  <c r="F19" i="35"/>
  <c r="G19" i="35"/>
  <c r="E20" i="35"/>
  <c r="F20" i="35"/>
  <c r="G20" i="35"/>
  <c r="E21" i="35"/>
  <c r="F21" i="35"/>
  <c r="G21" i="35"/>
  <c r="E22" i="35"/>
  <c r="F22" i="35"/>
  <c r="G22" i="35"/>
  <c r="E23" i="35"/>
  <c r="F23" i="35"/>
  <c r="G23" i="35"/>
  <c r="E24" i="35"/>
  <c r="F24" i="35"/>
  <c r="G24" i="35"/>
  <c r="E22" i="36"/>
  <c r="D22" i="36"/>
  <c r="D6" i="36"/>
  <c r="D14" i="36"/>
  <c r="D4" i="36"/>
  <c r="D12" i="36"/>
  <c r="D5" i="36"/>
  <c r="D13" i="36"/>
  <c r="D15" i="36"/>
  <c r="E14" i="36"/>
  <c r="F14" i="36"/>
  <c r="G14" i="36"/>
  <c r="E13" i="36"/>
  <c r="F13" i="36"/>
  <c r="G13" i="36"/>
  <c r="E12" i="36"/>
  <c r="F12" i="36"/>
  <c r="G12" i="36"/>
  <c r="F6" i="36"/>
  <c r="D7" i="36"/>
  <c r="E6" i="36"/>
  <c r="G6" i="36"/>
  <c r="F5" i="36"/>
  <c r="E5" i="36"/>
  <c r="G5" i="36"/>
  <c r="F4" i="36"/>
  <c r="E4" i="36"/>
  <c r="G4" i="36"/>
  <c r="F22" i="36"/>
  <c r="G22" i="36"/>
  <c r="E30" i="35"/>
  <c r="D30" i="35"/>
  <c r="E33" i="35"/>
  <c r="D33" i="35"/>
  <c r="K37" i="40"/>
  <c r="K156" i="6"/>
  <c r="K128" i="6"/>
  <c r="K142" i="6"/>
  <c r="K116" i="7"/>
  <c r="K101" i="6"/>
  <c r="K187" i="7"/>
  <c r="K188" i="7"/>
  <c r="K93" i="6"/>
  <c r="K190" i="7"/>
  <c r="K191" i="7"/>
  <c r="K95" i="6"/>
  <c r="K192" i="7"/>
  <c r="K193" i="7"/>
  <c r="K99" i="7"/>
  <c r="F236" i="8"/>
  <c r="F96" i="8"/>
  <c r="G96" i="8"/>
  <c r="K71" i="6"/>
  <c r="K146" i="7"/>
  <c r="J146" i="7"/>
  <c r="L146" i="7"/>
  <c r="F231" i="8"/>
  <c r="G231" i="8"/>
  <c r="K28" i="6"/>
  <c r="K740" i="7"/>
  <c r="J740" i="7"/>
  <c r="L740" i="7"/>
  <c r="K741" i="7"/>
  <c r="J741" i="7"/>
  <c r="L741" i="7"/>
  <c r="K742" i="7"/>
  <c r="J742" i="7"/>
  <c r="L742" i="7"/>
  <c r="F156" i="8"/>
  <c r="G156" i="8"/>
  <c r="J156" i="8"/>
  <c r="K145" i="6"/>
  <c r="K564" i="7"/>
  <c r="J564" i="7"/>
  <c r="L564" i="7"/>
  <c r="K565" i="7"/>
  <c r="J565" i="7"/>
  <c r="L565" i="7"/>
  <c r="K566" i="7"/>
  <c r="J566" i="7"/>
  <c r="L566" i="7"/>
  <c r="F158" i="8"/>
  <c r="G158" i="8"/>
  <c r="J158" i="8"/>
  <c r="K24" i="6"/>
  <c r="K567" i="7"/>
  <c r="J567" i="7"/>
  <c r="L567" i="7"/>
  <c r="K36" i="6"/>
  <c r="K568" i="7"/>
  <c r="J568" i="7"/>
  <c r="L568" i="7"/>
  <c r="K569" i="7"/>
  <c r="J569" i="7"/>
  <c r="L569" i="7"/>
  <c r="K26" i="6"/>
  <c r="K570" i="7"/>
  <c r="J570" i="7"/>
  <c r="L570" i="7"/>
  <c r="K151" i="6"/>
  <c r="K2" i="7"/>
  <c r="J2" i="7"/>
  <c r="L2" i="7"/>
  <c r="K3" i="7"/>
  <c r="J3" i="7"/>
  <c r="L3" i="7"/>
  <c r="K127" i="6"/>
  <c r="K4" i="7"/>
  <c r="J4" i="7"/>
  <c r="L4" i="7"/>
  <c r="K146" i="6"/>
  <c r="K5" i="7"/>
  <c r="J5" i="7"/>
  <c r="L5" i="7"/>
  <c r="K148" i="6"/>
  <c r="K6" i="7"/>
  <c r="J6" i="7"/>
  <c r="L6" i="7"/>
  <c r="K141" i="6"/>
  <c r="K7" i="7"/>
  <c r="J7" i="7"/>
  <c r="L7" i="7"/>
  <c r="K8" i="7"/>
  <c r="J8" i="7"/>
  <c r="L8" i="7"/>
  <c r="K9" i="7"/>
  <c r="J9" i="7"/>
  <c r="L9" i="7"/>
  <c r="K10" i="7"/>
  <c r="J10" i="7"/>
  <c r="L10" i="7"/>
  <c r="K11" i="7"/>
  <c r="J11" i="7"/>
  <c r="L11" i="7"/>
  <c r="K12" i="7"/>
  <c r="J12" i="7"/>
  <c r="L12" i="7"/>
  <c r="K13" i="7"/>
  <c r="J13" i="7"/>
  <c r="L13" i="7"/>
  <c r="K40" i="6"/>
  <c r="K14" i="7"/>
  <c r="J14" i="7"/>
  <c r="L14" i="7"/>
  <c r="K15" i="7"/>
  <c r="J15" i="7"/>
  <c r="L15" i="7"/>
  <c r="K87" i="6"/>
  <c r="K16" i="7"/>
  <c r="J16" i="7"/>
  <c r="L16" i="7"/>
  <c r="K96" i="6"/>
  <c r="K17" i="7"/>
  <c r="J17" i="7"/>
  <c r="L17" i="7"/>
  <c r="K18" i="7"/>
  <c r="J18" i="7"/>
  <c r="L18" i="7"/>
  <c r="K104" i="6"/>
  <c r="K19" i="7"/>
  <c r="J19" i="7"/>
  <c r="L19" i="7"/>
  <c r="K100" i="6"/>
  <c r="K20" i="7"/>
  <c r="J20" i="7"/>
  <c r="L20" i="7"/>
  <c r="K106" i="6"/>
  <c r="K21" i="7"/>
  <c r="J21" i="7"/>
  <c r="L21" i="7"/>
  <c r="K22" i="7"/>
  <c r="J22" i="7"/>
  <c r="L22" i="7"/>
  <c r="K110" i="6"/>
  <c r="K23" i="7"/>
  <c r="J23" i="7"/>
  <c r="L23" i="7"/>
  <c r="K24" i="7"/>
  <c r="J24" i="7"/>
  <c r="L24" i="7"/>
  <c r="K139" i="6"/>
  <c r="K25" i="7"/>
  <c r="J25" i="7"/>
  <c r="L25" i="7"/>
  <c r="K144" i="6"/>
  <c r="K26" i="7"/>
  <c r="J26" i="7"/>
  <c r="L26" i="7"/>
  <c r="K136" i="6"/>
  <c r="K27" i="7"/>
  <c r="J27" i="7"/>
  <c r="L27" i="7"/>
  <c r="K75" i="6"/>
  <c r="K28" i="7"/>
  <c r="J28" i="7"/>
  <c r="L28" i="7"/>
  <c r="K38" i="6"/>
  <c r="K29" i="7"/>
  <c r="J29" i="7"/>
  <c r="L29" i="7"/>
  <c r="K30" i="7"/>
  <c r="J30" i="7"/>
  <c r="L30" i="7"/>
  <c r="K31" i="7"/>
  <c r="J31" i="7"/>
  <c r="L31" i="7"/>
  <c r="K32" i="7"/>
  <c r="J32" i="7"/>
  <c r="L32" i="7"/>
  <c r="K27" i="6"/>
  <c r="K33" i="7"/>
  <c r="J33" i="7"/>
  <c r="L33" i="7"/>
  <c r="K34" i="7"/>
  <c r="J34" i="7"/>
  <c r="L34" i="7"/>
  <c r="K20" i="6"/>
  <c r="K35" i="7"/>
  <c r="J35" i="7"/>
  <c r="L35" i="7"/>
  <c r="K36" i="7"/>
  <c r="J36" i="7"/>
  <c r="L36" i="7"/>
  <c r="K37" i="7"/>
  <c r="J37" i="7"/>
  <c r="L37" i="7"/>
  <c r="K143" i="6"/>
  <c r="K38" i="7"/>
  <c r="J38" i="7"/>
  <c r="L38" i="7"/>
  <c r="K39" i="7"/>
  <c r="J39" i="7"/>
  <c r="L39" i="7"/>
  <c r="K40" i="7"/>
  <c r="J40" i="7"/>
  <c r="L40" i="7"/>
  <c r="K41" i="7"/>
  <c r="J41" i="7"/>
  <c r="L41" i="7"/>
  <c r="K42" i="7"/>
  <c r="J42" i="7"/>
  <c r="L42" i="7"/>
  <c r="K43" i="7"/>
  <c r="J43" i="7"/>
  <c r="L43" i="7"/>
  <c r="K79" i="6"/>
  <c r="K44" i="7"/>
  <c r="J44" i="7"/>
  <c r="L44" i="7"/>
  <c r="K99" i="6"/>
  <c r="K45" i="7"/>
  <c r="J45" i="7"/>
  <c r="L45" i="7"/>
  <c r="K82" i="6"/>
  <c r="K46" i="7"/>
  <c r="J46" i="7"/>
  <c r="L46" i="7"/>
  <c r="K49" i="6"/>
  <c r="K47" i="7"/>
  <c r="J47" i="7"/>
  <c r="L47" i="7"/>
  <c r="K48" i="7"/>
  <c r="J48" i="7"/>
  <c r="L48" i="7"/>
  <c r="K49" i="7"/>
  <c r="J49" i="7"/>
  <c r="L49" i="7"/>
  <c r="K50" i="7"/>
  <c r="J50" i="7"/>
  <c r="L50" i="7"/>
  <c r="K51" i="7"/>
  <c r="J51" i="7"/>
  <c r="L51" i="7"/>
  <c r="K52" i="7"/>
  <c r="J52" i="7"/>
  <c r="L52" i="7"/>
  <c r="K53" i="7"/>
  <c r="J53" i="7"/>
  <c r="L53" i="7"/>
  <c r="K51" i="6"/>
  <c r="K54" i="7"/>
  <c r="J54" i="7"/>
  <c r="L54" i="7"/>
  <c r="K55" i="7"/>
  <c r="J55" i="7"/>
  <c r="L55" i="7"/>
  <c r="K56" i="7"/>
  <c r="J56" i="7"/>
  <c r="L56" i="7"/>
  <c r="K84" i="6"/>
  <c r="K57" i="7"/>
  <c r="J57" i="7"/>
  <c r="L57" i="7"/>
  <c r="K58" i="7"/>
  <c r="J58" i="7"/>
  <c r="L58" i="7"/>
  <c r="K140" i="6"/>
  <c r="K59" i="7"/>
  <c r="J59" i="7"/>
  <c r="L59" i="7"/>
  <c r="K130" i="6"/>
  <c r="K60" i="7"/>
  <c r="J60" i="7"/>
  <c r="L60" i="7"/>
  <c r="K61" i="7"/>
  <c r="J61" i="7"/>
  <c r="L61" i="7"/>
  <c r="K135" i="6"/>
  <c r="K62" i="7"/>
  <c r="J62" i="7"/>
  <c r="L62" i="7"/>
  <c r="K88" i="6"/>
  <c r="K63" i="7"/>
  <c r="J63" i="7"/>
  <c r="L63" i="7"/>
  <c r="K85" i="6"/>
  <c r="K64" i="7"/>
  <c r="J64" i="7"/>
  <c r="L64" i="7"/>
  <c r="K65" i="7"/>
  <c r="J65" i="7"/>
  <c r="L65" i="7"/>
  <c r="K66" i="7"/>
  <c r="J66" i="7"/>
  <c r="L66" i="7"/>
  <c r="K67" i="7"/>
  <c r="J67" i="7"/>
  <c r="L67" i="7"/>
  <c r="K68" i="7"/>
  <c r="J68" i="7"/>
  <c r="L68" i="7"/>
  <c r="K12" i="6"/>
  <c r="K69" i="7"/>
  <c r="J69" i="7"/>
  <c r="L69" i="7"/>
  <c r="K70" i="7"/>
  <c r="J70" i="7"/>
  <c r="L70" i="7"/>
  <c r="K71" i="7"/>
  <c r="J71" i="7"/>
  <c r="L71" i="7"/>
  <c r="K72" i="7"/>
  <c r="J72" i="7"/>
  <c r="L72" i="7"/>
  <c r="K73" i="7"/>
  <c r="J73" i="7"/>
  <c r="L73" i="7"/>
  <c r="K74" i="7"/>
  <c r="J74" i="7"/>
  <c r="L74" i="7"/>
  <c r="K75" i="7"/>
  <c r="J75" i="7"/>
  <c r="L75" i="7"/>
  <c r="K76" i="7"/>
  <c r="J76" i="7"/>
  <c r="L76" i="7"/>
  <c r="K77" i="7"/>
  <c r="J77" i="7"/>
  <c r="L77" i="7"/>
  <c r="K78" i="7"/>
  <c r="J78" i="7"/>
  <c r="L78" i="7"/>
  <c r="K114" i="6"/>
  <c r="K79" i="7"/>
  <c r="J79" i="7"/>
  <c r="L79" i="7"/>
  <c r="K105" i="6"/>
  <c r="K80" i="7"/>
  <c r="J80" i="7"/>
  <c r="L80" i="7"/>
  <c r="K39" i="6"/>
  <c r="K81" i="7"/>
  <c r="J81" i="7"/>
  <c r="L81" i="7"/>
  <c r="K50" i="6"/>
  <c r="K82" i="7"/>
  <c r="J82" i="7"/>
  <c r="L82" i="7"/>
  <c r="K55" i="6"/>
  <c r="K83" i="7"/>
  <c r="J83" i="7"/>
  <c r="L83" i="7"/>
  <c r="K107" i="6"/>
  <c r="K84" i="7"/>
  <c r="J84" i="7"/>
  <c r="L84" i="7"/>
  <c r="K85" i="7"/>
  <c r="J85" i="7"/>
  <c r="L85" i="7"/>
  <c r="K86" i="7"/>
  <c r="J86" i="7"/>
  <c r="L86" i="7"/>
  <c r="K87" i="7"/>
  <c r="J87" i="7"/>
  <c r="L87" i="7"/>
  <c r="K119" i="6"/>
  <c r="K88" i="7"/>
  <c r="J88" i="7"/>
  <c r="L88" i="7"/>
  <c r="K80" i="6"/>
  <c r="K89" i="7"/>
  <c r="J89" i="7"/>
  <c r="L89" i="7"/>
  <c r="K58" i="6"/>
  <c r="K90" i="7"/>
  <c r="J90" i="7"/>
  <c r="L90" i="7"/>
  <c r="K86" i="6"/>
  <c r="K91" i="7"/>
  <c r="J91" i="7"/>
  <c r="L91" i="7"/>
  <c r="K92" i="7"/>
  <c r="J92" i="7"/>
  <c r="L92" i="7"/>
  <c r="K93" i="7"/>
  <c r="J93" i="7"/>
  <c r="L93" i="7"/>
  <c r="K81" i="6"/>
  <c r="K94" i="7"/>
  <c r="J94" i="7"/>
  <c r="L94" i="7"/>
  <c r="K95" i="7"/>
  <c r="J95" i="7"/>
  <c r="L95" i="7"/>
  <c r="K89" i="6"/>
  <c r="K96" i="7"/>
  <c r="J96" i="7"/>
  <c r="L96" i="7"/>
  <c r="K97" i="7"/>
  <c r="J97" i="7"/>
  <c r="L97" i="7"/>
  <c r="K98" i="7"/>
  <c r="J98" i="7"/>
  <c r="L98" i="7"/>
  <c r="J99" i="7"/>
  <c r="L99" i="7"/>
  <c r="K100" i="7"/>
  <c r="J100" i="7"/>
  <c r="L100" i="7"/>
  <c r="K101" i="7"/>
  <c r="J101" i="7"/>
  <c r="L101" i="7"/>
  <c r="K102" i="7"/>
  <c r="J102" i="7"/>
  <c r="L102" i="7"/>
  <c r="K138" i="6"/>
  <c r="K103" i="7"/>
  <c r="J103" i="7"/>
  <c r="L103" i="7"/>
  <c r="K104" i="7"/>
  <c r="J104" i="7"/>
  <c r="L104" i="7"/>
  <c r="K105" i="7"/>
  <c r="J105" i="7"/>
  <c r="L105" i="7"/>
  <c r="K106" i="7"/>
  <c r="J106" i="7"/>
  <c r="L106" i="7"/>
  <c r="K137" i="6"/>
  <c r="K107" i="7"/>
  <c r="J107" i="7"/>
  <c r="L107" i="7"/>
  <c r="K108" i="7"/>
  <c r="J108" i="7"/>
  <c r="L108" i="7"/>
  <c r="K131" i="6"/>
  <c r="K109" i="7"/>
  <c r="J109" i="7"/>
  <c r="L109" i="7"/>
  <c r="K116" i="6"/>
  <c r="K110" i="7"/>
  <c r="J110" i="7"/>
  <c r="L110" i="7"/>
  <c r="K111" i="6"/>
  <c r="K111" i="7"/>
  <c r="J111" i="7"/>
  <c r="L111" i="7"/>
  <c r="K112" i="6"/>
  <c r="K112" i="7"/>
  <c r="J112" i="7"/>
  <c r="L112" i="7"/>
  <c r="K98" i="6"/>
  <c r="K113" i="7"/>
  <c r="J113" i="7"/>
  <c r="L113" i="7"/>
  <c r="K117" i="6"/>
  <c r="K114" i="7"/>
  <c r="J114" i="7"/>
  <c r="L114" i="7"/>
  <c r="K120" i="6"/>
  <c r="K115" i="7"/>
  <c r="J115" i="7"/>
  <c r="L115" i="7"/>
  <c r="J116" i="7"/>
  <c r="L116" i="7"/>
  <c r="K117" i="7"/>
  <c r="J117" i="7"/>
  <c r="L117" i="7"/>
  <c r="K118" i="7"/>
  <c r="J118" i="7"/>
  <c r="L118" i="7"/>
  <c r="K76" i="6"/>
  <c r="K119" i="7"/>
  <c r="J119" i="7"/>
  <c r="L119" i="7"/>
  <c r="K72" i="6"/>
  <c r="K120" i="7"/>
  <c r="J120" i="7"/>
  <c r="L120" i="7"/>
  <c r="K121" i="7"/>
  <c r="J121" i="7"/>
  <c r="L121" i="7"/>
  <c r="K73" i="6"/>
  <c r="K122" i="7"/>
  <c r="J122" i="7"/>
  <c r="L122" i="7"/>
  <c r="K123" i="7"/>
  <c r="J123" i="7"/>
  <c r="L123" i="7"/>
  <c r="K124" i="7"/>
  <c r="J124" i="7"/>
  <c r="L124" i="7"/>
  <c r="K43" i="6"/>
  <c r="K125" i="7"/>
  <c r="J125" i="7"/>
  <c r="L125" i="7"/>
  <c r="K48" i="6"/>
  <c r="K126" i="7"/>
  <c r="J126" i="7"/>
  <c r="L126" i="7"/>
  <c r="K47" i="6"/>
  <c r="K127" i="7"/>
  <c r="J127" i="7"/>
  <c r="L127" i="7"/>
  <c r="K128" i="7"/>
  <c r="J128" i="7"/>
  <c r="L128" i="7"/>
  <c r="K129" i="7"/>
  <c r="J129" i="7"/>
  <c r="L129" i="7"/>
  <c r="K130" i="7"/>
  <c r="J130" i="7"/>
  <c r="L130" i="7"/>
  <c r="K37" i="6"/>
  <c r="K131" i="7"/>
  <c r="J131" i="7"/>
  <c r="L131" i="7"/>
  <c r="K132" i="7"/>
  <c r="J132" i="7"/>
  <c r="L132" i="7"/>
  <c r="K61" i="6"/>
  <c r="K133" i="7"/>
  <c r="J133" i="7"/>
  <c r="L133" i="7"/>
  <c r="K134" i="7"/>
  <c r="J134" i="7"/>
  <c r="L134" i="7"/>
  <c r="K147" i="6"/>
  <c r="K135" i="7"/>
  <c r="J135" i="7"/>
  <c r="L135" i="7"/>
  <c r="K136" i="7"/>
  <c r="J136" i="7"/>
  <c r="L136" i="7"/>
  <c r="K137" i="7"/>
  <c r="J137" i="7"/>
  <c r="L137" i="7"/>
  <c r="K63" i="6"/>
  <c r="K138" i="7"/>
  <c r="J138" i="7"/>
  <c r="L138" i="7"/>
  <c r="K108" i="6"/>
  <c r="K139" i="7"/>
  <c r="J139" i="7"/>
  <c r="L139" i="7"/>
  <c r="K69" i="6"/>
  <c r="K140" i="7"/>
  <c r="J140" i="7"/>
  <c r="L140" i="7"/>
  <c r="K77" i="6"/>
  <c r="K141" i="7"/>
  <c r="J141" i="7"/>
  <c r="L141" i="7"/>
  <c r="K14" i="6"/>
  <c r="K142" i="7"/>
  <c r="J142" i="7"/>
  <c r="L142" i="7"/>
  <c r="K143" i="7"/>
  <c r="J143" i="7"/>
  <c r="L143" i="7"/>
  <c r="K66" i="6"/>
  <c r="K144" i="7"/>
  <c r="J144" i="7"/>
  <c r="L144" i="7"/>
  <c r="K145" i="7"/>
  <c r="J145" i="7"/>
  <c r="L145" i="7"/>
  <c r="K67" i="6"/>
  <c r="K147" i="7"/>
  <c r="J147" i="7"/>
  <c r="L147" i="7"/>
  <c r="K148" i="7"/>
  <c r="J148" i="7"/>
  <c r="L148" i="7"/>
  <c r="K149" i="7"/>
  <c r="J149" i="7"/>
  <c r="L149" i="7"/>
  <c r="K150" i="7"/>
  <c r="J150" i="7"/>
  <c r="L150" i="7"/>
  <c r="K151" i="7"/>
  <c r="J151" i="7"/>
  <c r="L151" i="7"/>
  <c r="K152" i="7"/>
  <c r="J152" i="7"/>
  <c r="L152" i="7"/>
  <c r="K31" i="6"/>
  <c r="K153" i="7"/>
  <c r="J153" i="7"/>
  <c r="L153" i="7"/>
  <c r="K35" i="6"/>
  <c r="K154" i="7"/>
  <c r="J154" i="7"/>
  <c r="L154" i="7"/>
  <c r="K18" i="6"/>
  <c r="K155" i="7"/>
  <c r="J155" i="7"/>
  <c r="L155" i="7"/>
  <c r="K34" i="6"/>
  <c r="K156" i="7"/>
  <c r="J156" i="7"/>
  <c r="L156" i="7"/>
  <c r="K133" i="6"/>
  <c r="K157" i="7"/>
  <c r="J157" i="7"/>
  <c r="L157" i="7"/>
  <c r="K158" i="7"/>
  <c r="J158" i="7"/>
  <c r="L158" i="7"/>
  <c r="K150" i="6"/>
  <c r="K159" i="7"/>
  <c r="J159" i="7"/>
  <c r="L159" i="7"/>
  <c r="K160" i="7"/>
  <c r="J160" i="7"/>
  <c r="L160" i="7"/>
  <c r="K161" i="7"/>
  <c r="J161" i="7"/>
  <c r="L161" i="7"/>
  <c r="K162" i="7"/>
  <c r="J162" i="7"/>
  <c r="L162" i="7"/>
  <c r="K64" i="6"/>
  <c r="K163" i="7"/>
  <c r="J163" i="7"/>
  <c r="L163" i="7"/>
  <c r="K113" i="6"/>
  <c r="K164" i="7"/>
  <c r="J164" i="7"/>
  <c r="L164" i="7"/>
  <c r="K118" i="6"/>
  <c r="K165" i="7"/>
  <c r="J165" i="7"/>
  <c r="L165" i="7"/>
  <c r="K97" i="6"/>
  <c r="K166" i="7"/>
  <c r="J166" i="7"/>
  <c r="L166" i="7"/>
  <c r="K167" i="7"/>
  <c r="J167" i="7"/>
  <c r="L167" i="7"/>
  <c r="K22" i="6"/>
  <c r="K168" i="7"/>
  <c r="J168" i="7"/>
  <c r="L168" i="7"/>
  <c r="K169" i="7"/>
  <c r="J169" i="7"/>
  <c r="L169" i="7"/>
  <c r="K59" i="6"/>
  <c r="K170" i="7"/>
  <c r="J170" i="7"/>
  <c r="L170" i="7"/>
  <c r="K171" i="7"/>
  <c r="J171" i="7"/>
  <c r="L171" i="7"/>
  <c r="K152" i="6"/>
  <c r="K172" i="7"/>
  <c r="J172" i="7"/>
  <c r="L172" i="7"/>
  <c r="K173" i="7"/>
  <c r="J173" i="7"/>
  <c r="L173" i="7"/>
  <c r="K174" i="7"/>
  <c r="J174" i="7"/>
  <c r="L174" i="7"/>
  <c r="K175" i="7"/>
  <c r="J175" i="7"/>
  <c r="L175" i="7"/>
  <c r="K176" i="7"/>
  <c r="J176" i="7"/>
  <c r="L176" i="7"/>
  <c r="K177" i="7"/>
  <c r="J177" i="7"/>
  <c r="L177" i="7"/>
  <c r="K178" i="7"/>
  <c r="J178" i="7"/>
  <c r="L178" i="7"/>
  <c r="K42" i="6"/>
  <c r="K179" i="7"/>
  <c r="J179" i="7"/>
  <c r="L179" i="7"/>
  <c r="K180" i="7"/>
  <c r="J180" i="7"/>
  <c r="L180" i="7"/>
  <c r="K53" i="6"/>
  <c r="K181" i="7"/>
  <c r="J181" i="7"/>
  <c r="L181" i="7"/>
  <c r="K182" i="7"/>
  <c r="J182" i="7"/>
  <c r="L182" i="7"/>
  <c r="K183" i="7"/>
  <c r="J183" i="7"/>
  <c r="L183" i="7"/>
  <c r="K126" i="6"/>
  <c r="K184" i="7"/>
  <c r="J184" i="7"/>
  <c r="L184" i="7"/>
  <c r="K185" i="7"/>
  <c r="J185" i="7"/>
  <c r="L185" i="7"/>
  <c r="K129" i="6"/>
  <c r="K186" i="7"/>
  <c r="J186" i="7"/>
  <c r="L186" i="7"/>
  <c r="J187" i="7"/>
  <c r="L187" i="7"/>
  <c r="J188" i="7"/>
  <c r="L188" i="7"/>
  <c r="K189" i="7"/>
  <c r="J189" i="7"/>
  <c r="L189" i="7"/>
  <c r="J190" i="7"/>
  <c r="L190" i="7"/>
  <c r="J191" i="7"/>
  <c r="L191" i="7"/>
  <c r="J192" i="7"/>
  <c r="L192" i="7"/>
  <c r="J193" i="7"/>
  <c r="L193" i="7"/>
  <c r="K194" i="7"/>
  <c r="J194" i="7"/>
  <c r="L194" i="7"/>
  <c r="K195" i="7"/>
  <c r="J195" i="7"/>
  <c r="L195" i="7"/>
  <c r="K196" i="7"/>
  <c r="J196" i="7"/>
  <c r="L196" i="7"/>
  <c r="K109" i="6"/>
  <c r="K197" i="7"/>
  <c r="J197" i="7"/>
  <c r="L197" i="7"/>
  <c r="K198" i="7"/>
  <c r="J198" i="7"/>
  <c r="L198" i="7"/>
  <c r="K199" i="7"/>
  <c r="J199" i="7"/>
  <c r="L199" i="7"/>
  <c r="K65" i="6"/>
  <c r="K200" i="7"/>
  <c r="J200" i="7"/>
  <c r="L200" i="7"/>
  <c r="K201" i="7"/>
  <c r="J201" i="7"/>
  <c r="L201" i="7"/>
  <c r="K202" i="7"/>
  <c r="J202" i="7"/>
  <c r="L202" i="7"/>
  <c r="K83" i="6"/>
  <c r="K203" i="7"/>
  <c r="J203" i="7"/>
  <c r="L203" i="7"/>
  <c r="K204" i="7"/>
  <c r="J204" i="7"/>
  <c r="L204" i="7"/>
  <c r="K205" i="7"/>
  <c r="J205" i="7"/>
  <c r="L205" i="7"/>
  <c r="K206" i="7"/>
  <c r="J206" i="7"/>
  <c r="L206" i="7"/>
  <c r="K207" i="7"/>
  <c r="J207" i="7"/>
  <c r="L207" i="7"/>
  <c r="K208" i="7"/>
  <c r="J208" i="7"/>
  <c r="L208" i="7"/>
  <c r="K90" i="6"/>
  <c r="K209" i="7"/>
  <c r="J209" i="7"/>
  <c r="L209" i="7"/>
  <c r="K210" i="7"/>
  <c r="J210" i="7"/>
  <c r="L210" i="7"/>
  <c r="K211" i="7"/>
  <c r="J211" i="7"/>
  <c r="L211" i="7"/>
  <c r="K70" i="6"/>
  <c r="K212" i="7"/>
  <c r="J212" i="7"/>
  <c r="L212" i="7"/>
  <c r="K62" i="6"/>
  <c r="K213" i="7"/>
  <c r="J213" i="7"/>
  <c r="L213" i="7"/>
  <c r="K214" i="7"/>
  <c r="J214" i="7"/>
  <c r="L214" i="7"/>
  <c r="K5" i="6"/>
  <c r="K215" i="7"/>
  <c r="J215" i="7"/>
  <c r="L215" i="7"/>
  <c r="K216" i="7"/>
  <c r="J216" i="7"/>
  <c r="L216" i="7"/>
  <c r="K46" i="6"/>
  <c r="K217" i="7"/>
  <c r="J217" i="7"/>
  <c r="L217" i="7"/>
  <c r="K218" i="7"/>
  <c r="J218" i="7"/>
  <c r="L218" i="7"/>
  <c r="K219" i="7"/>
  <c r="J219" i="7"/>
  <c r="L219" i="7"/>
  <c r="K220" i="7"/>
  <c r="J220" i="7"/>
  <c r="L220" i="7"/>
  <c r="K15" i="6"/>
  <c r="K221" i="7"/>
  <c r="J221" i="7"/>
  <c r="L221" i="7"/>
  <c r="K222" i="7"/>
  <c r="J222" i="7"/>
  <c r="L222" i="7"/>
  <c r="K21" i="6"/>
  <c r="K223" i="7"/>
  <c r="J223" i="7"/>
  <c r="L223" i="7"/>
  <c r="K224" i="7"/>
  <c r="J224" i="7"/>
  <c r="L224" i="7"/>
  <c r="K225" i="7"/>
  <c r="J225" i="7"/>
  <c r="L225" i="7"/>
  <c r="K226" i="7"/>
  <c r="J226" i="7"/>
  <c r="L226" i="7"/>
  <c r="K227" i="7"/>
  <c r="J227" i="7"/>
  <c r="L227" i="7"/>
  <c r="K228" i="7"/>
  <c r="J228" i="7"/>
  <c r="L228" i="7"/>
  <c r="K121" i="6"/>
  <c r="K229" i="7"/>
  <c r="J229" i="7"/>
  <c r="L229" i="7"/>
  <c r="K230" i="7"/>
  <c r="J230" i="7"/>
  <c r="L230" i="7"/>
  <c r="K231" i="7"/>
  <c r="J231" i="7"/>
  <c r="L231" i="7"/>
  <c r="K232" i="7"/>
  <c r="J232" i="7"/>
  <c r="L232" i="7"/>
  <c r="K233" i="7"/>
  <c r="J233" i="7"/>
  <c r="L233" i="7"/>
  <c r="K8" i="6"/>
  <c r="K234" i="7"/>
  <c r="J234" i="7"/>
  <c r="L234" i="7"/>
  <c r="K235" i="7"/>
  <c r="J235" i="7"/>
  <c r="L235" i="7"/>
  <c r="K236" i="7"/>
  <c r="J236" i="7"/>
  <c r="L236" i="7"/>
  <c r="K237" i="7"/>
  <c r="J237" i="7"/>
  <c r="L237" i="7"/>
  <c r="K238" i="7"/>
  <c r="J238" i="7"/>
  <c r="L238" i="7"/>
  <c r="K239" i="7"/>
  <c r="J239" i="7"/>
  <c r="L239" i="7"/>
  <c r="K240" i="7"/>
  <c r="J240" i="7"/>
  <c r="L240" i="7"/>
  <c r="K10" i="6"/>
  <c r="K241" i="7"/>
  <c r="J241" i="7"/>
  <c r="L241" i="7"/>
  <c r="K242" i="7"/>
  <c r="J242" i="7"/>
  <c r="L242" i="7"/>
  <c r="K9" i="6"/>
  <c r="K243" i="7"/>
  <c r="J243" i="7"/>
  <c r="L243" i="7"/>
  <c r="K244" i="7"/>
  <c r="J244" i="7"/>
  <c r="L244" i="7"/>
  <c r="K245" i="7"/>
  <c r="J245" i="7"/>
  <c r="L245" i="7"/>
  <c r="K246" i="7"/>
  <c r="J246" i="7"/>
  <c r="L246" i="7"/>
  <c r="K247" i="7"/>
  <c r="J247" i="7"/>
  <c r="L247" i="7"/>
  <c r="K248" i="7"/>
  <c r="J248" i="7"/>
  <c r="L248" i="7"/>
  <c r="K249" i="7"/>
  <c r="J249" i="7"/>
  <c r="L249" i="7"/>
  <c r="K250" i="7"/>
  <c r="J250" i="7"/>
  <c r="L250" i="7"/>
  <c r="K54" i="6"/>
  <c r="K251" i="7"/>
  <c r="J251" i="7"/>
  <c r="L251" i="7"/>
  <c r="K252" i="7"/>
  <c r="J252" i="7"/>
  <c r="L252" i="7"/>
  <c r="K253" i="7"/>
  <c r="J253" i="7"/>
  <c r="L253" i="7"/>
  <c r="K254" i="7"/>
  <c r="J254" i="7"/>
  <c r="L254" i="7"/>
  <c r="K255" i="7"/>
  <c r="J255" i="7"/>
  <c r="L255" i="7"/>
  <c r="K256" i="7"/>
  <c r="J256" i="7"/>
  <c r="L256" i="7"/>
  <c r="K257" i="7"/>
  <c r="J257" i="7"/>
  <c r="L257" i="7"/>
  <c r="K258" i="7"/>
  <c r="J258" i="7"/>
  <c r="L258" i="7"/>
  <c r="K259" i="7"/>
  <c r="J259" i="7"/>
  <c r="L259" i="7"/>
  <c r="K7" i="6"/>
  <c r="K260" i="7"/>
  <c r="J260" i="7"/>
  <c r="L260" i="7"/>
  <c r="K261" i="7"/>
  <c r="J261" i="7"/>
  <c r="L261" i="7"/>
  <c r="K262" i="7"/>
  <c r="J262" i="7"/>
  <c r="L262" i="7"/>
  <c r="K29" i="6"/>
  <c r="K263" i="7"/>
  <c r="J263" i="7"/>
  <c r="L263" i="7"/>
  <c r="K264" i="7"/>
  <c r="J264" i="7"/>
  <c r="L264" i="7"/>
  <c r="K265" i="7"/>
  <c r="J265" i="7"/>
  <c r="L265" i="7"/>
  <c r="K266" i="7"/>
  <c r="J266" i="7"/>
  <c r="L266" i="7"/>
  <c r="K267" i="7"/>
  <c r="J267" i="7"/>
  <c r="L267" i="7"/>
  <c r="K268" i="7"/>
  <c r="J268" i="7"/>
  <c r="L268" i="7"/>
  <c r="K269" i="7"/>
  <c r="J269" i="7"/>
  <c r="L269" i="7"/>
  <c r="K270" i="7"/>
  <c r="J270" i="7"/>
  <c r="L270" i="7"/>
  <c r="K271" i="7"/>
  <c r="J271" i="7"/>
  <c r="L271" i="7"/>
  <c r="K272" i="7"/>
  <c r="J272" i="7"/>
  <c r="L272" i="7"/>
  <c r="K273" i="7"/>
  <c r="J273" i="7"/>
  <c r="L273" i="7"/>
  <c r="K274" i="7"/>
  <c r="J274" i="7"/>
  <c r="L274" i="7"/>
  <c r="K275" i="7"/>
  <c r="J275" i="7"/>
  <c r="L275" i="7"/>
  <c r="K276" i="7"/>
  <c r="J276" i="7"/>
  <c r="L276" i="7"/>
  <c r="K277" i="7"/>
  <c r="J277" i="7"/>
  <c r="L277" i="7"/>
  <c r="K278" i="7"/>
  <c r="J278" i="7"/>
  <c r="L278" i="7"/>
  <c r="K279" i="7"/>
  <c r="J279" i="7"/>
  <c r="L279" i="7"/>
  <c r="K280" i="7"/>
  <c r="J280" i="7"/>
  <c r="L280" i="7"/>
  <c r="K281" i="7"/>
  <c r="J281" i="7"/>
  <c r="L281" i="7"/>
  <c r="K282" i="7"/>
  <c r="J282" i="7"/>
  <c r="L282" i="7"/>
  <c r="K283" i="7"/>
  <c r="J283" i="7"/>
  <c r="L283" i="7"/>
  <c r="K94" i="6"/>
  <c r="K284" i="7"/>
  <c r="J284" i="7"/>
  <c r="L284" i="7"/>
  <c r="K285" i="7"/>
  <c r="J285" i="7"/>
  <c r="L285" i="7"/>
  <c r="K92" i="6"/>
  <c r="K286" i="7"/>
  <c r="J286" i="7"/>
  <c r="L286" i="7"/>
  <c r="K287" i="7"/>
  <c r="J287" i="7"/>
  <c r="L287" i="7"/>
  <c r="K288" i="7"/>
  <c r="J288" i="7"/>
  <c r="L288" i="7"/>
  <c r="K289" i="7"/>
  <c r="J289" i="7"/>
  <c r="L289" i="7"/>
  <c r="K124" i="6"/>
  <c r="K290" i="7"/>
  <c r="J290" i="7"/>
  <c r="L290" i="7"/>
  <c r="K291" i="7"/>
  <c r="J291" i="7"/>
  <c r="L291" i="7"/>
  <c r="K292" i="7"/>
  <c r="J292" i="7"/>
  <c r="L292" i="7"/>
  <c r="K6" i="6"/>
  <c r="K293" i="7"/>
  <c r="J293" i="7"/>
  <c r="L293" i="7"/>
  <c r="K13" i="6"/>
  <c r="K294" i="7"/>
  <c r="J294" i="7"/>
  <c r="L294" i="7"/>
  <c r="K295" i="7"/>
  <c r="J295" i="7"/>
  <c r="L295" i="7"/>
  <c r="K32" i="6"/>
  <c r="K296" i="7"/>
  <c r="J296" i="7"/>
  <c r="L296" i="7"/>
  <c r="K297" i="7"/>
  <c r="J297" i="7"/>
  <c r="L297" i="7"/>
  <c r="K298" i="7"/>
  <c r="J298" i="7"/>
  <c r="L298" i="7"/>
  <c r="K299" i="7"/>
  <c r="J299" i="7"/>
  <c r="L299" i="7"/>
  <c r="K300" i="7"/>
  <c r="J300" i="7"/>
  <c r="L300" i="7"/>
  <c r="K301" i="7"/>
  <c r="J301" i="7"/>
  <c r="L301" i="7"/>
  <c r="K302" i="7"/>
  <c r="J302" i="7"/>
  <c r="L302" i="7"/>
  <c r="K303" i="7"/>
  <c r="J303" i="7"/>
  <c r="L303" i="7"/>
  <c r="K304" i="7"/>
  <c r="J304" i="7"/>
  <c r="L304" i="7"/>
  <c r="K305" i="7"/>
  <c r="J305" i="7"/>
  <c r="L305" i="7"/>
  <c r="K306" i="7"/>
  <c r="J306" i="7"/>
  <c r="L306" i="7"/>
  <c r="K307" i="7"/>
  <c r="J307" i="7"/>
  <c r="L307" i="7"/>
  <c r="K308" i="7"/>
  <c r="J308" i="7"/>
  <c r="L308" i="7"/>
  <c r="K309" i="7"/>
  <c r="J309" i="7"/>
  <c r="L309" i="7"/>
  <c r="K310" i="7"/>
  <c r="J310" i="7"/>
  <c r="L310" i="7"/>
  <c r="K311" i="7"/>
  <c r="J311" i="7"/>
  <c r="L311" i="7"/>
  <c r="K312" i="7"/>
  <c r="J312" i="7"/>
  <c r="L312" i="7"/>
  <c r="K25" i="6"/>
  <c r="K313" i="7"/>
  <c r="J313" i="7"/>
  <c r="L313" i="7"/>
  <c r="K314" i="7"/>
  <c r="J314" i="7"/>
  <c r="L314" i="7"/>
  <c r="K19" i="6"/>
  <c r="K315" i="7"/>
  <c r="J315" i="7"/>
  <c r="L315" i="7"/>
  <c r="K30" i="6"/>
  <c r="K316" i="7"/>
  <c r="J316" i="7"/>
  <c r="L316" i="7"/>
  <c r="K317" i="7"/>
  <c r="J317" i="7"/>
  <c r="L317" i="7"/>
  <c r="K318" i="7"/>
  <c r="J318" i="7"/>
  <c r="L318" i="7"/>
  <c r="K44" i="6"/>
  <c r="K319" i="7"/>
  <c r="J319" i="7"/>
  <c r="L319" i="7"/>
  <c r="K320" i="7"/>
  <c r="J320" i="7"/>
  <c r="L320" i="7"/>
  <c r="K321" i="7"/>
  <c r="J321" i="7"/>
  <c r="L321" i="7"/>
  <c r="K322" i="7"/>
  <c r="J322" i="7"/>
  <c r="L322" i="7"/>
  <c r="K323" i="7"/>
  <c r="J323" i="7"/>
  <c r="L323" i="7"/>
  <c r="K56" i="6"/>
  <c r="K324" i="7"/>
  <c r="J324" i="7"/>
  <c r="L324" i="7"/>
  <c r="K325" i="7"/>
  <c r="J325" i="7"/>
  <c r="L325" i="7"/>
  <c r="K326" i="7"/>
  <c r="J326" i="7"/>
  <c r="L326" i="7"/>
  <c r="K327" i="7"/>
  <c r="J327" i="7"/>
  <c r="L327" i="7"/>
  <c r="K328" i="7"/>
  <c r="J328" i="7"/>
  <c r="L328" i="7"/>
  <c r="K329" i="7"/>
  <c r="J329" i="7"/>
  <c r="L329" i="7"/>
  <c r="K154" i="6"/>
  <c r="K330" i="7"/>
  <c r="J330" i="7"/>
  <c r="L330" i="7"/>
  <c r="K331" i="7"/>
  <c r="J331" i="7"/>
  <c r="L331" i="7"/>
  <c r="K332" i="7"/>
  <c r="J332" i="7"/>
  <c r="L332" i="7"/>
  <c r="K153" i="6"/>
  <c r="K333" i="7"/>
  <c r="J333" i="7"/>
  <c r="L333" i="7"/>
  <c r="K334" i="7"/>
  <c r="J334" i="7"/>
  <c r="L334" i="7"/>
  <c r="K33" i="6"/>
  <c r="K335" i="7"/>
  <c r="J335" i="7"/>
  <c r="L335" i="7"/>
  <c r="K336" i="7"/>
  <c r="J336" i="7"/>
  <c r="L336" i="7"/>
  <c r="K78" i="6"/>
  <c r="K337" i="7"/>
  <c r="J337" i="7"/>
  <c r="L337" i="7"/>
  <c r="K338" i="7"/>
  <c r="J338" i="7"/>
  <c r="L338" i="7"/>
  <c r="K339" i="7"/>
  <c r="J339" i="7"/>
  <c r="L339" i="7"/>
  <c r="K340" i="7"/>
  <c r="J340" i="7"/>
  <c r="L340" i="7"/>
  <c r="K341" i="7"/>
  <c r="J341" i="7"/>
  <c r="L341" i="7"/>
  <c r="K41" i="6"/>
  <c r="K342" i="7"/>
  <c r="J342" i="7"/>
  <c r="L342" i="7"/>
  <c r="K45" i="6"/>
  <c r="K343" i="7"/>
  <c r="J343" i="7"/>
  <c r="L343" i="7"/>
  <c r="K60" i="6"/>
  <c r="K344" i="7"/>
  <c r="J344" i="7"/>
  <c r="L344" i="7"/>
  <c r="K345" i="7"/>
  <c r="J345" i="7"/>
  <c r="L345" i="7"/>
  <c r="K346" i="7"/>
  <c r="J346" i="7"/>
  <c r="L346" i="7"/>
  <c r="K347" i="7"/>
  <c r="J347" i="7"/>
  <c r="L347" i="7"/>
  <c r="K348" i="7"/>
  <c r="J348" i="7"/>
  <c r="L348" i="7"/>
  <c r="K349" i="7"/>
  <c r="J349" i="7"/>
  <c r="L349" i="7"/>
  <c r="K350" i="7"/>
  <c r="J350" i="7"/>
  <c r="L350" i="7"/>
  <c r="K351" i="7"/>
  <c r="J351" i="7"/>
  <c r="L351" i="7"/>
  <c r="K352" i="7"/>
  <c r="J352" i="7"/>
  <c r="L352" i="7"/>
  <c r="K353" i="7"/>
  <c r="J353" i="7"/>
  <c r="L353" i="7"/>
  <c r="K125" i="6"/>
  <c r="K354" i="7"/>
  <c r="J354" i="7"/>
  <c r="L354" i="7"/>
  <c r="K123" i="6"/>
  <c r="K355" i="7"/>
  <c r="J355" i="7"/>
  <c r="L355" i="7"/>
  <c r="K356" i="7"/>
  <c r="J356" i="7"/>
  <c r="L356" i="7"/>
  <c r="K52" i="6"/>
  <c r="K357" i="7"/>
  <c r="J357" i="7"/>
  <c r="L357" i="7"/>
  <c r="K358" i="7"/>
  <c r="J358" i="7"/>
  <c r="L358" i="7"/>
  <c r="K122" i="6"/>
  <c r="K359" i="7"/>
  <c r="J359" i="7"/>
  <c r="L359" i="7"/>
  <c r="K360" i="7"/>
  <c r="J360" i="7"/>
  <c r="L360" i="7"/>
  <c r="K361" i="7"/>
  <c r="J361" i="7"/>
  <c r="L361" i="7"/>
  <c r="K362" i="7"/>
  <c r="J362" i="7"/>
  <c r="L362" i="7"/>
  <c r="K68" i="6"/>
  <c r="K363" i="7"/>
  <c r="J363" i="7"/>
  <c r="L363" i="7"/>
  <c r="K364" i="7"/>
  <c r="J364" i="7"/>
  <c r="L364" i="7"/>
  <c r="K365" i="7"/>
  <c r="J365" i="7"/>
  <c r="L365" i="7"/>
  <c r="K366" i="7"/>
  <c r="J366" i="7"/>
  <c r="L366" i="7"/>
  <c r="K17" i="6"/>
  <c r="K367" i="7"/>
  <c r="J367" i="7"/>
  <c r="L367" i="7"/>
  <c r="K368" i="7"/>
  <c r="J368" i="7"/>
  <c r="L368" i="7"/>
  <c r="K369" i="7"/>
  <c r="J369" i="7"/>
  <c r="L369" i="7"/>
  <c r="K370" i="7"/>
  <c r="J370" i="7"/>
  <c r="L370" i="7"/>
  <c r="K371" i="7"/>
  <c r="J371" i="7"/>
  <c r="L371" i="7"/>
  <c r="K372" i="7"/>
  <c r="J372" i="7"/>
  <c r="L372" i="7"/>
  <c r="K373" i="7"/>
  <c r="J373" i="7"/>
  <c r="L373" i="7"/>
  <c r="K3" i="6"/>
  <c r="K374" i="7"/>
  <c r="J374" i="7"/>
  <c r="L374" i="7"/>
  <c r="K375" i="7"/>
  <c r="J375" i="7"/>
  <c r="L375" i="7"/>
  <c r="K376" i="7"/>
  <c r="J376" i="7"/>
  <c r="L376" i="7"/>
  <c r="K4" i="6"/>
  <c r="K377" i="7"/>
  <c r="J377" i="7"/>
  <c r="L377" i="7"/>
  <c r="K378" i="7"/>
  <c r="J378" i="7"/>
  <c r="L378" i="7"/>
  <c r="K132" i="6"/>
  <c r="K379" i="7"/>
  <c r="J379" i="7"/>
  <c r="L379" i="7"/>
  <c r="K380" i="7"/>
  <c r="J380" i="7"/>
  <c r="L380" i="7"/>
  <c r="K381" i="7"/>
  <c r="J381" i="7"/>
  <c r="L381" i="7"/>
  <c r="K23" i="6"/>
  <c r="K382" i="7"/>
  <c r="J382" i="7"/>
  <c r="L382" i="7"/>
  <c r="K383" i="7"/>
  <c r="J383" i="7"/>
  <c r="L383" i="7"/>
  <c r="K16" i="6"/>
  <c r="K384" i="7"/>
  <c r="J384" i="7"/>
  <c r="L384" i="7"/>
  <c r="K385" i="7"/>
  <c r="J385" i="7"/>
  <c r="L385" i="7"/>
  <c r="K386" i="7"/>
  <c r="J386" i="7"/>
  <c r="L386" i="7"/>
  <c r="K387" i="7"/>
  <c r="J387" i="7"/>
  <c r="L387" i="7"/>
  <c r="K388" i="7"/>
  <c r="J388" i="7"/>
  <c r="L388" i="7"/>
  <c r="K389" i="7"/>
  <c r="J389" i="7"/>
  <c r="L389" i="7"/>
  <c r="K390" i="7"/>
  <c r="J390" i="7"/>
  <c r="L390" i="7"/>
  <c r="K391" i="7"/>
  <c r="J391" i="7"/>
  <c r="L391" i="7"/>
  <c r="K392" i="7"/>
  <c r="J392" i="7"/>
  <c r="L392" i="7"/>
  <c r="K393" i="7"/>
  <c r="J393" i="7"/>
  <c r="L393" i="7"/>
  <c r="K394" i="7"/>
  <c r="J394" i="7"/>
  <c r="L394" i="7"/>
  <c r="K395" i="7"/>
  <c r="J395" i="7"/>
  <c r="L395" i="7"/>
  <c r="K74" i="6"/>
  <c r="K396" i="7"/>
  <c r="J396" i="7"/>
  <c r="L396" i="7"/>
  <c r="K397" i="7"/>
  <c r="J397" i="7"/>
  <c r="L397" i="7"/>
  <c r="K398" i="7"/>
  <c r="J398" i="7"/>
  <c r="L398" i="7"/>
  <c r="K399" i="7"/>
  <c r="J399" i="7"/>
  <c r="L399" i="7"/>
  <c r="K400" i="7"/>
  <c r="J400" i="7"/>
  <c r="L400" i="7"/>
  <c r="K401" i="7"/>
  <c r="J401" i="7"/>
  <c r="L401" i="7"/>
  <c r="K402" i="7"/>
  <c r="J402" i="7"/>
  <c r="L402" i="7"/>
  <c r="K403" i="7"/>
  <c r="J403" i="7"/>
  <c r="L403" i="7"/>
  <c r="K404" i="7"/>
  <c r="J404" i="7"/>
  <c r="L404" i="7"/>
  <c r="K405" i="7"/>
  <c r="J405" i="7"/>
  <c r="L405" i="7"/>
  <c r="K406" i="7"/>
  <c r="J406" i="7"/>
  <c r="L406" i="7"/>
  <c r="K407" i="7"/>
  <c r="J407" i="7"/>
  <c r="L407" i="7"/>
  <c r="K408" i="7"/>
  <c r="J408" i="7"/>
  <c r="L408" i="7"/>
  <c r="K409" i="7"/>
  <c r="J409" i="7"/>
  <c r="L409" i="7"/>
  <c r="K410" i="7"/>
  <c r="J410" i="7"/>
  <c r="L410" i="7"/>
  <c r="K411" i="7"/>
  <c r="J411" i="7"/>
  <c r="L411" i="7"/>
  <c r="K412" i="7"/>
  <c r="J412" i="7"/>
  <c r="L412" i="7"/>
  <c r="K413" i="7"/>
  <c r="J413" i="7"/>
  <c r="L413" i="7"/>
  <c r="K102" i="6"/>
  <c r="K414" i="7"/>
  <c r="J414" i="7"/>
  <c r="L414" i="7"/>
  <c r="K415" i="7"/>
  <c r="J415" i="7"/>
  <c r="L415" i="7"/>
  <c r="K416" i="7"/>
  <c r="J416" i="7"/>
  <c r="L416" i="7"/>
  <c r="K417" i="7"/>
  <c r="J417" i="7"/>
  <c r="L417" i="7"/>
  <c r="K418" i="7"/>
  <c r="J418" i="7"/>
  <c r="L418" i="7"/>
  <c r="K419" i="7"/>
  <c r="J419" i="7"/>
  <c r="L419" i="7"/>
  <c r="K420" i="7"/>
  <c r="J420" i="7"/>
  <c r="L420" i="7"/>
  <c r="K421" i="7"/>
  <c r="J421" i="7"/>
  <c r="L421" i="7"/>
  <c r="K422" i="7"/>
  <c r="J422" i="7"/>
  <c r="L422" i="7"/>
  <c r="K423" i="7"/>
  <c r="J423" i="7"/>
  <c r="L423" i="7"/>
  <c r="K424" i="7"/>
  <c r="J424" i="7"/>
  <c r="L424" i="7"/>
  <c r="K425" i="7"/>
  <c r="J425" i="7"/>
  <c r="L425" i="7"/>
  <c r="K426" i="7"/>
  <c r="J426" i="7"/>
  <c r="L426" i="7"/>
  <c r="K427" i="7"/>
  <c r="J427" i="7"/>
  <c r="L427" i="7"/>
  <c r="K428" i="7"/>
  <c r="J428" i="7"/>
  <c r="L428" i="7"/>
  <c r="K429" i="7"/>
  <c r="J429" i="7"/>
  <c r="L429" i="7"/>
  <c r="K430" i="7"/>
  <c r="J430" i="7"/>
  <c r="L430" i="7"/>
  <c r="K431" i="7"/>
  <c r="J431" i="7"/>
  <c r="L431" i="7"/>
  <c r="K432" i="7"/>
  <c r="J432" i="7"/>
  <c r="L432" i="7"/>
  <c r="K433" i="7"/>
  <c r="J433" i="7"/>
  <c r="L433" i="7"/>
  <c r="K434" i="7"/>
  <c r="J434" i="7"/>
  <c r="L434" i="7"/>
  <c r="K435" i="7"/>
  <c r="J435" i="7"/>
  <c r="L435" i="7"/>
  <c r="K436" i="7"/>
  <c r="J436" i="7"/>
  <c r="L436" i="7"/>
  <c r="K437" i="7"/>
  <c r="J437" i="7"/>
  <c r="L437" i="7"/>
  <c r="K438" i="7"/>
  <c r="J438" i="7"/>
  <c r="L438" i="7"/>
  <c r="K439" i="7"/>
  <c r="J439" i="7"/>
  <c r="L439" i="7"/>
  <c r="K440" i="7"/>
  <c r="J440" i="7"/>
  <c r="L440" i="7"/>
  <c r="K441" i="7"/>
  <c r="J441" i="7"/>
  <c r="L441" i="7"/>
  <c r="K442" i="7"/>
  <c r="J442" i="7"/>
  <c r="L442" i="7"/>
  <c r="K443" i="7"/>
  <c r="J443" i="7"/>
  <c r="L443" i="7"/>
  <c r="K444" i="7"/>
  <c r="J444" i="7"/>
  <c r="L444" i="7"/>
  <c r="K445" i="7"/>
  <c r="J445" i="7"/>
  <c r="L445" i="7"/>
  <c r="K446" i="7"/>
  <c r="J446" i="7"/>
  <c r="L446" i="7"/>
  <c r="K447" i="7"/>
  <c r="J447" i="7"/>
  <c r="L447" i="7"/>
  <c r="K448" i="7"/>
  <c r="J448" i="7"/>
  <c r="L448" i="7"/>
  <c r="K449" i="7"/>
  <c r="J449" i="7"/>
  <c r="L449" i="7"/>
  <c r="K450" i="7"/>
  <c r="J450" i="7"/>
  <c r="L450" i="7"/>
  <c r="K451" i="7"/>
  <c r="J451" i="7"/>
  <c r="L451" i="7"/>
  <c r="K452" i="7"/>
  <c r="J452" i="7"/>
  <c r="L452" i="7"/>
  <c r="K453" i="7"/>
  <c r="J453" i="7"/>
  <c r="L453" i="7"/>
  <c r="K454" i="7"/>
  <c r="J454" i="7"/>
  <c r="L454" i="7"/>
  <c r="K455" i="7"/>
  <c r="J455" i="7"/>
  <c r="L455" i="7"/>
  <c r="K456" i="7"/>
  <c r="J456" i="7"/>
  <c r="L456" i="7"/>
  <c r="K457" i="7"/>
  <c r="J457" i="7"/>
  <c r="L457" i="7"/>
  <c r="K458" i="7"/>
  <c r="J458" i="7"/>
  <c r="L458" i="7"/>
  <c r="K459" i="7"/>
  <c r="J459" i="7"/>
  <c r="L459" i="7"/>
  <c r="K460" i="7"/>
  <c r="J460" i="7"/>
  <c r="L460" i="7"/>
  <c r="K461" i="7"/>
  <c r="J461" i="7"/>
  <c r="L461" i="7"/>
  <c r="K462" i="7"/>
  <c r="J462" i="7"/>
  <c r="L462" i="7"/>
  <c r="K463" i="7"/>
  <c r="J463" i="7"/>
  <c r="L463" i="7"/>
  <c r="K464" i="7"/>
  <c r="J464" i="7"/>
  <c r="L464" i="7"/>
  <c r="K465" i="7"/>
  <c r="J465" i="7"/>
  <c r="L465" i="7"/>
  <c r="K466" i="7"/>
  <c r="J466" i="7"/>
  <c r="L466" i="7"/>
  <c r="K467" i="7"/>
  <c r="J467" i="7"/>
  <c r="L467" i="7"/>
  <c r="K468" i="7"/>
  <c r="J468" i="7"/>
  <c r="L468" i="7"/>
  <c r="K469" i="7"/>
  <c r="J469" i="7"/>
  <c r="L469" i="7"/>
  <c r="K470" i="7"/>
  <c r="J470" i="7"/>
  <c r="L470" i="7"/>
  <c r="K115" i="6"/>
  <c r="K471" i="7"/>
  <c r="J471" i="7"/>
  <c r="L471" i="7"/>
  <c r="K472" i="7"/>
  <c r="J472" i="7"/>
  <c r="L472" i="7"/>
  <c r="K473" i="7"/>
  <c r="J473" i="7"/>
  <c r="L473" i="7"/>
  <c r="K474" i="7"/>
  <c r="J474" i="7"/>
  <c r="L474" i="7"/>
  <c r="K475" i="7"/>
  <c r="J475" i="7"/>
  <c r="L475" i="7"/>
  <c r="K476" i="7"/>
  <c r="J476" i="7"/>
  <c r="L476" i="7"/>
  <c r="K477" i="7"/>
  <c r="J477" i="7"/>
  <c r="L477" i="7"/>
  <c r="K478" i="7"/>
  <c r="J478" i="7"/>
  <c r="L478" i="7"/>
  <c r="K479" i="7"/>
  <c r="J479" i="7"/>
  <c r="L479" i="7"/>
  <c r="K480" i="7"/>
  <c r="J480" i="7"/>
  <c r="L480" i="7"/>
  <c r="K481" i="7"/>
  <c r="J481" i="7"/>
  <c r="L481" i="7"/>
  <c r="K482" i="7"/>
  <c r="J482" i="7"/>
  <c r="L482" i="7"/>
  <c r="K483" i="7"/>
  <c r="J483" i="7"/>
  <c r="L483" i="7"/>
  <c r="K484" i="7"/>
  <c r="J484" i="7"/>
  <c r="L484" i="7"/>
  <c r="K485" i="7"/>
  <c r="J485" i="7"/>
  <c r="L485" i="7"/>
  <c r="K486" i="7"/>
  <c r="J486" i="7"/>
  <c r="L486" i="7"/>
  <c r="K487" i="7"/>
  <c r="J487" i="7"/>
  <c r="L487" i="7"/>
  <c r="K488" i="7"/>
  <c r="J488" i="7"/>
  <c r="L488" i="7"/>
  <c r="K489" i="7"/>
  <c r="J489" i="7"/>
  <c r="L489" i="7"/>
  <c r="K490" i="7"/>
  <c r="J490" i="7"/>
  <c r="L490" i="7"/>
  <c r="K491" i="7"/>
  <c r="J491" i="7"/>
  <c r="L491" i="7"/>
  <c r="K492" i="7"/>
  <c r="J492" i="7"/>
  <c r="L492" i="7"/>
  <c r="K493" i="7"/>
  <c r="J493" i="7"/>
  <c r="L493" i="7"/>
  <c r="K494" i="7"/>
  <c r="J494" i="7"/>
  <c r="L494" i="7"/>
  <c r="K495" i="7"/>
  <c r="J495" i="7"/>
  <c r="L495" i="7"/>
  <c r="K496" i="7"/>
  <c r="J496" i="7"/>
  <c r="L496" i="7"/>
  <c r="K497" i="7"/>
  <c r="J497" i="7"/>
  <c r="L497" i="7"/>
  <c r="K498" i="7"/>
  <c r="J498" i="7"/>
  <c r="L498" i="7"/>
  <c r="K499" i="7"/>
  <c r="J499" i="7"/>
  <c r="L499" i="7"/>
  <c r="K500" i="7"/>
  <c r="J500" i="7"/>
  <c r="L500" i="7"/>
  <c r="K501" i="7"/>
  <c r="J501" i="7"/>
  <c r="L501" i="7"/>
  <c r="K502" i="7"/>
  <c r="J502" i="7"/>
  <c r="L502" i="7"/>
  <c r="K503" i="7"/>
  <c r="J503" i="7"/>
  <c r="L503" i="7"/>
  <c r="K504" i="7"/>
  <c r="J504" i="7"/>
  <c r="L504" i="7"/>
  <c r="K505" i="7"/>
  <c r="J505" i="7"/>
  <c r="L505" i="7"/>
  <c r="K506" i="7"/>
  <c r="J506" i="7"/>
  <c r="L506" i="7"/>
  <c r="K507" i="7"/>
  <c r="J507" i="7"/>
  <c r="L507" i="7"/>
  <c r="K508" i="7"/>
  <c r="J508" i="7"/>
  <c r="L508" i="7"/>
  <c r="K509" i="7"/>
  <c r="J509" i="7"/>
  <c r="L509" i="7"/>
  <c r="K510" i="7"/>
  <c r="J510" i="7"/>
  <c r="L510" i="7"/>
  <c r="K511" i="7"/>
  <c r="J511" i="7"/>
  <c r="L511" i="7"/>
  <c r="K512" i="7"/>
  <c r="J512" i="7"/>
  <c r="L512" i="7"/>
  <c r="K513" i="7"/>
  <c r="J513" i="7"/>
  <c r="L513" i="7"/>
  <c r="K514" i="7"/>
  <c r="J514" i="7"/>
  <c r="L514" i="7"/>
  <c r="K515" i="7"/>
  <c r="J515" i="7"/>
  <c r="L515" i="7"/>
  <c r="K516" i="7"/>
  <c r="J516" i="7"/>
  <c r="L516" i="7"/>
  <c r="K517" i="7"/>
  <c r="J517" i="7"/>
  <c r="L517" i="7"/>
  <c r="K518" i="7"/>
  <c r="J518" i="7"/>
  <c r="L518" i="7"/>
  <c r="K519" i="7"/>
  <c r="J519" i="7"/>
  <c r="L519" i="7"/>
  <c r="K520" i="7"/>
  <c r="J520" i="7"/>
  <c r="L520" i="7"/>
  <c r="K521" i="7"/>
  <c r="J521" i="7"/>
  <c r="L521" i="7"/>
  <c r="K522" i="7"/>
  <c r="J522" i="7"/>
  <c r="L522" i="7"/>
  <c r="K523" i="7"/>
  <c r="J523" i="7"/>
  <c r="L523" i="7"/>
  <c r="K524" i="7"/>
  <c r="J524" i="7"/>
  <c r="L524" i="7"/>
  <c r="K525" i="7"/>
  <c r="J525" i="7"/>
  <c r="L525" i="7"/>
  <c r="K526" i="7"/>
  <c r="J526" i="7"/>
  <c r="L526" i="7"/>
  <c r="K527" i="7"/>
  <c r="J527" i="7"/>
  <c r="L527" i="7"/>
  <c r="K528" i="7"/>
  <c r="J528" i="7"/>
  <c r="L528" i="7"/>
  <c r="K529" i="7"/>
  <c r="J529" i="7"/>
  <c r="L529" i="7"/>
  <c r="K530" i="7"/>
  <c r="J530" i="7"/>
  <c r="L530" i="7"/>
  <c r="K531" i="7"/>
  <c r="J531" i="7"/>
  <c r="L531" i="7"/>
  <c r="K532" i="7"/>
  <c r="J532" i="7"/>
  <c r="L532" i="7"/>
  <c r="K533" i="7"/>
  <c r="J533" i="7"/>
  <c r="L533" i="7"/>
  <c r="K534" i="7"/>
  <c r="J534" i="7"/>
  <c r="L534" i="7"/>
  <c r="K535" i="7"/>
  <c r="J535" i="7"/>
  <c r="L535" i="7"/>
  <c r="K536" i="7"/>
  <c r="J536" i="7"/>
  <c r="L536" i="7"/>
  <c r="K537" i="7"/>
  <c r="J537" i="7"/>
  <c r="L537" i="7"/>
  <c r="K538" i="7"/>
  <c r="J538" i="7"/>
  <c r="L538" i="7"/>
  <c r="K539" i="7"/>
  <c r="J539" i="7"/>
  <c r="L539" i="7"/>
  <c r="K540" i="7"/>
  <c r="J540" i="7"/>
  <c r="L540" i="7"/>
  <c r="K103" i="6"/>
  <c r="K541" i="7"/>
  <c r="J541" i="7"/>
  <c r="L541" i="7"/>
  <c r="K542" i="7"/>
  <c r="J542" i="7"/>
  <c r="L542" i="7"/>
  <c r="K543" i="7"/>
  <c r="J543" i="7"/>
  <c r="L543" i="7"/>
  <c r="K544" i="7"/>
  <c r="J544" i="7"/>
  <c r="L544" i="7"/>
  <c r="K545" i="7"/>
  <c r="J545" i="7"/>
  <c r="L545" i="7"/>
  <c r="K546" i="7"/>
  <c r="J546" i="7"/>
  <c r="L546" i="7"/>
  <c r="K547" i="7"/>
  <c r="J547" i="7"/>
  <c r="L547" i="7"/>
  <c r="K548" i="7"/>
  <c r="J548" i="7"/>
  <c r="L548" i="7"/>
  <c r="K549" i="7"/>
  <c r="J549" i="7"/>
  <c r="L549" i="7"/>
  <c r="K550" i="7"/>
  <c r="J550" i="7"/>
  <c r="L550" i="7"/>
  <c r="K551" i="7"/>
  <c r="J551" i="7"/>
  <c r="L551" i="7"/>
  <c r="K552" i="7"/>
  <c r="J552" i="7"/>
  <c r="L552" i="7"/>
  <c r="K553" i="7"/>
  <c r="J553" i="7"/>
  <c r="L553" i="7"/>
  <c r="K554" i="7"/>
  <c r="J554" i="7"/>
  <c r="L554" i="7"/>
  <c r="K555" i="7"/>
  <c r="J555" i="7"/>
  <c r="L555" i="7"/>
  <c r="K556" i="7"/>
  <c r="J556" i="7"/>
  <c r="L556" i="7"/>
  <c r="K557" i="7"/>
  <c r="J557" i="7"/>
  <c r="L557" i="7"/>
  <c r="K558" i="7"/>
  <c r="J558" i="7"/>
  <c r="L558" i="7"/>
  <c r="K559" i="7"/>
  <c r="J559" i="7"/>
  <c r="L559" i="7"/>
  <c r="K560" i="7"/>
  <c r="J560" i="7"/>
  <c r="L560" i="7"/>
  <c r="K561" i="7"/>
  <c r="J561" i="7"/>
  <c r="L561" i="7"/>
  <c r="K562" i="7"/>
  <c r="J562" i="7"/>
  <c r="L562" i="7"/>
  <c r="K563" i="7"/>
  <c r="J563" i="7"/>
  <c r="L563" i="7"/>
  <c r="K571" i="7"/>
  <c r="J571" i="7"/>
  <c r="L571" i="7"/>
  <c r="K572" i="7"/>
  <c r="J572" i="7"/>
  <c r="L572" i="7"/>
  <c r="K573" i="7"/>
  <c r="J573" i="7"/>
  <c r="L573" i="7"/>
  <c r="K574" i="7"/>
  <c r="J574" i="7"/>
  <c r="L574" i="7"/>
  <c r="K575" i="7"/>
  <c r="J575" i="7"/>
  <c r="L575" i="7"/>
  <c r="K576" i="7"/>
  <c r="J576" i="7"/>
  <c r="L576" i="7"/>
  <c r="K577" i="7"/>
  <c r="J577" i="7"/>
  <c r="L577" i="7"/>
  <c r="K578" i="7"/>
  <c r="J578" i="7"/>
  <c r="L578" i="7"/>
  <c r="K579" i="7"/>
  <c r="J579" i="7"/>
  <c r="L579" i="7"/>
  <c r="K580" i="7"/>
  <c r="J580" i="7"/>
  <c r="L580" i="7"/>
  <c r="K581" i="7"/>
  <c r="J581" i="7"/>
  <c r="L581" i="7"/>
  <c r="K582" i="7"/>
  <c r="J582" i="7"/>
  <c r="L582" i="7"/>
  <c r="K583" i="7"/>
  <c r="J583" i="7"/>
  <c r="L583" i="7"/>
  <c r="K584" i="7"/>
  <c r="J584" i="7"/>
  <c r="L584" i="7"/>
  <c r="K585" i="7"/>
  <c r="J585" i="7"/>
  <c r="L585" i="7"/>
  <c r="K586" i="7"/>
  <c r="J586" i="7"/>
  <c r="L586" i="7"/>
  <c r="K587" i="7"/>
  <c r="J587" i="7"/>
  <c r="L587" i="7"/>
  <c r="K588" i="7"/>
  <c r="J588" i="7"/>
  <c r="L588" i="7"/>
  <c r="K589" i="7"/>
  <c r="J589" i="7"/>
  <c r="L589" i="7"/>
  <c r="K590" i="7"/>
  <c r="J590" i="7"/>
  <c r="L590" i="7"/>
  <c r="K591" i="7"/>
  <c r="J591" i="7"/>
  <c r="L591" i="7"/>
  <c r="K592" i="7"/>
  <c r="J592" i="7"/>
  <c r="L592" i="7"/>
  <c r="K593" i="7"/>
  <c r="J593" i="7"/>
  <c r="L593" i="7"/>
  <c r="K594" i="7"/>
  <c r="J594" i="7"/>
  <c r="L594" i="7"/>
  <c r="K595" i="7"/>
  <c r="J595" i="7"/>
  <c r="L595" i="7"/>
  <c r="K596" i="7"/>
  <c r="J596" i="7"/>
  <c r="L596" i="7"/>
  <c r="K597" i="7"/>
  <c r="J597" i="7"/>
  <c r="L597" i="7"/>
  <c r="K598" i="7"/>
  <c r="J598" i="7"/>
  <c r="L598" i="7"/>
  <c r="K599" i="7"/>
  <c r="J599" i="7"/>
  <c r="L599" i="7"/>
  <c r="K600" i="7"/>
  <c r="J600" i="7"/>
  <c r="L600" i="7"/>
  <c r="K601" i="7"/>
  <c r="J601" i="7"/>
  <c r="L601" i="7"/>
  <c r="K149" i="6"/>
  <c r="K602" i="7"/>
  <c r="J602" i="7"/>
  <c r="L602" i="7"/>
  <c r="K603" i="7"/>
  <c r="J603" i="7"/>
  <c r="L603" i="7"/>
  <c r="K604" i="7"/>
  <c r="J604" i="7"/>
  <c r="L604" i="7"/>
  <c r="K605" i="7"/>
  <c r="J605" i="7"/>
  <c r="L605" i="7"/>
  <c r="K606" i="7"/>
  <c r="J606" i="7"/>
  <c r="L606" i="7"/>
  <c r="K607" i="7"/>
  <c r="J607" i="7"/>
  <c r="L607" i="7"/>
  <c r="K608" i="7"/>
  <c r="J608" i="7"/>
  <c r="L608" i="7"/>
  <c r="K609" i="7"/>
  <c r="J609" i="7"/>
  <c r="L609" i="7"/>
  <c r="K610" i="7"/>
  <c r="J610" i="7"/>
  <c r="L610" i="7"/>
  <c r="K611" i="7"/>
  <c r="J611" i="7"/>
  <c r="L611" i="7"/>
  <c r="K612" i="7"/>
  <c r="J612" i="7"/>
  <c r="L612" i="7"/>
  <c r="K613" i="7"/>
  <c r="J613" i="7"/>
  <c r="L613" i="7"/>
  <c r="K614" i="7"/>
  <c r="J614" i="7"/>
  <c r="L614" i="7"/>
  <c r="K615" i="7"/>
  <c r="J615" i="7"/>
  <c r="L615" i="7"/>
  <c r="K616" i="7"/>
  <c r="J616" i="7"/>
  <c r="L616" i="7"/>
  <c r="K617" i="7"/>
  <c r="J617" i="7"/>
  <c r="L617" i="7"/>
  <c r="K618" i="7"/>
  <c r="J618" i="7"/>
  <c r="L618" i="7"/>
  <c r="K619" i="7"/>
  <c r="J619" i="7"/>
  <c r="L619" i="7"/>
  <c r="K620" i="7"/>
  <c r="J620" i="7"/>
  <c r="L620" i="7"/>
  <c r="K621" i="7"/>
  <c r="J621" i="7"/>
  <c r="L621" i="7"/>
  <c r="K622" i="7"/>
  <c r="J622" i="7"/>
  <c r="L622" i="7"/>
  <c r="K623" i="7"/>
  <c r="J623" i="7"/>
  <c r="L623" i="7"/>
  <c r="K624" i="7"/>
  <c r="J624" i="7"/>
  <c r="L624" i="7"/>
  <c r="K625" i="7"/>
  <c r="J625" i="7"/>
  <c r="L625" i="7"/>
  <c r="K626" i="7"/>
  <c r="J626" i="7"/>
  <c r="L626" i="7"/>
  <c r="K627" i="7"/>
  <c r="J627" i="7"/>
  <c r="L627" i="7"/>
  <c r="K628" i="7"/>
  <c r="J628" i="7"/>
  <c r="L628" i="7"/>
  <c r="K629" i="7"/>
  <c r="J629" i="7"/>
  <c r="L629" i="7"/>
  <c r="K630" i="7"/>
  <c r="J630" i="7"/>
  <c r="L630" i="7"/>
  <c r="K631" i="7"/>
  <c r="J631" i="7"/>
  <c r="L631" i="7"/>
  <c r="K632" i="7"/>
  <c r="J632" i="7"/>
  <c r="L632" i="7"/>
  <c r="K633" i="7"/>
  <c r="J633" i="7"/>
  <c r="L633" i="7"/>
  <c r="K634" i="7"/>
  <c r="J634" i="7"/>
  <c r="L634" i="7"/>
  <c r="K635" i="7"/>
  <c r="J635" i="7"/>
  <c r="L635" i="7"/>
  <c r="K636" i="7"/>
  <c r="J636" i="7"/>
  <c r="L636" i="7"/>
  <c r="K637" i="7"/>
  <c r="J637" i="7"/>
  <c r="L637" i="7"/>
  <c r="K638" i="7"/>
  <c r="J638" i="7"/>
  <c r="L638" i="7"/>
  <c r="K639" i="7"/>
  <c r="J639" i="7"/>
  <c r="L639" i="7"/>
  <c r="K640" i="7"/>
  <c r="J640" i="7"/>
  <c r="L640" i="7"/>
  <c r="K641" i="7"/>
  <c r="J641" i="7"/>
  <c r="L641" i="7"/>
  <c r="K642" i="7"/>
  <c r="J642" i="7"/>
  <c r="L642" i="7"/>
  <c r="K643" i="7"/>
  <c r="J643" i="7"/>
  <c r="L643" i="7"/>
  <c r="K644" i="7"/>
  <c r="J644" i="7"/>
  <c r="L644" i="7"/>
  <c r="K645" i="7"/>
  <c r="J645" i="7"/>
  <c r="L645" i="7"/>
  <c r="K646" i="7"/>
  <c r="J646" i="7"/>
  <c r="L646" i="7"/>
  <c r="K647" i="7"/>
  <c r="J647" i="7"/>
  <c r="L647" i="7"/>
  <c r="K648" i="7"/>
  <c r="J648" i="7"/>
  <c r="L648" i="7"/>
  <c r="K649" i="7"/>
  <c r="J649" i="7"/>
  <c r="L649" i="7"/>
  <c r="K650" i="7"/>
  <c r="J650" i="7"/>
  <c r="L650" i="7"/>
  <c r="K651" i="7"/>
  <c r="J651" i="7"/>
  <c r="L651" i="7"/>
  <c r="K652" i="7"/>
  <c r="J652" i="7"/>
  <c r="L652" i="7"/>
  <c r="K653" i="7"/>
  <c r="J653" i="7"/>
  <c r="L653" i="7"/>
  <c r="K654" i="7"/>
  <c r="J654" i="7"/>
  <c r="L654" i="7"/>
  <c r="K655" i="7"/>
  <c r="J655" i="7"/>
  <c r="L655" i="7"/>
  <c r="K656" i="7"/>
  <c r="J656" i="7"/>
  <c r="L656" i="7"/>
  <c r="K657" i="7"/>
  <c r="J657" i="7"/>
  <c r="L657" i="7"/>
  <c r="K658" i="7"/>
  <c r="J658" i="7"/>
  <c r="L658" i="7"/>
  <c r="K659" i="7"/>
  <c r="J659" i="7"/>
  <c r="L659" i="7"/>
  <c r="K660" i="7"/>
  <c r="J660" i="7"/>
  <c r="L660" i="7"/>
  <c r="K661" i="7"/>
  <c r="J661" i="7"/>
  <c r="L661" i="7"/>
  <c r="K662" i="7"/>
  <c r="J662" i="7"/>
  <c r="L662" i="7"/>
  <c r="K663" i="7"/>
  <c r="J663" i="7"/>
  <c r="L663" i="7"/>
  <c r="K664" i="7"/>
  <c r="J664" i="7"/>
  <c r="L664" i="7"/>
  <c r="K665" i="7"/>
  <c r="J665" i="7"/>
  <c r="L665" i="7"/>
  <c r="K666" i="7"/>
  <c r="J666" i="7"/>
  <c r="L666" i="7"/>
  <c r="K667" i="7"/>
  <c r="J667" i="7"/>
  <c r="L667" i="7"/>
  <c r="K668" i="7"/>
  <c r="J668" i="7"/>
  <c r="L668" i="7"/>
  <c r="K669" i="7"/>
  <c r="J669" i="7"/>
  <c r="L669" i="7"/>
  <c r="K670" i="7"/>
  <c r="J670" i="7"/>
  <c r="L670" i="7"/>
  <c r="K671" i="7"/>
  <c r="J671" i="7"/>
  <c r="L671" i="7"/>
  <c r="K672" i="7"/>
  <c r="J672" i="7"/>
  <c r="L672" i="7"/>
  <c r="K673" i="7"/>
  <c r="J673" i="7"/>
  <c r="L673" i="7"/>
  <c r="K674" i="7"/>
  <c r="J674" i="7"/>
  <c r="L674" i="7"/>
  <c r="K675" i="7"/>
  <c r="J675" i="7"/>
  <c r="L675" i="7"/>
  <c r="K676" i="7"/>
  <c r="J676" i="7"/>
  <c r="L676" i="7"/>
  <c r="K677" i="7"/>
  <c r="J677" i="7"/>
  <c r="L677" i="7"/>
  <c r="K678" i="7"/>
  <c r="J678" i="7"/>
  <c r="L678" i="7"/>
  <c r="K679" i="7"/>
  <c r="J679" i="7"/>
  <c r="L679" i="7"/>
  <c r="K680" i="7"/>
  <c r="J680" i="7"/>
  <c r="L680" i="7"/>
  <c r="K681" i="7"/>
  <c r="J681" i="7"/>
  <c r="L681" i="7"/>
  <c r="K682" i="7"/>
  <c r="J682" i="7"/>
  <c r="L682" i="7"/>
  <c r="K683" i="7"/>
  <c r="J683" i="7"/>
  <c r="L683" i="7"/>
  <c r="K11" i="6"/>
  <c r="K684" i="7"/>
  <c r="J684" i="7"/>
  <c r="L684" i="7"/>
  <c r="K685" i="7"/>
  <c r="J685" i="7"/>
  <c r="L685" i="7"/>
  <c r="K686" i="7"/>
  <c r="J686" i="7"/>
  <c r="L686" i="7"/>
  <c r="K687" i="7"/>
  <c r="J687" i="7"/>
  <c r="L687" i="7"/>
  <c r="K688" i="7"/>
  <c r="J688" i="7"/>
  <c r="L688" i="7"/>
  <c r="K689" i="7"/>
  <c r="J689" i="7"/>
  <c r="L689" i="7"/>
  <c r="K690" i="7"/>
  <c r="J690" i="7"/>
  <c r="L690" i="7"/>
  <c r="K691" i="7"/>
  <c r="J691" i="7"/>
  <c r="L691" i="7"/>
  <c r="K692" i="7"/>
  <c r="J692" i="7"/>
  <c r="L692" i="7"/>
  <c r="K693" i="7"/>
  <c r="J693" i="7"/>
  <c r="L693" i="7"/>
  <c r="K694" i="7"/>
  <c r="J694" i="7"/>
  <c r="L694" i="7"/>
  <c r="K695" i="7"/>
  <c r="J695" i="7"/>
  <c r="L695" i="7"/>
  <c r="K696" i="7"/>
  <c r="J696" i="7"/>
  <c r="L696" i="7"/>
  <c r="K697" i="7"/>
  <c r="J697" i="7"/>
  <c r="L697" i="7"/>
  <c r="K698" i="7"/>
  <c r="J698" i="7"/>
  <c r="L698" i="7"/>
  <c r="K699" i="7"/>
  <c r="J699" i="7"/>
  <c r="L699" i="7"/>
  <c r="K700" i="7"/>
  <c r="J700" i="7"/>
  <c r="L700" i="7"/>
  <c r="K701" i="7"/>
  <c r="J701" i="7"/>
  <c r="L701" i="7"/>
  <c r="K702" i="7"/>
  <c r="J702" i="7"/>
  <c r="L702" i="7"/>
  <c r="K703" i="7"/>
  <c r="J703" i="7"/>
  <c r="L703" i="7"/>
  <c r="K704" i="7"/>
  <c r="J704" i="7"/>
  <c r="L704" i="7"/>
  <c r="K705" i="7"/>
  <c r="J705" i="7"/>
  <c r="L705" i="7"/>
  <c r="K706" i="7"/>
  <c r="J706" i="7"/>
  <c r="L706" i="7"/>
  <c r="K707" i="7"/>
  <c r="J707" i="7"/>
  <c r="L707" i="7"/>
  <c r="K708" i="7"/>
  <c r="J708" i="7"/>
  <c r="L708" i="7"/>
  <c r="K709" i="7"/>
  <c r="J709" i="7"/>
  <c r="L709" i="7"/>
  <c r="K710" i="7"/>
  <c r="J710" i="7"/>
  <c r="L710" i="7"/>
  <c r="K711" i="7"/>
  <c r="J711" i="7"/>
  <c r="L711" i="7"/>
  <c r="K712" i="7"/>
  <c r="J712" i="7"/>
  <c r="L712" i="7"/>
  <c r="K713" i="7"/>
  <c r="J713" i="7"/>
  <c r="L713" i="7"/>
  <c r="K714" i="7"/>
  <c r="J714" i="7"/>
  <c r="L714" i="7"/>
  <c r="K715" i="7"/>
  <c r="J715" i="7"/>
  <c r="L715" i="7"/>
  <c r="K716" i="7"/>
  <c r="J716" i="7"/>
  <c r="L716" i="7"/>
  <c r="K717" i="7"/>
  <c r="J717" i="7"/>
  <c r="L717" i="7"/>
  <c r="K718" i="7"/>
  <c r="J718" i="7"/>
  <c r="L718" i="7"/>
  <c r="K719" i="7"/>
  <c r="J719" i="7"/>
  <c r="L719" i="7"/>
  <c r="K720" i="7"/>
  <c r="J720" i="7"/>
  <c r="L720" i="7"/>
  <c r="K721" i="7"/>
  <c r="J721" i="7"/>
  <c r="L721" i="7"/>
  <c r="K722" i="7"/>
  <c r="J722" i="7"/>
  <c r="L722" i="7"/>
  <c r="K723" i="7"/>
  <c r="J723" i="7"/>
  <c r="L723" i="7"/>
  <c r="K724" i="7"/>
  <c r="J724" i="7"/>
  <c r="L724" i="7"/>
  <c r="K725" i="7"/>
  <c r="J725" i="7"/>
  <c r="L725" i="7"/>
  <c r="K726" i="7"/>
  <c r="J726" i="7"/>
  <c r="L726" i="7"/>
  <c r="K727" i="7"/>
  <c r="J727" i="7"/>
  <c r="L727" i="7"/>
  <c r="K728" i="7"/>
  <c r="J728" i="7"/>
  <c r="L728" i="7"/>
  <c r="K729" i="7"/>
  <c r="J729" i="7"/>
  <c r="L729" i="7"/>
  <c r="K730" i="7"/>
  <c r="J730" i="7"/>
  <c r="L730" i="7"/>
  <c r="K731" i="7"/>
  <c r="J731" i="7"/>
  <c r="L731" i="7"/>
  <c r="K732" i="7"/>
  <c r="J732" i="7"/>
  <c r="L732" i="7"/>
  <c r="K733" i="7"/>
  <c r="J733" i="7"/>
  <c r="L733" i="7"/>
  <c r="K734" i="7"/>
  <c r="J734" i="7"/>
  <c r="L734" i="7"/>
  <c r="K735" i="7"/>
  <c r="J735" i="7"/>
  <c r="L735" i="7"/>
  <c r="K736" i="7"/>
  <c r="J736" i="7"/>
  <c r="L736" i="7"/>
  <c r="K737" i="7"/>
  <c r="J737" i="7"/>
  <c r="L737" i="7"/>
  <c r="K738" i="7"/>
  <c r="J738" i="7"/>
  <c r="L738" i="7"/>
  <c r="K739" i="7"/>
  <c r="J739" i="7"/>
  <c r="L739" i="7"/>
  <c r="K743" i="7"/>
  <c r="J743" i="7"/>
  <c r="L743" i="7"/>
  <c r="K744" i="7"/>
  <c r="J744" i="7"/>
  <c r="L744" i="7"/>
  <c r="K745" i="7"/>
  <c r="J745" i="7"/>
  <c r="L745" i="7"/>
  <c r="K746" i="7"/>
  <c r="J746" i="7"/>
  <c r="L746" i="7"/>
  <c r="K747" i="7"/>
  <c r="J747" i="7"/>
  <c r="L747" i="7"/>
  <c r="K748" i="7"/>
  <c r="J748" i="7"/>
  <c r="L748" i="7"/>
  <c r="K749" i="7"/>
  <c r="J749" i="7"/>
  <c r="L749" i="7"/>
  <c r="K750" i="7"/>
  <c r="J750" i="7"/>
  <c r="L750" i="7"/>
  <c r="K751" i="7"/>
  <c r="J751" i="7"/>
  <c r="L751" i="7"/>
  <c r="K752" i="7"/>
  <c r="J752" i="7"/>
  <c r="L752" i="7"/>
  <c r="K753" i="7"/>
  <c r="J753" i="7"/>
  <c r="L753" i="7"/>
  <c r="K754" i="7"/>
  <c r="J754" i="7"/>
  <c r="L754" i="7"/>
  <c r="K755" i="7"/>
  <c r="J755" i="7"/>
  <c r="L755" i="7"/>
  <c r="L62" i="6"/>
  <c r="L65" i="6"/>
  <c r="L71" i="6"/>
  <c r="L760" i="7"/>
  <c r="L15" i="6"/>
  <c r="L761" i="7"/>
  <c r="L80" i="6"/>
  <c r="L82" i="6"/>
  <c r="L762" i="7"/>
  <c r="L92" i="6"/>
  <c r="L102" i="6"/>
  <c r="L109" i="6"/>
  <c r="L121" i="6"/>
  <c r="L763" i="7"/>
  <c r="L55" i="6"/>
  <c r="L764" i="7"/>
  <c r="J159" i="6"/>
  <c r="K159" i="6"/>
  <c r="D159" i="6"/>
  <c r="L159" i="6"/>
  <c r="L765" i="7"/>
  <c r="L107" i="6"/>
  <c r="L766" i="7"/>
  <c r="K134" i="6"/>
  <c r="L134" i="6"/>
  <c r="L767" i="7"/>
  <c r="L124" i="6"/>
  <c r="L128" i="6"/>
  <c r="L768" i="7"/>
  <c r="L58" i="6"/>
  <c r="L769" i="7"/>
  <c r="L27" i="6"/>
  <c r="L770" i="7"/>
  <c r="L84" i="6"/>
  <c r="L771" i="7"/>
  <c r="L69" i="6"/>
  <c r="L74" i="6"/>
  <c r="L772" i="7"/>
  <c r="L137" i="6"/>
  <c r="L138" i="6"/>
  <c r="L773" i="7"/>
  <c r="L67" i="6"/>
  <c r="L72" i="6"/>
  <c r="L73" i="6"/>
  <c r="L774" i="7"/>
  <c r="L38" i="6"/>
  <c r="L775" i="7"/>
  <c r="L46" i="6"/>
  <c r="L776" i="7"/>
  <c r="L151" i="6"/>
  <c r="L777" i="7"/>
  <c r="L145" i="6"/>
  <c r="L778" i="7"/>
  <c r="L53" i="6"/>
  <c r="L54" i="6"/>
  <c r="L56" i="6"/>
  <c r="K57" i="6"/>
  <c r="L57" i="6"/>
  <c r="L3" i="6"/>
  <c r="L4" i="6"/>
  <c r="L5" i="6"/>
  <c r="L6" i="6"/>
  <c r="L7" i="6"/>
  <c r="L8" i="6"/>
  <c r="L9" i="6"/>
  <c r="L10" i="6"/>
  <c r="L11" i="6"/>
  <c r="L12" i="6"/>
  <c r="L13" i="6"/>
  <c r="L14" i="6"/>
  <c r="L16" i="6"/>
  <c r="L17" i="6"/>
  <c r="L18" i="6"/>
  <c r="L19" i="6"/>
  <c r="L20" i="6"/>
  <c r="L21" i="6"/>
  <c r="L22" i="6"/>
  <c r="L23" i="6"/>
  <c r="L24" i="6"/>
  <c r="L25" i="6"/>
  <c r="L26" i="6"/>
  <c r="L28" i="6"/>
  <c r="L29" i="6"/>
  <c r="L30" i="6"/>
  <c r="L31" i="6"/>
  <c r="L32" i="6"/>
  <c r="L33" i="6"/>
  <c r="L34" i="6"/>
  <c r="L35" i="6"/>
  <c r="L36" i="6"/>
  <c r="L37" i="6"/>
  <c r="L39" i="6"/>
  <c r="L40" i="6"/>
  <c r="L41" i="6"/>
  <c r="L42" i="6"/>
  <c r="L43" i="6"/>
  <c r="L44" i="6"/>
  <c r="L45" i="6"/>
  <c r="L47" i="6"/>
  <c r="L48" i="6"/>
  <c r="L49" i="6"/>
  <c r="L50" i="6"/>
  <c r="L51" i="6"/>
  <c r="L52" i="6"/>
  <c r="L59" i="6"/>
  <c r="L60" i="6"/>
  <c r="L61" i="6"/>
  <c r="L63" i="6"/>
  <c r="L64" i="6"/>
  <c r="L66" i="6"/>
  <c r="L68" i="6"/>
  <c r="L70" i="6"/>
  <c r="L75" i="6"/>
  <c r="L76" i="6"/>
  <c r="L77" i="6"/>
  <c r="L78" i="6"/>
  <c r="L79" i="6"/>
  <c r="L81" i="6"/>
  <c r="L83" i="6"/>
  <c r="L85" i="6"/>
  <c r="L86" i="6"/>
  <c r="L87" i="6"/>
  <c r="L88" i="6"/>
  <c r="L89" i="6"/>
  <c r="L90" i="6"/>
  <c r="K91" i="6"/>
  <c r="L91" i="6"/>
  <c r="L93" i="6"/>
  <c r="L94" i="6"/>
  <c r="L95" i="6"/>
  <c r="L96" i="6"/>
  <c r="L97" i="6"/>
  <c r="L98" i="6"/>
  <c r="L99" i="6"/>
  <c r="L100" i="6"/>
  <c r="L101" i="6"/>
  <c r="L103" i="6"/>
  <c r="L104" i="6"/>
  <c r="L105" i="6"/>
  <c r="L106" i="6"/>
  <c r="L108" i="6"/>
  <c r="L110" i="6"/>
  <c r="L111" i="6"/>
  <c r="L112" i="6"/>
  <c r="L113" i="6"/>
  <c r="L114" i="6"/>
  <c r="L115" i="6"/>
  <c r="L116" i="6"/>
  <c r="L117" i="6"/>
  <c r="L118" i="6"/>
  <c r="L119" i="6"/>
  <c r="L120" i="6"/>
  <c r="L122" i="6"/>
  <c r="L123" i="6"/>
  <c r="L125" i="6"/>
  <c r="L126" i="6"/>
  <c r="L127" i="6"/>
  <c r="L129" i="6"/>
  <c r="L130" i="6"/>
  <c r="L131" i="6"/>
  <c r="L132" i="6"/>
  <c r="L133" i="6"/>
  <c r="L135" i="6"/>
  <c r="L136" i="6"/>
  <c r="L139" i="6"/>
  <c r="L140" i="6"/>
  <c r="L141" i="6"/>
  <c r="L142" i="6"/>
  <c r="L143" i="6"/>
  <c r="L144" i="6"/>
  <c r="L146" i="6"/>
  <c r="L147" i="6"/>
  <c r="L148" i="6"/>
  <c r="L149" i="6"/>
  <c r="L150" i="6"/>
  <c r="L152" i="6"/>
  <c r="L153" i="6"/>
  <c r="L154" i="6"/>
  <c r="L783" i="7"/>
  <c r="L784" i="7"/>
  <c r="L785" i="7"/>
  <c r="L786" i="7"/>
  <c r="L787" i="7"/>
  <c r="L788" i="7"/>
  <c r="L789" i="7"/>
  <c r="L790" i="7"/>
  <c r="L791" i="7"/>
  <c r="L792" i="7"/>
  <c r="L793" i="7"/>
  <c r="F47" i="8"/>
  <c r="G47" i="8"/>
  <c r="J47" i="8"/>
  <c r="F32" i="8"/>
  <c r="G32" i="8"/>
  <c r="J32" i="8"/>
  <c r="F22" i="8"/>
  <c r="G22" i="8"/>
  <c r="J22" i="8"/>
  <c r="F154" i="8"/>
  <c r="G154" i="8"/>
  <c r="J154" i="8"/>
  <c r="F167" i="8"/>
  <c r="G167" i="8"/>
  <c r="J167" i="8"/>
  <c r="F51" i="8"/>
  <c r="G51" i="8"/>
  <c r="J51" i="8"/>
  <c r="F166" i="8"/>
  <c r="G166" i="8"/>
  <c r="J166" i="8"/>
  <c r="F142" i="8"/>
  <c r="G142" i="8"/>
  <c r="J142" i="8"/>
  <c r="F52" i="8"/>
  <c r="G52" i="8"/>
  <c r="J52" i="8"/>
  <c r="F109" i="8"/>
  <c r="G109" i="8"/>
  <c r="J109" i="8"/>
  <c r="F39" i="8"/>
  <c r="G39" i="8"/>
  <c r="J39" i="8"/>
  <c r="F26" i="8"/>
  <c r="G26" i="8"/>
  <c r="J26" i="8"/>
  <c r="F162" i="8"/>
  <c r="G162" i="8"/>
  <c r="J162" i="8"/>
  <c r="F191" i="8"/>
  <c r="G191" i="8"/>
  <c r="J191" i="8"/>
  <c r="F215" i="8"/>
  <c r="G215" i="8"/>
  <c r="J215" i="8"/>
  <c r="F126" i="8"/>
  <c r="G126" i="8"/>
  <c r="J126" i="8"/>
  <c r="F209" i="8"/>
  <c r="G209" i="8"/>
  <c r="J209" i="8"/>
  <c r="F230" i="8"/>
  <c r="G230" i="8"/>
  <c r="J230" i="8"/>
  <c r="F7" i="8"/>
  <c r="G7" i="8"/>
  <c r="J7" i="8"/>
  <c r="F207" i="8"/>
  <c r="G207" i="8"/>
  <c r="J207" i="8"/>
  <c r="F213" i="8"/>
  <c r="G213" i="8"/>
  <c r="J213" i="8"/>
  <c r="F80" i="8"/>
  <c r="G80" i="8"/>
  <c r="J80" i="8"/>
  <c r="F192" i="8"/>
  <c r="G192" i="8"/>
  <c r="J192" i="8"/>
  <c r="F84" i="8"/>
  <c r="G84" i="8"/>
  <c r="J84" i="8"/>
  <c r="F63" i="8"/>
  <c r="G63" i="8"/>
  <c r="J63" i="8"/>
  <c r="F145" i="8"/>
  <c r="G145" i="8"/>
  <c r="J145" i="8"/>
  <c r="F232" i="8"/>
  <c r="G232" i="8"/>
  <c r="J232" i="8"/>
  <c r="F160" i="8"/>
  <c r="G160" i="8"/>
  <c r="J160" i="8"/>
  <c r="F173" i="8"/>
  <c r="G173" i="8"/>
  <c r="J173" i="8"/>
  <c r="F129" i="8"/>
  <c r="G129" i="8"/>
  <c r="J129" i="8"/>
  <c r="F202" i="8"/>
  <c r="G202" i="8"/>
  <c r="J202" i="8"/>
  <c r="F54" i="8"/>
  <c r="G54" i="8"/>
  <c r="J54" i="8"/>
  <c r="F93" i="8"/>
  <c r="G93" i="8"/>
  <c r="J93" i="8"/>
  <c r="F48" i="8"/>
  <c r="G48" i="8"/>
  <c r="J48" i="8"/>
  <c r="F40" i="8"/>
  <c r="G40" i="8"/>
  <c r="J40" i="8"/>
  <c r="F76" i="8"/>
  <c r="G76" i="8"/>
  <c r="J76" i="8"/>
  <c r="F83" i="8"/>
  <c r="G83" i="8"/>
  <c r="J83" i="8"/>
  <c r="F212" i="8"/>
  <c r="G212" i="8"/>
  <c r="J212" i="8"/>
  <c r="F225" i="8"/>
  <c r="G225" i="8"/>
  <c r="J225" i="8"/>
  <c r="F112" i="8"/>
  <c r="G112" i="8"/>
  <c r="J112" i="8"/>
  <c r="F106" i="8"/>
  <c r="G106" i="8"/>
  <c r="J106" i="8"/>
  <c r="F152" i="8"/>
  <c r="G152" i="8"/>
  <c r="J152" i="8"/>
  <c r="F210" i="8"/>
  <c r="G210" i="8"/>
  <c r="J210" i="8"/>
  <c r="F189" i="8"/>
  <c r="G189" i="8"/>
  <c r="J189" i="8"/>
  <c r="F119" i="8"/>
  <c r="G119" i="8"/>
  <c r="J119" i="8"/>
  <c r="F17" i="8"/>
  <c r="G17" i="8"/>
  <c r="J17" i="8"/>
  <c r="F43" i="8"/>
  <c r="G43" i="8"/>
  <c r="J43" i="8"/>
  <c r="F227" i="8"/>
  <c r="G227" i="8"/>
  <c r="J227" i="8"/>
  <c r="F27" i="8"/>
  <c r="G27" i="8"/>
  <c r="J27" i="8"/>
  <c r="F182" i="8"/>
  <c r="G182" i="8"/>
  <c r="J182" i="8"/>
  <c r="F82" i="8"/>
  <c r="G82" i="8"/>
  <c r="J82" i="8"/>
  <c r="F169" i="8"/>
  <c r="G169" i="8"/>
  <c r="J169" i="8"/>
  <c r="F214" i="8"/>
  <c r="G214" i="8"/>
  <c r="J214" i="8"/>
  <c r="F184" i="8"/>
  <c r="G184" i="8"/>
  <c r="J184" i="8"/>
  <c r="F203" i="8"/>
  <c r="G203" i="8"/>
  <c r="J203" i="8"/>
  <c r="F168" i="8"/>
  <c r="G168" i="8"/>
  <c r="J168" i="8"/>
  <c r="F42" i="8"/>
  <c r="G42" i="8"/>
  <c r="J42" i="8"/>
  <c r="F135" i="8"/>
  <c r="G135" i="8"/>
  <c r="J135" i="8"/>
  <c r="F95" i="8"/>
  <c r="G95" i="8"/>
  <c r="J95" i="8"/>
  <c r="F150" i="8"/>
  <c r="G150" i="8"/>
  <c r="J150" i="8"/>
  <c r="F118" i="8"/>
  <c r="G118" i="8"/>
  <c r="J118" i="8"/>
  <c r="F104" i="8"/>
  <c r="G104" i="8"/>
  <c r="J104" i="8"/>
  <c r="F216" i="8"/>
  <c r="G216" i="8"/>
  <c r="J216" i="8"/>
  <c r="F72" i="8"/>
  <c r="G72" i="8"/>
  <c r="J72" i="8"/>
  <c r="F105" i="8"/>
  <c r="G105" i="8"/>
  <c r="J105" i="8"/>
  <c r="F172" i="8"/>
  <c r="G172" i="8"/>
  <c r="J172" i="8"/>
  <c r="F31" i="8"/>
  <c r="G31" i="8"/>
  <c r="J31" i="8"/>
  <c r="F134" i="8"/>
  <c r="G134" i="8"/>
  <c r="J134" i="8"/>
  <c r="F37" i="8"/>
  <c r="G37" i="8"/>
  <c r="J37" i="8"/>
  <c r="F188" i="8"/>
  <c r="G188" i="8"/>
  <c r="J188" i="8"/>
  <c r="F130" i="8"/>
  <c r="G130" i="8"/>
  <c r="J130" i="8"/>
  <c r="F132" i="8"/>
  <c r="G132" i="8"/>
  <c r="J132" i="8"/>
  <c r="F177" i="8"/>
  <c r="G177" i="8"/>
  <c r="J177" i="8"/>
  <c r="F164" i="8"/>
  <c r="G164" i="8"/>
  <c r="J164" i="8"/>
  <c r="F226" i="8"/>
  <c r="G226" i="8"/>
  <c r="J226" i="8"/>
  <c r="F61" i="8"/>
  <c r="G61" i="8"/>
  <c r="J61" i="8"/>
  <c r="F60" i="8"/>
  <c r="G60" i="8"/>
  <c r="J60" i="8"/>
  <c r="F219" i="8"/>
  <c r="G219" i="8"/>
  <c r="J219" i="8"/>
  <c r="F113" i="8"/>
  <c r="G113" i="8"/>
  <c r="J113" i="8"/>
  <c r="F85" i="8"/>
  <c r="G85" i="8"/>
  <c r="J85" i="8"/>
  <c r="F14" i="8"/>
  <c r="G14" i="8"/>
  <c r="J14" i="8"/>
  <c r="F175" i="8"/>
  <c r="G175" i="8"/>
  <c r="J175" i="8"/>
  <c r="F211" i="8"/>
  <c r="G211" i="8"/>
  <c r="J211" i="8"/>
  <c r="F57" i="8"/>
  <c r="G57" i="8"/>
  <c r="J57" i="8"/>
  <c r="F136" i="8"/>
  <c r="G136" i="8"/>
  <c r="J136" i="8"/>
  <c r="F148" i="8"/>
  <c r="G148" i="8"/>
  <c r="J148" i="8"/>
  <c r="F121" i="8"/>
  <c r="G121" i="8"/>
  <c r="J121" i="8"/>
  <c r="F21" i="8"/>
  <c r="G21" i="8"/>
  <c r="J21" i="8"/>
  <c r="F49" i="8"/>
  <c r="G49" i="8"/>
  <c r="J49" i="8"/>
  <c r="F28" i="8"/>
  <c r="G28" i="8"/>
  <c r="J28" i="8"/>
  <c r="F180" i="8"/>
  <c r="G180" i="8"/>
  <c r="J180" i="8"/>
  <c r="F74" i="8"/>
  <c r="G74" i="8"/>
  <c r="J74" i="8"/>
  <c r="F122" i="8"/>
  <c r="G122" i="8"/>
  <c r="J122" i="8"/>
  <c r="F174" i="8"/>
  <c r="G174" i="8"/>
  <c r="J174" i="8"/>
  <c r="F23" i="8"/>
  <c r="G23" i="8"/>
  <c r="J23" i="8"/>
  <c r="F128" i="8"/>
  <c r="G128" i="8"/>
  <c r="J128" i="8"/>
  <c r="F78" i="8"/>
  <c r="G78" i="8"/>
  <c r="J78" i="8"/>
  <c r="F205" i="8"/>
  <c r="G205" i="8"/>
  <c r="J205" i="8"/>
  <c r="F38" i="8"/>
  <c r="G38" i="8"/>
  <c r="J38" i="8"/>
  <c r="F120" i="8"/>
  <c r="G120" i="8"/>
  <c r="J120" i="8"/>
  <c r="F108" i="8"/>
  <c r="G108" i="8"/>
  <c r="J108" i="8"/>
  <c r="F98" i="8"/>
  <c r="G98" i="8"/>
  <c r="J98" i="8"/>
  <c r="F103" i="8"/>
  <c r="G103" i="8"/>
  <c r="J103" i="8"/>
  <c r="F165" i="8"/>
  <c r="G165" i="8"/>
  <c r="J165" i="8"/>
  <c r="F111" i="8"/>
  <c r="G111" i="8"/>
  <c r="J111" i="8"/>
  <c r="F13" i="8"/>
  <c r="G13" i="8"/>
  <c r="J13" i="8"/>
  <c r="F137" i="8"/>
  <c r="G137" i="8"/>
  <c r="J137" i="8"/>
  <c r="F11" i="8"/>
  <c r="G11" i="8"/>
  <c r="J11" i="8"/>
  <c r="F97" i="8"/>
  <c r="G97" i="8"/>
  <c r="J97" i="8"/>
  <c r="F170" i="8"/>
  <c r="G170" i="8"/>
  <c r="J170" i="8"/>
  <c r="F163" i="8"/>
  <c r="G163" i="8"/>
  <c r="J163" i="8"/>
  <c r="F114" i="8"/>
  <c r="G114" i="8"/>
  <c r="J114" i="8"/>
  <c r="F117" i="8"/>
  <c r="G117" i="8"/>
  <c r="J117" i="8"/>
  <c r="F25" i="8"/>
  <c r="G25" i="8"/>
  <c r="J25" i="8"/>
  <c r="F81" i="8"/>
  <c r="G81" i="8"/>
  <c r="J81" i="8"/>
  <c r="F196" i="8"/>
  <c r="G196" i="8"/>
  <c r="J196" i="8"/>
  <c r="F151" i="8"/>
  <c r="G151" i="8"/>
  <c r="J151" i="8"/>
  <c r="F193" i="8"/>
  <c r="G193" i="8"/>
  <c r="J193" i="8"/>
  <c r="F66" i="8"/>
  <c r="G66" i="8"/>
  <c r="J66" i="8"/>
  <c r="F153" i="8"/>
  <c r="G153" i="8"/>
  <c r="J153" i="8"/>
  <c r="F115" i="8"/>
  <c r="G115" i="8"/>
  <c r="J115" i="8"/>
  <c r="F71" i="8"/>
  <c r="G71" i="8"/>
  <c r="J71" i="8"/>
  <c r="F124" i="8"/>
  <c r="G124" i="8"/>
  <c r="J124" i="8"/>
  <c r="F58" i="8"/>
  <c r="G58" i="8"/>
  <c r="J58" i="8"/>
  <c r="F176" i="8"/>
  <c r="G176" i="8"/>
  <c r="J176" i="8"/>
  <c r="F146" i="8"/>
  <c r="G146" i="8"/>
  <c r="J146" i="8"/>
  <c r="F59" i="8"/>
  <c r="G59" i="8"/>
  <c r="J59" i="8"/>
  <c r="F87" i="8"/>
  <c r="G87" i="8"/>
  <c r="J87" i="8"/>
  <c r="F36" i="8"/>
  <c r="G36" i="8"/>
  <c r="J36" i="8"/>
  <c r="F69" i="8"/>
  <c r="G69" i="8"/>
  <c r="J69" i="8"/>
  <c r="F123" i="8"/>
  <c r="G123" i="8"/>
  <c r="J123" i="8"/>
  <c r="F91" i="8"/>
  <c r="G91" i="8"/>
  <c r="J91" i="8"/>
  <c r="F204" i="8"/>
  <c r="G204" i="8"/>
  <c r="J204" i="8"/>
  <c r="F70" i="8"/>
  <c r="G70" i="8"/>
  <c r="J70" i="8"/>
  <c r="F101" i="8"/>
  <c r="G101" i="8"/>
  <c r="J101" i="8"/>
  <c r="F17" i="12"/>
  <c r="F15" i="12"/>
  <c r="I15" i="12"/>
  <c r="J15" i="12"/>
  <c r="F16" i="12"/>
  <c r="I16" i="12"/>
  <c r="J16" i="12"/>
  <c r="K15" i="12"/>
  <c r="J147" i="8"/>
  <c r="F46" i="8"/>
  <c r="G46" i="8"/>
  <c r="J46" i="8"/>
  <c r="F65" i="8"/>
  <c r="G65" i="8"/>
  <c r="J65" i="8"/>
  <c r="F9" i="8"/>
  <c r="G9" i="8"/>
  <c r="J9" i="8"/>
  <c r="F127" i="8"/>
  <c r="G127" i="8"/>
  <c r="J127" i="8"/>
  <c r="F16" i="8"/>
  <c r="G16" i="8"/>
  <c r="J16" i="8"/>
  <c r="F10" i="8"/>
  <c r="G10" i="8"/>
  <c r="J10" i="8"/>
  <c r="F2" i="8"/>
  <c r="G2" i="8"/>
  <c r="J2" i="8"/>
  <c r="F35" i="8"/>
  <c r="G35" i="8"/>
  <c r="J35" i="8"/>
  <c r="F100" i="8"/>
  <c r="G100" i="8"/>
  <c r="J100" i="8"/>
  <c r="F116" i="8"/>
  <c r="G116" i="8"/>
  <c r="J116" i="8"/>
  <c r="F208" i="8"/>
  <c r="G208" i="8"/>
  <c r="J208" i="8"/>
  <c r="F234" i="8"/>
  <c r="G234" i="8"/>
  <c r="J234" i="8"/>
  <c r="F30" i="8"/>
  <c r="G30" i="8"/>
  <c r="J30" i="8"/>
  <c r="F233" i="8"/>
  <c r="G233" i="8"/>
  <c r="J233" i="8"/>
  <c r="F33" i="8"/>
  <c r="G33" i="8"/>
  <c r="J33" i="8"/>
  <c r="F68" i="8"/>
  <c r="G68" i="8"/>
  <c r="J68" i="8"/>
  <c r="F86" i="8"/>
  <c r="G86" i="8"/>
  <c r="J86" i="8"/>
  <c r="F217" i="8"/>
  <c r="G217" i="8"/>
  <c r="J217" i="8"/>
  <c r="F64" i="8"/>
  <c r="G64" i="8"/>
  <c r="J64" i="8"/>
  <c r="F6" i="8"/>
  <c r="G6" i="8"/>
  <c r="J6" i="8"/>
  <c r="F41" i="8"/>
  <c r="G41" i="8"/>
  <c r="J41" i="8"/>
  <c r="F185" i="8"/>
  <c r="G185" i="8"/>
  <c r="J185" i="8"/>
  <c r="F161" i="8"/>
  <c r="G161" i="8"/>
  <c r="J161" i="8"/>
  <c r="F228" i="8"/>
  <c r="G228" i="8"/>
  <c r="J228" i="8"/>
  <c r="F138" i="8"/>
  <c r="G138" i="8"/>
  <c r="J138" i="8"/>
  <c r="F157" i="8"/>
  <c r="G157" i="8"/>
  <c r="J157" i="8"/>
  <c r="F45" i="8"/>
  <c r="G45" i="8"/>
  <c r="J45" i="8"/>
  <c r="F77" i="8"/>
  <c r="G77" i="8"/>
  <c r="J77" i="8"/>
  <c r="F133" i="8"/>
  <c r="G133" i="8"/>
  <c r="J133" i="8"/>
  <c r="F206" i="8"/>
  <c r="G206" i="8"/>
  <c r="J206" i="8"/>
  <c r="F67" i="8"/>
  <c r="G67" i="8"/>
  <c r="J67" i="8"/>
  <c r="F8" i="8"/>
  <c r="G8" i="8"/>
  <c r="J8" i="8"/>
  <c r="F171" i="8"/>
  <c r="G171" i="8"/>
  <c r="J171" i="8"/>
  <c r="F75" i="8"/>
  <c r="G75" i="8"/>
  <c r="J75" i="8"/>
  <c r="F20" i="8"/>
  <c r="G20" i="8"/>
  <c r="J20" i="8"/>
  <c r="F183" i="8"/>
  <c r="G183" i="8"/>
  <c r="J183" i="8"/>
  <c r="F218" i="8"/>
  <c r="G218" i="8"/>
  <c r="J218" i="8"/>
  <c r="F155" i="8"/>
  <c r="G155" i="8"/>
  <c r="J155" i="8"/>
  <c r="F194" i="8"/>
  <c r="G194" i="8"/>
  <c r="J194" i="8"/>
  <c r="F102" i="8"/>
  <c r="G102" i="8"/>
  <c r="J102" i="8"/>
  <c r="F15" i="8"/>
  <c r="G15" i="8"/>
  <c r="J15" i="8"/>
  <c r="H156" i="6"/>
  <c r="H96" i="6"/>
  <c r="F110" i="8"/>
  <c r="G110" i="8"/>
  <c r="J110" i="8"/>
  <c r="F195" i="8"/>
  <c r="G195" i="8"/>
  <c r="J195" i="8"/>
  <c r="F24" i="8"/>
  <c r="G24" i="8"/>
  <c r="J24" i="8"/>
  <c r="F107" i="8"/>
  <c r="G107" i="8"/>
  <c r="J107" i="8"/>
  <c r="F12" i="8"/>
  <c r="G12" i="8"/>
  <c r="J12" i="8"/>
  <c r="F73" i="8"/>
  <c r="G73" i="8"/>
  <c r="J73" i="8"/>
  <c r="F149" i="8"/>
  <c r="G149" i="8"/>
  <c r="J149" i="8"/>
  <c r="F131" i="8"/>
  <c r="G131" i="8"/>
  <c r="J131" i="8"/>
  <c r="F34" i="8"/>
  <c r="G34" i="8"/>
  <c r="J34" i="8"/>
  <c r="F53" i="8"/>
  <c r="G53" i="8"/>
  <c r="J53" i="8"/>
  <c r="F44" i="8"/>
  <c r="G44" i="8"/>
  <c r="J44" i="8"/>
  <c r="F13" i="12"/>
  <c r="F11" i="12"/>
  <c r="I11" i="12"/>
  <c r="J11" i="12"/>
  <c r="F12" i="12"/>
  <c r="I12" i="12"/>
  <c r="J12" i="12"/>
  <c r="K11" i="12"/>
  <c r="J125" i="8"/>
  <c r="F140" i="8"/>
  <c r="G140" i="8"/>
  <c r="J140" i="8"/>
  <c r="F92" i="8"/>
  <c r="G92" i="8"/>
  <c r="J92" i="8"/>
  <c r="F50" i="8"/>
  <c r="G50" i="8"/>
  <c r="J50" i="8"/>
  <c r="F89" i="8"/>
  <c r="G89" i="8"/>
  <c r="J89" i="8"/>
  <c r="F178" i="8"/>
  <c r="G178" i="8"/>
  <c r="J178" i="8"/>
  <c r="F144" i="8"/>
  <c r="G144" i="8"/>
  <c r="J144" i="8"/>
  <c r="F141" i="8"/>
  <c r="G141" i="8"/>
  <c r="J141" i="8"/>
  <c r="F79" i="8"/>
  <c r="G79" i="8"/>
  <c r="J79" i="8"/>
  <c r="F99" i="8"/>
  <c r="G99" i="8"/>
  <c r="J99" i="8"/>
  <c r="F5" i="8"/>
  <c r="G5" i="8"/>
  <c r="J5" i="8"/>
  <c r="F88" i="8"/>
  <c r="G88" i="8"/>
  <c r="J88" i="8"/>
  <c r="F179" i="8"/>
  <c r="G179" i="8"/>
  <c r="J179" i="8"/>
  <c r="F159" i="8"/>
  <c r="G159" i="8"/>
  <c r="J159" i="8"/>
  <c r="F18" i="8"/>
  <c r="G18" i="8"/>
  <c r="J18" i="8"/>
  <c r="F190" i="8"/>
  <c r="G190" i="8"/>
  <c r="J190" i="8"/>
  <c r="F181" i="8"/>
  <c r="G181" i="8"/>
  <c r="J181" i="8"/>
  <c r="F90" i="8"/>
  <c r="G90" i="8"/>
  <c r="J90" i="8"/>
  <c r="F55" i="8"/>
  <c r="G55" i="8"/>
  <c r="J55" i="8"/>
  <c r="F62" i="8"/>
  <c r="G62" i="8"/>
  <c r="J62" i="8"/>
  <c r="F229" i="8"/>
  <c r="G229" i="8"/>
  <c r="J229" i="8"/>
  <c r="F3" i="8"/>
  <c r="G3" i="8"/>
  <c r="J3" i="8"/>
  <c r="F56" i="8"/>
  <c r="G56" i="8"/>
  <c r="J56" i="8"/>
  <c r="F19" i="8"/>
  <c r="G19" i="8"/>
  <c r="J19" i="8"/>
  <c r="F186" i="8"/>
  <c r="G186" i="8"/>
  <c r="J186" i="8"/>
  <c r="F187" i="8"/>
  <c r="G187" i="8"/>
  <c r="J187" i="8"/>
  <c r="F139" i="8"/>
  <c r="G139" i="8"/>
  <c r="J139" i="8"/>
  <c r="F94" i="8"/>
  <c r="G94" i="8"/>
  <c r="J94" i="8"/>
  <c r="F4" i="8"/>
  <c r="G4" i="8"/>
  <c r="J4" i="8"/>
  <c r="F29" i="8"/>
  <c r="G29" i="8"/>
  <c r="J29" i="8"/>
  <c r="H62" i="6"/>
  <c r="I62" i="6"/>
  <c r="H65" i="6"/>
  <c r="I65" i="6"/>
  <c r="H71" i="6"/>
  <c r="I71" i="6"/>
  <c r="O760" i="9"/>
  <c r="G240" i="8"/>
  <c r="J240" i="8"/>
  <c r="H15" i="6"/>
  <c r="I15" i="6"/>
  <c r="O761" i="9"/>
  <c r="O156" i="6"/>
  <c r="O15" i="6"/>
  <c r="Q15" i="6"/>
  <c r="R15" i="6"/>
  <c r="H80" i="6"/>
  <c r="I80" i="6"/>
  <c r="H82" i="6"/>
  <c r="I82" i="6"/>
  <c r="O762" i="9"/>
  <c r="O80" i="6"/>
  <c r="Q80" i="6"/>
  <c r="R80" i="6"/>
  <c r="O82" i="6"/>
  <c r="Q82" i="6"/>
  <c r="R82" i="6"/>
  <c r="H92" i="6"/>
  <c r="I92" i="6"/>
  <c r="H102" i="6"/>
  <c r="I102" i="6"/>
  <c r="H109" i="6"/>
  <c r="I109" i="6"/>
  <c r="H121" i="6"/>
  <c r="I121" i="6"/>
  <c r="O763" i="9"/>
  <c r="O92" i="6"/>
  <c r="Q92" i="6"/>
  <c r="R92" i="6"/>
  <c r="O102" i="6"/>
  <c r="Q102" i="6"/>
  <c r="R102" i="6"/>
  <c r="O109" i="6"/>
  <c r="Q109" i="6"/>
  <c r="R109" i="6"/>
  <c r="O121" i="6"/>
  <c r="Q121" i="6"/>
  <c r="R121" i="6"/>
  <c r="H55" i="6"/>
  <c r="I55" i="6"/>
  <c r="O764" i="9"/>
  <c r="O55" i="6"/>
  <c r="Q55" i="6"/>
  <c r="R55" i="6"/>
  <c r="G159" i="6"/>
  <c r="H159" i="6"/>
  <c r="I159" i="6"/>
  <c r="O765" i="9"/>
  <c r="N159" i="6"/>
  <c r="M159" i="6"/>
  <c r="O159" i="6"/>
  <c r="Q159" i="6"/>
  <c r="R159" i="6"/>
  <c r="H107" i="6"/>
  <c r="I107" i="6"/>
  <c r="O766" i="9"/>
  <c r="O107" i="6"/>
  <c r="Q107" i="6"/>
  <c r="R107" i="6"/>
  <c r="H134" i="6"/>
  <c r="I134" i="6"/>
  <c r="O767" i="9"/>
  <c r="O134" i="6"/>
  <c r="Q134" i="6"/>
  <c r="R134" i="6"/>
  <c r="H124" i="6"/>
  <c r="I124" i="6"/>
  <c r="H128" i="6"/>
  <c r="I128" i="6"/>
  <c r="O768" i="9"/>
  <c r="O124" i="6"/>
  <c r="Q124" i="6"/>
  <c r="R124" i="6"/>
  <c r="O128" i="6"/>
  <c r="Q128" i="6"/>
  <c r="R128" i="6"/>
  <c r="H58" i="6"/>
  <c r="I58" i="6"/>
  <c r="O769" i="9"/>
  <c r="O58" i="6"/>
  <c r="Q58" i="6"/>
  <c r="R58" i="6"/>
  <c r="H27" i="6"/>
  <c r="I27" i="6"/>
  <c r="O770" i="9"/>
  <c r="O27" i="6"/>
  <c r="Q27" i="6"/>
  <c r="R27" i="6"/>
  <c r="H84" i="6"/>
  <c r="I84" i="6"/>
  <c r="O771" i="9"/>
  <c r="O84" i="6"/>
  <c r="Q84" i="6"/>
  <c r="R84" i="6"/>
  <c r="H69" i="6"/>
  <c r="I69" i="6"/>
  <c r="H74" i="6"/>
  <c r="I74" i="6"/>
  <c r="O772" i="9"/>
  <c r="O69" i="6"/>
  <c r="Q69" i="6"/>
  <c r="R69" i="6"/>
  <c r="O74" i="6"/>
  <c r="Q74" i="6"/>
  <c r="R74" i="6"/>
  <c r="H137" i="6"/>
  <c r="I137" i="6"/>
  <c r="H138" i="6"/>
  <c r="I138" i="6"/>
  <c r="O773" i="9"/>
  <c r="O137" i="6"/>
  <c r="Q137" i="6"/>
  <c r="R137" i="6"/>
  <c r="O138" i="6"/>
  <c r="Q138" i="6"/>
  <c r="R138" i="6"/>
  <c r="H67" i="6"/>
  <c r="I67" i="6"/>
  <c r="H72" i="6"/>
  <c r="I72" i="6"/>
  <c r="H73" i="6"/>
  <c r="I73" i="6"/>
  <c r="O774" i="9"/>
  <c r="O67" i="6"/>
  <c r="Q67" i="6"/>
  <c r="R67" i="6"/>
  <c r="O72" i="6"/>
  <c r="Q72" i="6"/>
  <c r="R72" i="6"/>
  <c r="O73" i="6"/>
  <c r="Q73" i="6"/>
  <c r="R73" i="6"/>
  <c r="H38" i="6"/>
  <c r="I38" i="6"/>
  <c r="O775" i="9"/>
  <c r="O38" i="6"/>
  <c r="Q38" i="6"/>
  <c r="R38" i="6"/>
  <c r="H46" i="6"/>
  <c r="I46" i="6"/>
  <c r="O776" i="9"/>
  <c r="O46" i="6"/>
  <c r="Q46" i="6"/>
  <c r="R46" i="6"/>
  <c r="H151" i="6"/>
  <c r="I151" i="6"/>
  <c r="O777" i="9"/>
  <c r="O151" i="6"/>
  <c r="Q151" i="6"/>
  <c r="R151" i="6"/>
  <c r="H145" i="6"/>
  <c r="I145" i="6"/>
  <c r="O778" i="9"/>
  <c r="O145" i="6"/>
  <c r="Q145" i="6"/>
  <c r="R145" i="6"/>
  <c r="H53" i="6"/>
  <c r="I53" i="6"/>
  <c r="H54" i="6"/>
  <c r="I54" i="6"/>
  <c r="H56" i="6"/>
  <c r="I56" i="6"/>
  <c r="H57" i="6"/>
  <c r="I57" i="6"/>
  <c r="H3" i="6"/>
  <c r="I3" i="6"/>
  <c r="H4" i="6"/>
  <c r="I4" i="6"/>
  <c r="H5" i="6"/>
  <c r="I5" i="6"/>
  <c r="H6" i="6"/>
  <c r="I6" i="6"/>
  <c r="H7" i="6"/>
  <c r="I7" i="6"/>
  <c r="H8" i="6"/>
  <c r="I8" i="6"/>
  <c r="H9" i="6"/>
  <c r="I9" i="6"/>
  <c r="H10" i="6"/>
  <c r="I10" i="6"/>
  <c r="H11" i="6"/>
  <c r="I11" i="6"/>
  <c r="H12" i="6"/>
  <c r="I12" i="6"/>
  <c r="H13" i="6"/>
  <c r="I13" i="6"/>
  <c r="H14" i="6"/>
  <c r="I14" i="6"/>
  <c r="H16" i="6"/>
  <c r="I16" i="6"/>
  <c r="H17" i="6"/>
  <c r="I17" i="6"/>
  <c r="H18" i="6"/>
  <c r="I18" i="6"/>
  <c r="H19" i="6"/>
  <c r="I19" i="6"/>
  <c r="H20" i="6"/>
  <c r="I20" i="6"/>
  <c r="H21" i="6"/>
  <c r="I21" i="6"/>
  <c r="H22" i="6"/>
  <c r="I22" i="6"/>
  <c r="H23" i="6"/>
  <c r="I23" i="6"/>
  <c r="H24" i="6"/>
  <c r="I24" i="6"/>
  <c r="H25" i="6"/>
  <c r="I25" i="6"/>
  <c r="H26" i="6"/>
  <c r="I26" i="6"/>
  <c r="H28" i="6"/>
  <c r="I28" i="6"/>
  <c r="H29" i="6"/>
  <c r="I29" i="6"/>
  <c r="H30" i="6"/>
  <c r="I30" i="6"/>
  <c r="H31" i="6"/>
  <c r="I31" i="6"/>
  <c r="H32" i="6"/>
  <c r="I32" i="6"/>
  <c r="H33" i="6"/>
  <c r="I33" i="6"/>
  <c r="H34" i="6"/>
  <c r="I34" i="6"/>
  <c r="H35" i="6"/>
  <c r="I35" i="6"/>
  <c r="H36" i="6"/>
  <c r="I36" i="6"/>
  <c r="H37" i="6"/>
  <c r="I37" i="6"/>
  <c r="H39" i="6"/>
  <c r="I39" i="6"/>
  <c r="H40" i="6"/>
  <c r="I40" i="6"/>
  <c r="H41" i="6"/>
  <c r="I41" i="6"/>
  <c r="H42" i="6"/>
  <c r="I42" i="6"/>
  <c r="H43" i="6"/>
  <c r="I43" i="6"/>
  <c r="H44" i="6"/>
  <c r="I44" i="6"/>
  <c r="H45" i="6"/>
  <c r="I45" i="6"/>
  <c r="H47" i="6"/>
  <c r="I47" i="6"/>
  <c r="H48" i="6"/>
  <c r="I48" i="6"/>
  <c r="H49" i="6"/>
  <c r="I49" i="6"/>
  <c r="H50" i="6"/>
  <c r="I50" i="6"/>
  <c r="H51" i="6"/>
  <c r="I51" i="6"/>
  <c r="H52" i="6"/>
  <c r="I52" i="6"/>
  <c r="H59" i="6"/>
  <c r="I59" i="6"/>
  <c r="H60" i="6"/>
  <c r="I60" i="6"/>
  <c r="H61" i="6"/>
  <c r="I61" i="6"/>
  <c r="H63" i="6"/>
  <c r="I63" i="6"/>
  <c r="H64" i="6"/>
  <c r="I64" i="6"/>
  <c r="H66" i="6"/>
  <c r="I66" i="6"/>
  <c r="H68" i="6"/>
  <c r="I68" i="6"/>
  <c r="H70" i="6"/>
  <c r="I70" i="6"/>
  <c r="H75" i="6"/>
  <c r="I75" i="6"/>
  <c r="H76" i="6"/>
  <c r="I76" i="6"/>
  <c r="H77" i="6"/>
  <c r="I77" i="6"/>
  <c r="H78" i="6"/>
  <c r="I78" i="6"/>
  <c r="H79" i="6"/>
  <c r="I79" i="6"/>
  <c r="H81" i="6"/>
  <c r="I81" i="6"/>
  <c r="H83" i="6"/>
  <c r="I83" i="6"/>
  <c r="H85" i="6"/>
  <c r="I85" i="6"/>
  <c r="H86" i="6"/>
  <c r="I86" i="6"/>
  <c r="H87" i="6"/>
  <c r="I87" i="6"/>
  <c r="H88" i="6"/>
  <c r="I88" i="6"/>
  <c r="H89" i="6"/>
  <c r="I89" i="6"/>
  <c r="H90" i="6"/>
  <c r="I90" i="6"/>
  <c r="H91" i="6"/>
  <c r="I91" i="6"/>
  <c r="H93" i="6"/>
  <c r="I93" i="6"/>
  <c r="H94" i="6"/>
  <c r="I94" i="6"/>
  <c r="H95" i="6"/>
  <c r="I95" i="6"/>
  <c r="I96" i="6"/>
  <c r="H97" i="6"/>
  <c r="I97" i="6"/>
  <c r="H98" i="6"/>
  <c r="I98" i="6"/>
  <c r="H99" i="6"/>
  <c r="I99" i="6"/>
  <c r="H100" i="6"/>
  <c r="I100" i="6"/>
  <c r="H101" i="6"/>
  <c r="I101" i="6"/>
  <c r="H103" i="6"/>
  <c r="I103" i="6"/>
  <c r="H104" i="6"/>
  <c r="I104" i="6"/>
  <c r="H105" i="6"/>
  <c r="I105" i="6"/>
  <c r="H106" i="6"/>
  <c r="I106" i="6"/>
  <c r="H108" i="6"/>
  <c r="I108" i="6"/>
  <c r="H110" i="6"/>
  <c r="I110" i="6"/>
  <c r="H111" i="6"/>
  <c r="I111" i="6"/>
  <c r="H112" i="6"/>
  <c r="I112" i="6"/>
  <c r="H113" i="6"/>
  <c r="I113" i="6"/>
  <c r="H114" i="6"/>
  <c r="I114" i="6"/>
  <c r="H115" i="6"/>
  <c r="I115" i="6"/>
  <c r="H116" i="6"/>
  <c r="I116" i="6"/>
  <c r="H117" i="6"/>
  <c r="I117" i="6"/>
  <c r="H118" i="6"/>
  <c r="I118" i="6"/>
  <c r="H119" i="6"/>
  <c r="I119" i="6"/>
  <c r="H120" i="6"/>
  <c r="I120" i="6"/>
  <c r="H122" i="6"/>
  <c r="I122" i="6"/>
  <c r="H123" i="6"/>
  <c r="I123" i="6"/>
  <c r="H125" i="6"/>
  <c r="I125" i="6"/>
  <c r="H126" i="6"/>
  <c r="I126" i="6"/>
  <c r="H127" i="6"/>
  <c r="I127" i="6"/>
  <c r="H129" i="6"/>
  <c r="I129" i="6"/>
  <c r="H130" i="6"/>
  <c r="I130" i="6"/>
  <c r="H131" i="6"/>
  <c r="I131" i="6"/>
  <c r="H132" i="6"/>
  <c r="I132" i="6"/>
  <c r="H133" i="6"/>
  <c r="I133" i="6"/>
  <c r="H135" i="6"/>
  <c r="I135" i="6"/>
  <c r="H136" i="6"/>
  <c r="I136" i="6"/>
  <c r="H139" i="6"/>
  <c r="I139" i="6"/>
  <c r="H140" i="6"/>
  <c r="I140" i="6"/>
  <c r="H141" i="6"/>
  <c r="I141" i="6"/>
  <c r="H142" i="6"/>
  <c r="I142" i="6"/>
  <c r="H143" i="6"/>
  <c r="I143" i="6"/>
  <c r="H144" i="6"/>
  <c r="I144" i="6"/>
  <c r="H146" i="6"/>
  <c r="I146" i="6"/>
  <c r="H147" i="6"/>
  <c r="I147" i="6"/>
  <c r="H148" i="6"/>
  <c r="I148" i="6"/>
  <c r="H149" i="6"/>
  <c r="I149" i="6"/>
  <c r="H150" i="6"/>
  <c r="I150" i="6"/>
  <c r="H152" i="6"/>
  <c r="I152" i="6"/>
  <c r="H153" i="6"/>
  <c r="I153" i="6"/>
  <c r="H154" i="6"/>
  <c r="I154" i="6"/>
  <c r="O783" i="9"/>
  <c r="F201" i="8"/>
  <c r="G201" i="8"/>
  <c r="J201" i="8"/>
  <c r="O784" i="9"/>
  <c r="F221" i="8"/>
  <c r="G221" i="8"/>
  <c r="J221" i="8"/>
  <c r="O785" i="9"/>
  <c r="F197" i="8"/>
  <c r="G197" i="8"/>
  <c r="J197" i="8"/>
  <c r="O786" i="9"/>
  <c r="F143" i="8"/>
  <c r="G143" i="8"/>
  <c r="J143" i="8"/>
  <c r="O787" i="9"/>
  <c r="F198" i="8"/>
  <c r="G198" i="8"/>
  <c r="J198" i="8"/>
  <c r="O788" i="9"/>
  <c r="F199" i="8"/>
  <c r="G199" i="8"/>
  <c r="J199" i="8"/>
  <c r="O789" i="9"/>
  <c r="F223" i="8"/>
  <c r="G223" i="8"/>
  <c r="J223" i="8"/>
  <c r="O790" i="9"/>
  <c r="F222" i="8"/>
  <c r="G222" i="8"/>
  <c r="J222" i="8"/>
  <c r="O791" i="9"/>
  <c r="F224" i="8"/>
  <c r="G224" i="8"/>
  <c r="J224" i="8"/>
  <c r="O792" i="9"/>
  <c r="F220" i="8"/>
  <c r="G220" i="8"/>
  <c r="J220" i="8"/>
  <c r="O793" i="9"/>
  <c r="F200" i="8"/>
  <c r="G200" i="8"/>
  <c r="J200" i="8"/>
  <c r="G12" i="35"/>
  <c r="C38" i="35"/>
  <c r="G25" i="35"/>
  <c r="C39" i="35"/>
  <c r="C40" i="35"/>
  <c r="F30" i="35"/>
  <c r="F33" i="35"/>
  <c r="G30" i="35"/>
  <c r="E31" i="35"/>
  <c r="D31" i="35"/>
  <c r="F31" i="35"/>
  <c r="G31" i="35"/>
  <c r="G32" i="35"/>
  <c r="C41" i="35"/>
  <c r="G7" i="36"/>
  <c r="C29" i="36"/>
  <c r="G15" i="36"/>
  <c r="C30" i="36"/>
  <c r="C31" i="36"/>
  <c r="E20" i="36"/>
  <c r="D20" i="36"/>
  <c r="F20" i="36"/>
  <c r="G20" i="36"/>
  <c r="E21" i="36"/>
  <c r="D21" i="36"/>
  <c r="F21" i="36"/>
  <c r="G21" i="36"/>
  <c r="G23" i="36"/>
  <c r="C32" i="36"/>
  <c r="G7" i="39"/>
  <c r="C30" i="39"/>
  <c r="G15" i="39"/>
  <c r="C31" i="39"/>
  <c r="C32" i="39"/>
  <c r="E20" i="39"/>
  <c r="D20" i="39"/>
  <c r="F20" i="39"/>
  <c r="G20" i="39"/>
  <c r="E21" i="39"/>
  <c r="D21" i="39"/>
  <c r="F21" i="39"/>
  <c r="G21" i="39"/>
  <c r="F22" i="39"/>
  <c r="G22" i="39"/>
  <c r="G23" i="39"/>
  <c r="C33" i="39"/>
  <c r="G7" i="37"/>
  <c r="C28" i="37"/>
  <c r="G15" i="37"/>
  <c r="C29" i="37"/>
  <c r="E29" i="37"/>
  <c r="C30" i="37"/>
  <c r="E30" i="37"/>
  <c r="F20" i="37"/>
  <c r="G20" i="37"/>
  <c r="E21" i="37"/>
  <c r="D21" i="37"/>
  <c r="F21" i="37"/>
  <c r="G21" i="37"/>
  <c r="G22" i="37"/>
  <c r="C31" i="37"/>
  <c r="E31" i="37"/>
  <c r="E32" i="37"/>
  <c r="G6" i="38"/>
  <c r="C33" i="38"/>
  <c r="G13" i="38"/>
  <c r="C34" i="38"/>
  <c r="G18" i="38"/>
  <c r="G19" i="38"/>
  <c r="G20" i="38"/>
  <c r="C35" i="38"/>
  <c r="F25" i="38"/>
  <c r="G25" i="38"/>
  <c r="E26" i="38"/>
  <c r="D26" i="38"/>
  <c r="F26" i="38"/>
  <c r="G26" i="38"/>
  <c r="G27" i="38"/>
  <c r="C36" i="38"/>
  <c r="J37" i="40"/>
  <c r="L37" i="40"/>
  <c r="F55" i="40"/>
  <c r="G55" i="40"/>
  <c r="F56" i="40"/>
  <c r="G56" i="40"/>
  <c r="F57" i="40"/>
  <c r="G57" i="40"/>
  <c r="G58" i="40"/>
  <c r="G59" i="40"/>
  <c r="G60" i="40"/>
  <c r="G61" i="40"/>
  <c r="D23" i="39"/>
  <c r="E23" i="39"/>
  <c r="F23" i="39"/>
  <c r="D20" i="38"/>
  <c r="D27" i="38"/>
  <c r="E27" i="38"/>
  <c r="F27" i="38"/>
  <c r="D22" i="37"/>
  <c r="E22" i="37"/>
  <c r="F22" i="37"/>
  <c r="D23" i="36"/>
  <c r="E23" i="36"/>
  <c r="F23" i="36"/>
  <c r="D32" i="35"/>
  <c r="E32" i="35"/>
  <c r="F32" i="35"/>
  <c r="B3" i="34"/>
  <c r="B4" i="34"/>
  <c r="B5" i="34"/>
  <c r="B6" i="34"/>
  <c r="B9" i="34"/>
  <c r="B10" i="34"/>
  <c r="B11" i="34"/>
  <c r="B12" i="34"/>
  <c r="B15" i="34"/>
  <c r="B16" i="34"/>
  <c r="B17" i="34"/>
  <c r="B18" i="34"/>
  <c r="B21" i="34"/>
  <c r="B22" i="34"/>
  <c r="B23" i="34"/>
  <c r="B24" i="34"/>
  <c r="B27" i="34"/>
  <c r="B28" i="34"/>
  <c r="B29" i="34"/>
  <c r="B30" i="34"/>
  <c r="B27" i="23"/>
  <c r="D27" i="23"/>
  <c r="C27" i="23"/>
  <c r="B26" i="23"/>
  <c r="D26" i="23"/>
  <c r="C26" i="23"/>
  <c r="B27" i="24"/>
  <c r="D27" i="24"/>
  <c r="C27" i="24"/>
  <c r="B26" i="24"/>
  <c r="D26" i="24"/>
  <c r="C26" i="24"/>
  <c r="H60" i="20"/>
  <c r="D5" i="20"/>
  <c r="H61" i="20"/>
  <c r="D6" i="20"/>
  <c r="H62" i="20"/>
  <c r="D7" i="20"/>
  <c r="D8" i="20"/>
  <c r="E5" i="20"/>
  <c r="C5" i="20"/>
  <c r="F5" i="20"/>
  <c r="E6" i="20"/>
  <c r="C6" i="20"/>
  <c r="F6" i="20"/>
  <c r="E7" i="20"/>
  <c r="C7" i="20"/>
  <c r="F7" i="20"/>
  <c r="F8" i="20"/>
  <c r="B37" i="20"/>
  <c r="C13" i="20"/>
  <c r="D13" i="20"/>
  <c r="D14" i="20"/>
  <c r="D15" i="20"/>
  <c r="D16" i="20"/>
  <c r="E13" i="20"/>
  <c r="F13" i="20"/>
  <c r="C14" i="20"/>
  <c r="E14" i="20"/>
  <c r="F14" i="20"/>
  <c r="C15" i="20"/>
  <c r="E15" i="20"/>
  <c r="F15" i="20"/>
  <c r="F16" i="20"/>
  <c r="B38" i="20"/>
  <c r="D21" i="20"/>
  <c r="D22" i="20"/>
  <c r="D23" i="20"/>
  <c r="E21" i="20"/>
  <c r="C21" i="20"/>
  <c r="F21" i="20"/>
  <c r="E22" i="20"/>
  <c r="C22" i="20"/>
  <c r="F22" i="20"/>
  <c r="F23" i="20"/>
  <c r="B39" i="20"/>
  <c r="D31" i="20"/>
  <c r="C31" i="20"/>
  <c r="E31" i="20"/>
  <c r="D29" i="20"/>
  <c r="D30" i="20"/>
  <c r="C29" i="20"/>
  <c r="C30" i="20"/>
  <c r="E30" i="20"/>
  <c r="F30" i="20"/>
  <c r="B40" i="20"/>
  <c r="H55" i="19"/>
  <c r="D5" i="19"/>
  <c r="H59" i="19"/>
  <c r="D6" i="19"/>
  <c r="D7" i="19"/>
  <c r="E5" i="19"/>
  <c r="C5" i="19"/>
  <c r="F5" i="19"/>
  <c r="E6" i="19"/>
  <c r="C6" i="19"/>
  <c r="F6" i="19"/>
  <c r="F7" i="19"/>
  <c r="B35" i="19"/>
  <c r="C12" i="19"/>
  <c r="D12" i="19"/>
  <c r="D13" i="19"/>
  <c r="D14" i="19"/>
  <c r="E12" i="19"/>
  <c r="F12" i="19"/>
  <c r="C13" i="19"/>
  <c r="E13" i="19"/>
  <c r="F13" i="19"/>
  <c r="F14" i="19"/>
  <c r="B36" i="19"/>
  <c r="D19" i="19"/>
  <c r="D20" i="19"/>
  <c r="D21" i="19"/>
  <c r="E19" i="19"/>
  <c r="C19" i="19"/>
  <c r="F19" i="19"/>
  <c r="E20" i="19"/>
  <c r="C20" i="19"/>
  <c r="F20" i="19"/>
  <c r="F21" i="19"/>
  <c r="B37" i="19"/>
  <c r="D29" i="19"/>
  <c r="C29" i="19"/>
  <c r="E29" i="19"/>
  <c r="D27" i="19"/>
  <c r="D28" i="19"/>
  <c r="C27" i="19"/>
  <c r="C28" i="19"/>
  <c r="E28" i="19"/>
  <c r="F28" i="19"/>
  <c r="B38" i="19"/>
  <c r="H57" i="18"/>
  <c r="H58" i="18"/>
  <c r="D5" i="18"/>
  <c r="H55" i="18"/>
  <c r="H56" i="18"/>
  <c r="D6" i="18"/>
  <c r="D7" i="18"/>
  <c r="E5" i="18"/>
  <c r="C5" i="18"/>
  <c r="F5" i="18"/>
  <c r="E6" i="18"/>
  <c r="C6" i="18"/>
  <c r="F6" i="18"/>
  <c r="F7" i="18"/>
  <c r="B35" i="18"/>
  <c r="C12" i="18"/>
  <c r="D12" i="18"/>
  <c r="D13" i="18"/>
  <c r="D14" i="18"/>
  <c r="E12" i="18"/>
  <c r="F12" i="18"/>
  <c r="C13" i="18"/>
  <c r="E13" i="18"/>
  <c r="F13" i="18"/>
  <c r="F14" i="18"/>
  <c r="B36" i="18"/>
  <c r="D19" i="18"/>
  <c r="D20" i="18"/>
  <c r="D21" i="18"/>
  <c r="E19" i="18"/>
  <c r="C19" i="18"/>
  <c r="F19" i="18"/>
  <c r="E20" i="18"/>
  <c r="C20" i="18"/>
  <c r="F20" i="18"/>
  <c r="F21" i="18"/>
  <c r="B37" i="18"/>
  <c r="D53" i="21"/>
  <c r="E53" i="21"/>
  <c r="F53" i="21"/>
  <c r="G53" i="21"/>
  <c r="H53" i="21"/>
  <c r="H57" i="21"/>
  <c r="D19" i="21"/>
  <c r="H55" i="21"/>
  <c r="H56" i="21"/>
  <c r="D20" i="21"/>
  <c r="D21" i="21"/>
  <c r="E19" i="21"/>
  <c r="C19" i="21"/>
  <c r="F19" i="21"/>
  <c r="E20" i="21"/>
  <c r="C20" i="21"/>
  <c r="F20" i="21"/>
  <c r="F21" i="21"/>
  <c r="B37" i="21"/>
  <c r="C12" i="21"/>
  <c r="D12" i="21"/>
  <c r="D13" i="21"/>
  <c r="D14" i="21"/>
  <c r="E12" i="21"/>
  <c r="F12" i="21"/>
  <c r="C13" i="21"/>
  <c r="E13" i="21"/>
  <c r="F13" i="21"/>
  <c r="F14" i="21"/>
  <c r="B36" i="21"/>
  <c r="C5" i="21"/>
  <c r="D5" i="21"/>
  <c r="D6" i="21"/>
  <c r="D7" i="21"/>
  <c r="E5" i="21"/>
  <c r="F5" i="21"/>
  <c r="C6" i="21"/>
  <c r="E6" i="21"/>
  <c r="F6" i="21"/>
  <c r="F7" i="21"/>
  <c r="B35" i="21"/>
  <c r="H6" i="28"/>
  <c r="J10" i="13"/>
  <c r="F6" i="28"/>
  <c r="I6" i="28" s="1"/>
  <c r="F15" i="28"/>
  <c r="I15" i="28"/>
  <c r="H11" i="28"/>
  <c r="F11" i="28"/>
  <c r="I11" i="28" s="1"/>
  <c r="E20" i="28"/>
  <c r="G20" i="28"/>
  <c r="H20" i="28"/>
  <c r="F20" i="28"/>
  <c r="I20" i="28"/>
  <c r="H13" i="28"/>
  <c r="F13" i="28"/>
  <c r="I13" i="28" s="1"/>
  <c r="F5" i="28"/>
  <c r="I5" i="28" s="1"/>
  <c r="H9" i="28"/>
  <c r="F9" i="28"/>
  <c r="I9" i="28" s="1"/>
  <c r="B47" i="22"/>
  <c r="C35" i="22"/>
  <c r="C40" i="22" s="1"/>
  <c r="C6" i="22"/>
  <c r="C36" i="22"/>
  <c r="B13" i="22"/>
  <c r="C13" i="22"/>
  <c r="C37" i="22"/>
  <c r="B20" i="22"/>
  <c r="C20" i="22"/>
  <c r="C38" i="22"/>
  <c r="B27" i="22"/>
  <c r="D27" i="22"/>
  <c r="C27" i="22"/>
  <c r="E27" i="22"/>
  <c r="D29" i="22"/>
  <c r="C29" i="22"/>
  <c r="E29" i="22"/>
  <c r="I27" i="22"/>
  <c r="C39" i="22"/>
  <c r="B46" i="22"/>
  <c r="C5" i="22"/>
  <c r="B12" i="22"/>
  <c r="C12" i="22"/>
  <c r="B19" i="22"/>
  <c r="C19" i="22"/>
  <c r="B26" i="22"/>
  <c r="D26" i="22"/>
  <c r="C26" i="22"/>
  <c r="E26" i="22"/>
  <c r="I26" i="22"/>
  <c r="D29" i="18"/>
  <c r="C29" i="18"/>
  <c r="E29" i="18"/>
  <c r="D27" i="18"/>
  <c r="C27" i="18"/>
  <c r="E27" i="18"/>
  <c r="I27" i="18"/>
  <c r="C35" i="18"/>
  <c r="C40" i="18" s="1"/>
  <c r="C36" i="18"/>
  <c r="C37" i="18"/>
  <c r="D37" i="18" s="1"/>
  <c r="C38" i="18"/>
  <c r="C39" i="18"/>
  <c r="D39" i="18" s="1"/>
  <c r="D26" i="18"/>
  <c r="C26" i="18"/>
  <c r="E26" i="18"/>
  <c r="I26" i="18"/>
  <c r="E27" i="19"/>
  <c r="I27" i="19"/>
  <c r="C35" i="19"/>
  <c r="C36" i="19"/>
  <c r="D40" i="19" s="1"/>
  <c r="C37" i="19"/>
  <c r="C38" i="19"/>
  <c r="D38" i="19" s="1"/>
  <c r="C39" i="19"/>
  <c r="H56" i="19"/>
  <c r="D76" i="19"/>
  <c r="G12" i="19"/>
  <c r="D73" i="19"/>
  <c r="G5" i="19"/>
  <c r="E73" i="19"/>
  <c r="E76" i="19"/>
  <c r="G14" i="20"/>
  <c r="G15" i="20"/>
  <c r="E29" i="20"/>
  <c r="I29" i="20"/>
  <c r="G6" i="20"/>
  <c r="G7" i="20"/>
  <c r="C37" i="20"/>
  <c r="C38" i="20"/>
  <c r="C42" i="20" s="1"/>
  <c r="C39" i="20"/>
  <c r="C40" i="20"/>
  <c r="C41" i="20"/>
  <c r="H59" i="20"/>
  <c r="D81" i="20"/>
  <c r="G13" i="20"/>
  <c r="D78" i="20"/>
  <c r="E78" i="20"/>
  <c r="G5" i="20"/>
  <c r="E81" i="20"/>
  <c r="D29" i="21"/>
  <c r="C29" i="21"/>
  <c r="E29" i="21"/>
  <c r="D27" i="21"/>
  <c r="C27" i="21"/>
  <c r="E27" i="21"/>
  <c r="I27" i="21"/>
  <c r="C35" i="21"/>
  <c r="D40" i="21" s="1"/>
  <c r="C36" i="21"/>
  <c r="C37" i="21"/>
  <c r="D37" i="21" s="1"/>
  <c r="C38" i="21"/>
  <c r="C39" i="21"/>
  <c r="D26" i="21"/>
  <c r="C26" i="21"/>
  <c r="E26" i="21"/>
  <c r="I26" i="21"/>
  <c r="C6" i="23"/>
  <c r="B13" i="23"/>
  <c r="C13" i="23"/>
  <c r="D29" i="23"/>
  <c r="C29" i="23"/>
  <c r="E29" i="23"/>
  <c r="E27" i="23"/>
  <c r="I27" i="23"/>
  <c r="C35" i="23"/>
  <c r="C36" i="23"/>
  <c r="D36" i="23" s="1"/>
  <c r="C37" i="23"/>
  <c r="B20" i="23"/>
  <c r="C20" i="23"/>
  <c r="C38" i="23"/>
  <c r="C39" i="23"/>
  <c r="B47" i="23"/>
  <c r="C5" i="23"/>
  <c r="B12" i="23"/>
  <c r="C12" i="23"/>
  <c r="E26" i="23"/>
  <c r="I26" i="23"/>
  <c r="B19" i="23"/>
  <c r="C19" i="23"/>
  <c r="B46" i="23"/>
  <c r="C6" i="24"/>
  <c r="B13" i="24"/>
  <c r="C13" i="24"/>
  <c r="D29" i="24"/>
  <c r="C29" i="24"/>
  <c r="E29" i="24"/>
  <c r="E27" i="24"/>
  <c r="I27" i="24"/>
  <c r="C35" i="24"/>
  <c r="C36" i="24"/>
  <c r="C40" i="24" s="1"/>
  <c r="C37" i="24"/>
  <c r="B20" i="24"/>
  <c r="C20" i="24"/>
  <c r="C38" i="24"/>
  <c r="D38" i="24" s="1"/>
  <c r="C39" i="24"/>
  <c r="B47" i="24"/>
  <c r="C5" i="24"/>
  <c r="B12" i="24"/>
  <c r="C12" i="24"/>
  <c r="E26" i="24"/>
  <c r="I26" i="24"/>
  <c r="B19" i="24"/>
  <c r="C19" i="24"/>
  <c r="B46" i="24"/>
  <c r="C6" i="25"/>
  <c r="B13" i="25"/>
  <c r="C13" i="25"/>
  <c r="B27" i="25"/>
  <c r="D27" i="25"/>
  <c r="C27" i="25"/>
  <c r="E27" i="25"/>
  <c r="D29" i="25"/>
  <c r="C29" i="25"/>
  <c r="E29" i="25"/>
  <c r="I27" i="25"/>
  <c r="C35" i="25"/>
  <c r="D35" i="25" s="1"/>
  <c r="C36" i="25"/>
  <c r="C37" i="25"/>
  <c r="D37" i="25" s="1"/>
  <c r="B20" i="25"/>
  <c r="C20" i="25"/>
  <c r="C38" i="25"/>
  <c r="C39" i="25"/>
  <c r="D39" i="25" s="1"/>
  <c r="B47" i="25"/>
  <c r="C5" i="25"/>
  <c r="B12" i="25"/>
  <c r="C12" i="25"/>
  <c r="B26" i="25"/>
  <c r="D26" i="25"/>
  <c r="C26" i="25"/>
  <c r="E26" i="25"/>
  <c r="I26" i="25"/>
  <c r="B19" i="25"/>
  <c r="C19" i="25"/>
  <c r="B46" i="25"/>
  <c r="D54" i="25"/>
  <c r="E54" i="25"/>
  <c r="F54" i="25"/>
  <c r="G54" i="25"/>
  <c r="H54" i="25"/>
  <c r="H56" i="25"/>
  <c r="D5" i="25"/>
  <c r="F240" i="8"/>
  <c r="E31" i="13"/>
  <c r="E108" i="13"/>
  <c r="E14" i="13"/>
  <c r="E15" i="13"/>
  <c r="E16" i="13"/>
  <c r="E17" i="13"/>
  <c r="E18" i="13"/>
  <c r="E19" i="13"/>
  <c r="E10" i="13"/>
  <c r="I5" i="13"/>
  <c r="K5" i="13"/>
  <c r="L5" i="13"/>
  <c r="E20" i="13"/>
  <c r="E21" i="13"/>
  <c r="E22" i="13"/>
  <c r="E23" i="13"/>
  <c r="E24" i="13"/>
  <c r="E25" i="13"/>
  <c r="E26" i="13"/>
  <c r="E27" i="13"/>
  <c r="E28" i="13"/>
  <c r="E29" i="13"/>
  <c r="E30" i="13"/>
  <c r="E32" i="13"/>
  <c r="E33" i="13"/>
  <c r="E34" i="13"/>
  <c r="E35" i="13"/>
  <c r="E36" i="13"/>
  <c r="E37" i="13"/>
  <c r="E38" i="13"/>
  <c r="E39" i="13"/>
  <c r="E40" i="13"/>
  <c r="E41" i="13"/>
  <c r="E42" i="13"/>
  <c r="E43" i="13"/>
  <c r="E44" i="13"/>
  <c r="E45" i="13"/>
  <c r="E46" i="13"/>
  <c r="E47" i="13"/>
  <c r="E48" i="13"/>
  <c r="E49" i="13"/>
  <c r="E50" i="13"/>
  <c r="E51" i="13"/>
  <c r="E52" i="13"/>
  <c r="E53" i="13"/>
  <c r="E54" i="13"/>
  <c r="E55" i="13"/>
  <c r="E56" i="13"/>
  <c r="E57" i="13"/>
  <c r="E58" i="13"/>
  <c r="E59" i="13"/>
  <c r="E60" i="13"/>
  <c r="E61" i="13"/>
  <c r="E62" i="13"/>
  <c r="E63" i="13"/>
  <c r="E64" i="13"/>
  <c r="E65" i="13"/>
  <c r="E66" i="13"/>
  <c r="E67" i="13"/>
  <c r="E68" i="13"/>
  <c r="E69" i="13"/>
  <c r="E70" i="13"/>
  <c r="E71" i="13"/>
  <c r="E72" i="13"/>
  <c r="E73" i="13"/>
  <c r="E74" i="13"/>
  <c r="E75" i="13"/>
  <c r="E76" i="13"/>
  <c r="E77" i="13"/>
  <c r="E78" i="13"/>
  <c r="E79" i="13"/>
  <c r="E80" i="13"/>
  <c r="E81" i="13"/>
  <c r="E82" i="13"/>
  <c r="E83" i="13"/>
  <c r="E84" i="13"/>
  <c r="E86" i="13"/>
  <c r="E87" i="13"/>
  <c r="E88" i="13"/>
  <c r="E89" i="13"/>
  <c r="E90" i="13"/>
  <c r="E91" i="13"/>
  <c r="E92" i="13"/>
  <c r="E93" i="13"/>
  <c r="E94" i="13"/>
  <c r="E95" i="13"/>
  <c r="E96" i="13"/>
  <c r="E97" i="13"/>
  <c r="E98" i="13"/>
  <c r="E99" i="13"/>
  <c r="E100" i="13"/>
  <c r="E101" i="13"/>
  <c r="E102" i="13"/>
  <c r="E103" i="13"/>
  <c r="E104" i="13"/>
  <c r="E105" i="13"/>
  <c r="E106" i="13"/>
  <c r="E107" i="13"/>
  <c r="E109" i="13"/>
  <c r="E110" i="13"/>
  <c r="E111" i="13"/>
  <c r="E112" i="13"/>
  <c r="E113" i="13"/>
  <c r="E114" i="13"/>
  <c r="E115" i="13"/>
  <c r="E116" i="13"/>
  <c r="E117" i="13"/>
  <c r="E118" i="13"/>
  <c r="E119" i="13"/>
  <c r="E120" i="13"/>
  <c r="E121" i="13"/>
  <c r="E122" i="13"/>
  <c r="E123" i="13"/>
  <c r="E124" i="13"/>
  <c r="E125" i="13"/>
  <c r="E126" i="13"/>
  <c r="E127" i="13"/>
  <c r="E128" i="13"/>
  <c r="E129" i="13"/>
  <c r="E130" i="13"/>
  <c r="E131" i="13"/>
  <c r="E132" i="13"/>
  <c r="E133" i="13"/>
  <c r="E134" i="13"/>
  <c r="E135" i="13"/>
  <c r="E136" i="13"/>
  <c r="E137" i="13"/>
  <c r="E138" i="13"/>
  <c r="E139" i="13"/>
  <c r="E140" i="13"/>
  <c r="E141" i="13"/>
  <c r="E142" i="13"/>
  <c r="E143" i="13"/>
  <c r="E144" i="13"/>
  <c r="E145" i="13"/>
  <c r="E146" i="13"/>
  <c r="E147" i="13"/>
  <c r="E148" i="13"/>
  <c r="E149" i="13"/>
  <c r="E150" i="13"/>
  <c r="E151" i="13"/>
  <c r="E152" i="13"/>
  <c r="E153" i="13"/>
  <c r="E154" i="13"/>
  <c r="E155" i="13"/>
  <c r="E156" i="13"/>
  <c r="E157" i="13"/>
  <c r="E158" i="13"/>
  <c r="E159" i="13"/>
  <c r="E160" i="13"/>
  <c r="E161" i="13"/>
  <c r="E162" i="13"/>
  <c r="E163" i="13"/>
  <c r="E164" i="13"/>
  <c r="E165" i="13"/>
  <c r="E166" i="13"/>
  <c r="E167" i="13"/>
  <c r="E168" i="13"/>
  <c r="E169" i="13"/>
  <c r="E170" i="13"/>
  <c r="E171" i="13"/>
  <c r="E172" i="13"/>
  <c r="E173" i="13"/>
  <c r="E174" i="13"/>
  <c r="E175" i="13"/>
  <c r="E176" i="13"/>
  <c r="E177" i="13"/>
  <c r="E178" i="13"/>
  <c r="E179" i="13"/>
  <c r="E180" i="13"/>
  <c r="E181" i="13"/>
  <c r="E182" i="13"/>
  <c r="E183" i="13"/>
  <c r="E184" i="13"/>
  <c r="E185" i="13"/>
  <c r="E186" i="13"/>
  <c r="E187" i="13"/>
  <c r="E188" i="13"/>
  <c r="E189" i="13"/>
  <c r="E190" i="13"/>
  <c r="E191" i="13"/>
  <c r="E192" i="13"/>
  <c r="E193" i="13"/>
  <c r="E194" i="13"/>
  <c r="E195" i="13"/>
  <c r="E196" i="13"/>
  <c r="E197" i="13"/>
  <c r="E198" i="13"/>
  <c r="E199" i="13"/>
  <c r="E200" i="13"/>
  <c r="E201" i="13"/>
  <c r="E202" i="13"/>
  <c r="E203" i="13"/>
  <c r="E204" i="13"/>
  <c r="E205" i="13"/>
  <c r="E206" i="13"/>
  <c r="E207" i="13"/>
  <c r="E208" i="13"/>
  <c r="E209" i="13"/>
  <c r="E210" i="13"/>
  <c r="E211" i="13"/>
  <c r="E212" i="13"/>
  <c r="E213" i="13"/>
  <c r="E214" i="13"/>
  <c r="E215" i="13"/>
  <c r="E216" i="13"/>
  <c r="E217" i="13"/>
  <c r="E218" i="13"/>
  <c r="E219" i="13"/>
  <c r="E220" i="13"/>
  <c r="E221" i="13"/>
  <c r="E222" i="13"/>
  <c r="E223" i="13"/>
  <c r="E224" i="13"/>
  <c r="E225" i="13"/>
  <c r="E226" i="13"/>
  <c r="E227" i="13"/>
  <c r="E228" i="13"/>
  <c r="E229" i="13"/>
  <c r="E230" i="13"/>
  <c r="E231" i="13"/>
  <c r="E232" i="13"/>
  <c r="E85" i="13"/>
  <c r="E233" i="13"/>
  <c r="E234" i="13"/>
  <c r="E13" i="13"/>
  <c r="D53" i="19"/>
  <c r="E53" i="19"/>
  <c r="F53" i="19"/>
  <c r="G53" i="19"/>
  <c r="H53" i="19"/>
  <c r="G59" i="19"/>
  <c r="F59" i="19"/>
  <c r="E59" i="19"/>
  <c r="D59" i="19"/>
  <c r="D57" i="20"/>
  <c r="E57" i="20"/>
  <c r="F57" i="20"/>
  <c r="G57" i="20"/>
  <c r="H57" i="20"/>
  <c r="D28" i="22"/>
  <c r="C28" i="22"/>
  <c r="D28" i="21"/>
  <c r="C28" i="21"/>
  <c r="D28" i="18"/>
  <c r="C28" i="18"/>
  <c r="D53" i="22"/>
  <c r="E53" i="22"/>
  <c r="F53" i="22"/>
  <c r="G53" i="22"/>
  <c r="H53" i="22"/>
  <c r="H55" i="22"/>
  <c r="D5" i="22"/>
  <c r="H56" i="22"/>
  <c r="H57" i="22"/>
  <c r="D6" i="22"/>
  <c r="D7" i="22"/>
  <c r="E5" i="22"/>
  <c r="F5" i="22"/>
  <c r="E6" i="22"/>
  <c r="F6" i="22"/>
  <c r="F7" i="22"/>
  <c r="B35" i="22"/>
  <c r="D12" i="22"/>
  <c r="D13" i="22"/>
  <c r="D14" i="22"/>
  <c r="E12" i="22"/>
  <c r="F12" i="22"/>
  <c r="E13" i="22"/>
  <c r="F13" i="22"/>
  <c r="F14" i="22"/>
  <c r="B36" i="22"/>
  <c r="D19" i="22"/>
  <c r="E19" i="22"/>
  <c r="D20" i="22"/>
  <c r="E20" i="22"/>
  <c r="H57" i="25"/>
  <c r="H58" i="25"/>
  <c r="D6" i="25"/>
  <c r="D7" i="25"/>
  <c r="E5" i="25"/>
  <c r="F5" i="25"/>
  <c r="E6" i="25"/>
  <c r="F6" i="25"/>
  <c r="F7" i="25"/>
  <c r="B35" i="25"/>
  <c r="D12" i="25"/>
  <c r="D13" i="25"/>
  <c r="D14" i="25"/>
  <c r="E12" i="25"/>
  <c r="F12" i="25"/>
  <c r="E13" i="25"/>
  <c r="F13" i="25"/>
  <c r="F14" i="25"/>
  <c r="B36" i="25"/>
  <c r="D19" i="25"/>
  <c r="E19" i="25"/>
  <c r="F19" i="25"/>
  <c r="D20" i="25"/>
  <c r="E20" i="25"/>
  <c r="F20" i="25"/>
  <c r="F21" i="25"/>
  <c r="B37" i="25"/>
  <c r="D28" i="25"/>
  <c r="C28" i="25"/>
  <c r="E28" i="25"/>
  <c r="F28" i="25"/>
  <c r="B38" i="25"/>
  <c r="D53" i="18"/>
  <c r="E53" i="18"/>
  <c r="F53" i="18"/>
  <c r="G53" i="18"/>
  <c r="H53" i="18"/>
  <c r="D53" i="23"/>
  <c r="E53" i="23"/>
  <c r="F53" i="23"/>
  <c r="G53" i="23"/>
  <c r="H53" i="23"/>
  <c r="H55" i="23"/>
  <c r="D5" i="23"/>
  <c r="H56" i="23"/>
  <c r="D6" i="23"/>
  <c r="D7" i="23"/>
  <c r="E5" i="23"/>
  <c r="F5" i="23"/>
  <c r="E6" i="23"/>
  <c r="F6" i="23"/>
  <c r="F7" i="23"/>
  <c r="B35" i="23"/>
  <c r="D12" i="23"/>
  <c r="D13" i="23"/>
  <c r="D14" i="23"/>
  <c r="E12" i="23"/>
  <c r="F12" i="23"/>
  <c r="E13" i="23"/>
  <c r="F13" i="23"/>
  <c r="F14" i="23"/>
  <c r="B36" i="23"/>
  <c r="D19" i="23"/>
  <c r="E19" i="23"/>
  <c r="D20" i="23"/>
  <c r="E20" i="23"/>
  <c r="D28" i="23"/>
  <c r="C28" i="23"/>
  <c r="E28" i="23"/>
  <c r="F28" i="23"/>
  <c r="B38" i="23"/>
  <c r="D28" i="20"/>
  <c r="C28" i="20"/>
  <c r="D26" i="19"/>
  <c r="C26" i="19"/>
  <c r="D53" i="24"/>
  <c r="E53" i="24"/>
  <c r="F53" i="24"/>
  <c r="G53" i="24"/>
  <c r="H53" i="24"/>
  <c r="H55" i="24"/>
  <c r="D5" i="24"/>
  <c r="H56" i="24"/>
  <c r="D6" i="24"/>
  <c r="D7" i="24"/>
  <c r="E5" i="24"/>
  <c r="F5" i="24"/>
  <c r="E6" i="24"/>
  <c r="F6" i="24"/>
  <c r="F7" i="24"/>
  <c r="B35" i="24"/>
  <c r="D12" i="24"/>
  <c r="D13" i="24"/>
  <c r="D14" i="24"/>
  <c r="E12" i="24"/>
  <c r="F12" i="24"/>
  <c r="E13" i="24"/>
  <c r="F13" i="24"/>
  <c r="F14" i="24"/>
  <c r="B36" i="24"/>
  <c r="D19" i="24"/>
  <c r="E19" i="24"/>
  <c r="D20" i="24"/>
  <c r="E20" i="24"/>
  <c r="D28" i="24"/>
  <c r="C28" i="24"/>
  <c r="E28" i="24"/>
  <c r="F28" i="24"/>
  <c r="C40" i="25"/>
  <c r="C40" i="23"/>
  <c r="C40" i="21"/>
  <c r="C40" i="19"/>
  <c r="E23" i="20"/>
  <c r="E16" i="20"/>
  <c r="E8" i="20"/>
  <c r="D21" i="25"/>
  <c r="E21" i="25"/>
  <c r="E14" i="25"/>
  <c r="E7" i="25"/>
  <c r="D21" i="24"/>
  <c r="E21" i="24"/>
  <c r="E14" i="24"/>
  <c r="E7" i="24"/>
  <c r="D21" i="23"/>
  <c r="E21" i="23"/>
  <c r="E14" i="23"/>
  <c r="E7" i="23"/>
  <c r="D21" i="22"/>
  <c r="E21" i="22"/>
  <c r="E14" i="22"/>
  <c r="E7" i="22"/>
  <c r="E21" i="21"/>
  <c r="E14" i="21"/>
  <c r="E7" i="21"/>
  <c r="G58" i="25"/>
  <c r="F58" i="25"/>
  <c r="E58" i="25"/>
  <c r="D58" i="25"/>
  <c r="G57" i="25"/>
  <c r="F57" i="25"/>
  <c r="E57" i="25"/>
  <c r="D57" i="25"/>
  <c r="G56" i="25"/>
  <c r="F56" i="25"/>
  <c r="E56" i="25"/>
  <c r="D56" i="25"/>
  <c r="G56" i="24"/>
  <c r="F56" i="24"/>
  <c r="E56" i="24"/>
  <c r="D56" i="24"/>
  <c r="G55" i="24"/>
  <c r="F55" i="24"/>
  <c r="E55" i="24"/>
  <c r="D55" i="24"/>
  <c r="G56" i="23"/>
  <c r="F56" i="23"/>
  <c r="E56" i="23"/>
  <c r="D56" i="23"/>
  <c r="G55" i="23"/>
  <c r="F55" i="23"/>
  <c r="E55" i="23"/>
  <c r="D55" i="23"/>
  <c r="G57" i="22"/>
  <c r="F57" i="22"/>
  <c r="E57" i="22"/>
  <c r="D57" i="22"/>
  <c r="G56" i="22"/>
  <c r="F56" i="22"/>
  <c r="E56" i="22"/>
  <c r="D56" i="22"/>
  <c r="G55" i="22"/>
  <c r="F55" i="22"/>
  <c r="E55" i="22"/>
  <c r="D55" i="22"/>
  <c r="G57" i="21"/>
  <c r="F57" i="21"/>
  <c r="E57" i="21"/>
  <c r="D57" i="21"/>
  <c r="G56" i="21"/>
  <c r="F56" i="21"/>
  <c r="E56" i="21"/>
  <c r="D56" i="21"/>
  <c r="G55" i="21"/>
  <c r="F55" i="21"/>
  <c r="E55" i="21"/>
  <c r="D55" i="21"/>
  <c r="H63" i="20"/>
  <c r="G63" i="20"/>
  <c r="F63" i="20"/>
  <c r="E63" i="20"/>
  <c r="D63" i="20"/>
  <c r="G62" i="20"/>
  <c r="F62" i="20"/>
  <c r="E62" i="20"/>
  <c r="D62" i="20"/>
  <c r="G61" i="20"/>
  <c r="F61" i="20"/>
  <c r="E61" i="20"/>
  <c r="D61" i="20"/>
  <c r="G60" i="20"/>
  <c r="F60" i="20"/>
  <c r="E60" i="20"/>
  <c r="D60" i="20"/>
  <c r="G59" i="20"/>
  <c r="F59" i="20"/>
  <c r="E59" i="20"/>
  <c r="D59" i="20"/>
  <c r="H58" i="19"/>
  <c r="G58" i="19"/>
  <c r="F58" i="19"/>
  <c r="E58" i="19"/>
  <c r="D58" i="19"/>
  <c r="H57" i="19"/>
  <c r="G57" i="19"/>
  <c r="F57" i="19"/>
  <c r="E57" i="19"/>
  <c r="D57" i="19"/>
  <c r="G56" i="19"/>
  <c r="F56" i="19"/>
  <c r="E56" i="19"/>
  <c r="D56" i="19"/>
  <c r="G55" i="19"/>
  <c r="F55" i="19"/>
  <c r="E55" i="19"/>
  <c r="D55" i="19"/>
  <c r="G58" i="18"/>
  <c r="F58" i="18"/>
  <c r="E58" i="18"/>
  <c r="D58" i="18"/>
  <c r="G57" i="18"/>
  <c r="F57" i="18"/>
  <c r="E57" i="18"/>
  <c r="D57" i="18"/>
  <c r="G56" i="18"/>
  <c r="F56" i="18"/>
  <c r="E56" i="18"/>
  <c r="D56" i="18"/>
  <c r="G55" i="18"/>
  <c r="F55" i="18"/>
  <c r="E55" i="18"/>
  <c r="D55" i="18"/>
  <c r="E21" i="19"/>
  <c r="E14" i="19"/>
  <c r="E7" i="19"/>
  <c r="E21" i="18"/>
  <c r="E14" i="18"/>
  <c r="E7" i="18"/>
  <c r="A12" i="25"/>
  <c r="A13" i="25"/>
  <c r="A19" i="25"/>
  <c r="A20" i="25"/>
  <c r="F22" i="25"/>
  <c r="A26" i="25"/>
  <c r="G26" i="25"/>
  <c r="H26" i="25"/>
  <c r="A27" i="25"/>
  <c r="G27" i="25"/>
  <c r="H27" i="25"/>
  <c r="G28" i="25"/>
  <c r="H28" i="25"/>
  <c r="I28" i="25"/>
  <c r="D36" i="25"/>
  <c r="D38" i="25"/>
  <c r="A46" i="25"/>
  <c r="A47" i="25"/>
  <c r="A12" i="24"/>
  <c r="A13" i="24"/>
  <c r="A19" i="24"/>
  <c r="A20" i="24"/>
  <c r="A26" i="24"/>
  <c r="G26" i="24"/>
  <c r="H26" i="24"/>
  <c r="A27" i="24"/>
  <c r="G27" i="24"/>
  <c r="H27" i="24"/>
  <c r="G28" i="24"/>
  <c r="H28" i="24"/>
  <c r="I28" i="24"/>
  <c r="D35" i="24"/>
  <c r="D36" i="24"/>
  <c r="D39" i="24"/>
  <c r="A46" i="24"/>
  <c r="A47" i="24"/>
  <c r="A12" i="23"/>
  <c r="A13" i="23"/>
  <c r="A19" i="23"/>
  <c r="A20" i="23"/>
  <c r="A26" i="23"/>
  <c r="G26" i="23"/>
  <c r="H26" i="23"/>
  <c r="A27" i="23"/>
  <c r="G27" i="23"/>
  <c r="H27" i="23"/>
  <c r="G28" i="23"/>
  <c r="H28" i="23"/>
  <c r="I28" i="23"/>
  <c r="D35" i="23"/>
  <c r="D38" i="23"/>
  <c r="D39" i="23"/>
  <c r="A46" i="23"/>
  <c r="A47" i="23"/>
  <c r="A12" i="22"/>
  <c r="A13" i="22"/>
  <c r="A19" i="22"/>
  <c r="A20" i="22"/>
  <c r="A26" i="22"/>
  <c r="G26" i="22"/>
  <c r="H26" i="22"/>
  <c r="A27" i="22"/>
  <c r="G27" i="22"/>
  <c r="H27" i="22"/>
  <c r="E28" i="22"/>
  <c r="F28" i="22"/>
  <c r="G28" i="22"/>
  <c r="H28" i="22"/>
  <c r="I28" i="22"/>
  <c r="D36" i="22"/>
  <c r="B38" i="22"/>
  <c r="D38" i="22"/>
  <c r="D39" i="22"/>
  <c r="A46" i="22"/>
  <c r="A47" i="22"/>
  <c r="G26" i="21"/>
  <c r="H26" i="21"/>
  <c r="G27" i="21"/>
  <c r="H27" i="21"/>
  <c r="E28" i="21"/>
  <c r="F28" i="21"/>
  <c r="G28" i="21"/>
  <c r="H28" i="21"/>
  <c r="D35" i="21"/>
  <c r="D36" i="21"/>
  <c r="D39" i="21"/>
  <c r="E28" i="20"/>
  <c r="G28" i="20"/>
  <c r="G29" i="20"/>
  <c r="G30" i="20"/>
  <c r="H28" i="20"/>
  <c r="I28" i="20"/>
  <c r="H29" i="20"/>
  <c r="H30" i="20"/>
  <c r="I30" i="20"/>
  <c r="D37" i="20"/>
  <c r="D40" i="20"/>
  <c r="D41" i="20"/>
  <c r="A48" i="20"/>
  <c r="B48" i="20"/>
  <c r="D84" i="20"/>
  <c r="C84" i="20"/>
  <c r="A49" i="20"/>
  <c r="B49" i="20"/>
  <c r="B72" i="20"/>
  <c r="E84" i="20"/>
  <c r="G6" i="19"/>
  <c r="G13" i="19"/>
  <c r="E26" i="19"/>
  <c r="G26" i="19"/>
  <c r="G27" i="19"/>
  <c r="G28" i="19"/>
  <c r="H26" i="19"/>
  <c r="I26" i="19"/>
  <c r="H27" i="19"/>
  <c r="H28" i="19"/>
  <c r="I28" i="19"/>
  <c r="D35" i="19"/>
  <c r="D36" i="19"/>
  <c r="D39" i="19"/>
  <c r="A46" i="19"/>
  <c r="B46" i="19"/>
  <c r="D79" i="19"/>
  <c r="C79" i="19"/>
  <c r="C80" i="19"/>
  <c r="A47" i="19"/>
  <c r="B47" i="19"/>
  <c r="B67" i="19"/>
  <c r="E79" i="19"/>
  <c r="A80" i="19"/>
  <c r="B80" i="19"/>
  <c r="E80" i="19"/>
  <c r="G26" i="18"/>
  <c r="G27" i="18"/>
  <c r="G28" i="18"/>
  <c r="H26" i="18"/>
  <c r="H27" i="18"/>
  <c r="E28" i="18"/>
  <c r="F28" i="18"/>
  <c r="H28" i="18"/>
  <c r="D36" i="18"/>
  <c r="D13" i="12"/>
  <c r="E11" i="12"/>
  <c r="C3" i="12"/>
  <c r="B3" i="12"/>
  <c r="B5" i="12"/>
  <c r="C5" i="12"/>
  <c r="O154" i="6"/>
  <c r="O153" i="6"/>
  <c r="O4" i="6"/>
  <c r="O5" i="6"/>
  <c r="O6" i="6"/>
  <c r="O7" i="6"/>
  <c r="O8" i="6"/>
  <c r="O9" i="6"/>
  <c r="O10" i="6"/>
  <c r="O11" i="6"/>
  <c r="O12" i="6"/>
  <c r="O13" i="6"/>
  <c r="O14" i="6"/>
  <c r="O16" i="6"/>
  <c r="O17" i="6"/>
  <c r="O18" i="6"/>
  <c r="O19" i="6"/>
  <c r="O20" i="6"/>
  <c r="O21" i="6"/>
  <c r="O22" i="6"/>
  <c r="O23" i="6"/>
  <c r="O24" i="6"/>
  <c r="O25" i="6"/>
  <c r="O26" i="6"/>
  <c r="O28" i="6"/>
  <c r="O29" i="6"/>
  <c r="O30" i="6"/>
  <c r="O31" i="6"/>
  <c r="O32" i="6"/>
  <c r="O33" i="6"/>
  <c r="O34" i="6"/>
  <c r="O35" i="6"/>
  <c r="O36" i="6"/>
  <c r="O37" i="6"/>
  <c r="O39" i="6"/>
  <c r="O40" i="6"/>
  <c r="O41" i="6"/>
  <c r="O42" i="6"/>
  <c r="O43" i="6"/>
  <c r="O44" i="6"/>
  <c r="O45" i="6"/>
  <c r="O47" i="6"/>
  <c r="O48" i="6"/>
  <c r="O49" i="6"/>
  <c r="O50" i="6"/>
  <c r="O51" i="6"/>
  <c r="O52" i="6"/>
  <c r="O53" i="6"/>
  <c r="O54" i="6"/>
  <c r="O56" i="6"/>
  <c r="O57" i="6"/>
  <c r="O59" i="6"/>
  <c r="O60" i="6"/>
  <c r="O61" i="6"/>
  <c r="O62" i="6"/>
  <c r="O63" i="6"/>
  <c r="O64" i="6"/>
  <c r="O65" i="6"/>
  <c r="O66" i="6"/>
  <c r="O68" i="6"/>
  <c r="O70" i="6"/>
  <c r="O71" i="6"/>
  <c r="O75" i="6"/>
  <c r="O76" i="6"/>
  <c r="O77" i="6"/>
  <c r="O78" i="6"/>
  <c r="O79" i="6"/>
  <c r="O81" i="6"/>
  <c r="O83" i="6"/>
  <c r="O85" i="6"/>
  <c r="O86" i="6"/>
  <c r="O87" i="6"/>
  <c r="O88" i="6"/>
  <c r="O89" i="6"/>
  <c r="O90" i="6"/>
  <c r="O91" i="6"/>
  <c r="O93" i="6"/>
  <c r="O94" i="6"/>
  <c r="O95" i="6"/>
  <c r="O96" i="6"/>
  <c r="O97" i="6"/>
  <c r="O98" i="6"/>
  <c r="O99" i="6"/>
  <c r="O100" i="6"/>
  <c r="O101" i="6"/>
  <c r="O103" i="6"/>
  <c r="O104" i="6"/>
  <c r="O105" i="6"/>
  <c r="O106" i="6"/>
  <c r="O108" i="6"/>
  <c r="O110" i="6"/>
  <c r="O111" i="6"/>
  <c r="O112" i="6"/>
  <c r="O113" i="6"/>
  <c r="O114" i="6"/>
  <c r="O115" i="6"/>
  <c r="O116" i="6"/>
  <c r="O117" i="6"/>
  <c r="O118" i="6"/>
  <c r="O119" i="6"/>
  <c r="O120" i="6"/>
  <c r="O122" i="6"/>
  <c r="O123" i="6"/>
  <c r="O125" i="6"/>
  <c r="O126" i="6"/>
  <c r="O127" i="6"/>
  <c r="O129" i="6"/>
  <c r="O130" i="6"/>
  <c r="O131" i="6"/>
  <c r="O132" i="6"/>
  <c r="O133" i="6"/>
  <c r="O135" i="6"/>
  <c r="O136" i="6"/>
  <c r="O139" i="6"/>
  <c r="O140" i="6"/>
  <c r="O141" i="6"/>
  <c r="O142" i="6"/>
  <c r="O143" i="6"/>
  <c r="O144" i="6"/>
  <c r="O146" i="6"/>
  <c r="O147" i="6"/>
  <c r="O148" i="6"/>
  <c r="O149" i="6"/>
  <c r="O150" i="6"/>
  <c r="O152" i="6"/>
  <c r="O3" i="6"/>
  <c r="F125" i="8"/>
  <c r="G125" i="8"/>
  <c r="F147" i="8"/>
  <c r="G147" i="8"/>
  <c r="D17" i="12"/>
  <c r="C17" i="12"/>
  <c r="G17" i="12"/>
  <c r="H16" i="12"/>
  <c r="H15" i="12"/>
  <c r="C13" i="12"/>
  <c r="I13" i="12"/>
  <c r="J13" i="12"/>
  <c r="G13" i="12"/>
  <c r="E12" i="12"/>
  <c r="H12" i="12"/>
  <c r="H11" i="12"/>
  <c r="E16" i="12"/>
  <c r="E15" i="12"/>
  <c r="I17" i="12"/>
  <c r="J17" i="12"/>
  <c r="Q112" i="6"/>
  <c r="R112" i="6"/>
  <c r="Q99" i="6"/>
  <c r="R99" i="6"/>
  <c r="Q119" i="6"/>
  <c r="R119" i="6"/>
  <c r="Q71" i="6"/>
  <c r="R71" i="6"/>
  <c r="Q30" i="6"/>
  <c r="R30" i="6"/>
  <c r="Q49" i="6"/>
  <c r="R49" i="6"/>
  <c r="Q44" i="6"/>
  <c r="R44" i="6"/>
  <c r="Q143" i="6"/>
  <c r="R143" i="6"/>
  <c r="Q126" i="6"/>
  <c r="R126" i="6"/>
  <c r="Q24" i="6"/>
  <c r="R24" i="6"/>
  <c r="Q68" i="6"/>
  <c r="R68" i="6"/>
  <c r="Q152" i="6"/>
  <c r="R152" i="6"/>
  <c r="Q148" i="6"/>
  <c r="R148" i="6"/>
  <c r="Q76" i="6"/>
  <c r="R76" i="6"/>
  <c r="Q39" i="6"/>
  <c r="R39" i="6"/>
  <c r="Q14" i="6"/>
  <c r="R14" i="6"/>
  <c r="Q81" i="6"/>
  <c r="R81" i="6"/>
  <c r="Q133" i="6"/>
  <c r="R133" i="6"/>
  <c r="Q96" i="6"/>
  <c r="R96" i="6"/>
  <c r="Q111" i="6"/>
  <c r="R111" i="6"/>
  <c r="Q146" i="6"/>
  <c r="R146" i="6"/>
  <c r="Q104" i="6"/>
  <c r="R104" i="6"/>
  <c r="Q36" i="6"/>
  <c r="R36" i="6"/>
  <c r="Q8" i="6"/>
  <c r="R8" i="6"/>
  <c r="Q18" i="6"/>
  <c r="R18" i="6"/>
  <c r="Q87" i="6"/>
  <c r="R87" i="6"/>
  <c r="Q42" i="6"/>
  <c r="R42" i="6"/>
  <c r="Q31" i="6"/>
  <c r="R31" i="6"/>
  <c r="Q103" i="6"/>
  <c r="R103" i="6"/>
  <c r="Q105" i="6"/>
  <c r="R105" i="6"/>
  <c r="Q20" i="6"/>
  <c r="R20" i="6"/>
  <c r="Q115" i="6"/>
  <c r="R115" i="6"/>
  <c r="Q140" i="6"/>
  <c r="R140" i="6"/>
  <c r="Q66" i="6"/>
  <c r="R66" i="6"/>
  <c r="Q6" i="6"/>
  <c r="R6" i="6"/>
  <c r="Q106" i="6"/>
  <c r="R106" i="6"/>
  <c r="Q40" i="6"/>
  <c r="R40" i="6"/>
  <c r="Q144" i="6"/>
  <c r="R144" i="6"/>
  <c r="Q5" i="6"/>
  <c r="R5" i="6"/>
  <c r="Q89" i="6"/>
  <c r="R89" i="6"/>
  <c r="Q29" i="6"/>
  <c r="R29" i="6"/>
  <c r="Q88" i="6"/>
  <c r="R88" i="6"/>
  <c r="Q11" i="6"/>
  <c r="R11" i="6"/>
  <c r="Q142" i="6"/>
  <c r="R142" i="6"/>
  <c r="Q3" i="6"/>
  <c r="Q136" i="6"/>
  <c r="R136" i="6"/>
  <c r="Q120" i="6"/>
  <c r="R120" i="6"/>
  <c r="Q101" i="6"/>
  <c r="R101" i="6"/>
  <c r="Q153" i="6"/>
  <c r="R153" i="6"/>
  <c r="Q93" i="6"/>
  <c r="R93" i="6"/>
  <c r="Q132" i="6"/>
  <c r="R132" i="6"/>
  <c r="Q43" i="6"/>
  <c r="R43" i="6"/>
  <c r="Q127" i="6"/>
  <c r="R127" i="6"/>
  <c r="Q141" i="6"/>
  <c r="R141" i="6"/>
  <c r="Q52" i="6"/>
  <c r="R52" i="6"/>
  <c r="Q85" i="6"/>
  <c r="R85" i="6"/>
  <c r="Q57" i="6"/>
  <c r="R57" i="6"/>
  <c r="Q94" i="6"/>
  <c r="R94" i="6"/>
  <c r="Q26" i="6"/>
  <c r="R26" i="6"/>
  <c r="Q149" i="6"/>
  <c r="R149" i="6"/>
  <c r="Q116" i="6"/>
  <c r="R116" i="6"/>
  <c r="Q70" i="6"/>
  <c r="R70" i="6"/>
  <c r="Q22" i="6"/>
  <c r="R22" i="6"/>
  <c r="Q95" i="6"/>
  <c r="R95" i="6"/>
  <c r="Q125" i="6"/>
  <c r="R125" i="6"/>
  <c r="Q118" i="6"/>
  <c r="R118" i="6"/>
  <c r="Q86" i="6"/>
  <c r="R86" i="6"/>
  <c r="Q129" i="6"/>
  <c r="R129" i="6"/>
  <c r="Q51" i="6"/>
  <c r="R51" i="6"/>
  <c r="Q54" i="6"/>
  <c r="R54" i="6"/>
  <c r="Q62" i="6"/>
  <c r="R62" i="6"/>
  <c r="Q50" i="6"/>
  <c r="R50" i="6"/>
  <c r="Q131" i="6"/>
  <c r="R131" i="6"/>
  <c r="Q90" i="6"/>
  <c r="R90" i="6"/>
  <c r="Q77" i="6"/>
  <c r="R77" i="6"/>
  <c r="Q110" i="6"/>
  <c r="R110" i="6"/>
  <c r="Q61" i="6"/>
  <c r="R61" i="6"/>
  <c r="Q19" i="6"/>
  <c r="R19" i="6"/>
  <c r="Q41" i="6"/>
  <c r="R41" i="6"/>
  <c r="Q60" i="6"/>
  <c r="R60" i="6"/>
  <c r="Q75" i="6"/>
  <c r="R75" i="6"/>
  <c r="Q48" i="6"/>
  <c r="R48" i="6"/>
  <c r="Q21" i="6"/>
  <c r="R21" i="6"/>
  <c r="Q4" i="6"/>
  <c r="R4" i="6"/>
  <c r="Q79" i="6"/>
  <c r="R79" i="6"/>
  <c r="Q17" i="6"/>
  <c r="R17" i="6"/>
  <c r="Q45" i="6"/>
  <c r="R45" i="6"/>
  <c r="Q78" i="6"/>
  <c r="R78" i="6"/>
  <c r="Q114" i="6"/>
  <c r="R114" i="6"/>
  <c r="Q10" i="6"/>
  <c r="R10" i="6"/>
  <c r="Q16" i="6"/>
  <c r="R16" i="6"/>
  <c r="Q154" i="6"/>
  <c r="R154" i="6"/>
  <c r="Q108" i="6"/>
  <c r="R108" i="6"/>
  <c r="Q33" i="6"/>
  <c r="R33" i="6"/>
  <c r="Q34" i="6"/>
  <c r="R34" i="6"/>
  <c r="Q32" i="6"/>
  <c r="R32" i="6"/>
  <c r="Q23" i="6"/>
  <c r="R23" i="6"/>
  <c r="Q139" i="6"/>
  <c r="R139" i="6"/>
  <c r="Q100" i="6"/>
  <c r="R100" i="6"/>
  <c r="Q28" i="6"/>
  <c r="R28" i="6"/>
  <c r="Q12" i="6"/>
  <c r="R12" i="6"/>
  <c r="Q117" i="6"/>
  <c r="R117" i="6"/>
  <c r="Q91" i="6"/>
  <c r="R91" i="6"/>
  <c r="Q97" i="6"/>
  <c r="R97" i="6"/>
  <c r="Q113" i="6"/>
  <c r="R113" i="6"/>
  <c r="Q147" i="6"/>
  <c r="R147" i="6"/>
  <c r="Q64" i="6"/>
  <c r="R64" i="6"/>
  <c r="Q59" i="6"/>
  <c r="R59" i="6"/>
  <c r="Q83" i="6"/>
  <c r="R83" i="6"/>
  <c r="Q150" i="6"/>
  <c r="R150" i="6"/>
  <c r="Q56" i="6"/>
  <c r="R56" i="6"/>
  <c r="Q130" i="6"/>
  <c r="R130" i="6"/>
  <c r="Q9" i="6"/>
  <c r="R9" i="6"/>
  <c r="Q7" i="6"/>
  <c r="R7" i="6"/>
  <c r="Q98" i="6"/>
  <c r="R98" i="6"/>
  <c r="Q63" i="6"/>
  <c r="R63" i="6"/>
  <c r="Q47" i="6"/>
  <c r="R47" i="6"/>
  <c r="Q37" i="6"/>
  <c r="R37" i="6"/>
  <c r="Q123" i="6"/>
  <c r="R123" i="6"/>
  <c r="Q53" i="6"/>
  <c r="R53" i="6"/>
  <c r="Q35" i="6"/>
  <c r="R35" i="6"/>
  <c r="Q25" i="6"/>
  <c r="R25" i="6"/>
  <c r="Q65" i="6"/>
  <c r="R65" i="6"/>
  <c r="Q135" i="6"/>
  <c r="R135" i="6"/>
  <c r="Q13" i="6"/>
  <c r="R13" i="6"/>
  <c r="F19" i="23"/>
  <c r="F20" i="23"/>
  <c r="F21" i="23"/>
  <c r="B37" i="23"/>
  <c r="F19" i="24"/>
  <c r="F20" i="24"/>
  <c r="F21" i="24"/>
  <c r="B37" i="24"/>
  <c r="F19" i="22"/>
  <c r="F20" i="22"/>
  <c r="F21" i="22"/>
  <c r="B37" i="22"/>
  <c r="F22" i="18"/>
  <c r="D37" i="19"/>
  <c r="F22" i="19"/>
  <c r="D39" i="20"/>
  <c r="F24" i="20"/>
  <c r="F22" i="21"/>
  <c r="D37" i="22"/>
  <c r="F22" i="22"/>
  <c r="D37" i="23"/>
  <c r="F22" i="23"/>
  <c r="D37" i="24"/>
  <c r="F22" i="24"/>
  <c r="G268" i="13"/>
  <c r="I28" i="21"/>
  <c r="B38" i="21"/>
  <c r="D38" i="21"/>
  <c r="I28" i="18"/>
  <c r="B38" i="18"/>
  <c r="D38" i="18"/>
  <c r="D42" i="20"/>
  <c r="D40" i="18"/>
  <c r="D40" i="24"/>
  <c r="D40" i="22"/>
  <c r="E38" i="38" l="1"/>
  <c r="E34" i="36"/>
  <c r="E43" i="35"/>
  <c r="D40" i="23"/>
  <c r="D40" i="25"/>
  <c r="D35" i="18"/>
  <c r="D38" i="20"/>
  <c r="D35" i="22"/>
  <c r="E35" i="39"/>
  <c r="I192" i="5"/>
  <c r="D220" i="1" s="1"/>
  <c r="I188" i="5"/>
  <c r="D215" i="1" s="1"/>
  <c r="I190" i="5"/>
  <c r="D217" i="1" s="1"/>
  <c r="P18" i="1"/>
  <c r="Q18" i="1"/>
  <c r="Q22" i="1"/>
  <c r="P22" i="1"/>
  <c r="Q131" i="1"/>
  <c r="P131" i="1"/>
  <c r="Q251" i="1"/>
  <c r="P251" i="1"/>
  <c r="Q82" i="1"/>
  <c r="P82" i="1"/>
  <c r="P155" i="1"/>
  <c r="Q155" i="1"/>
  <c r="Q180" i="1"/>
  <c r="P180" i="1"/>
  <c r="P256" i="1"/>
  <c r="Q256" i="1"/>
  <c r="D3" i="12"/>
  <c r="E3" i="12" s="1"/>
  <c r="Q122" i="6" s="1"/>
  <c r="R122" i="6" s="1"/>
  <c r="D6" i="12"/>
  <c r="E6" i="12" s="1"/>
  <c r="J96" i="8" s="1"/>
  <c r="H25" i="5" s="1"/>
  <c r="I25" i="5" s="1"/>
  <c r="D27" i="1" s="1"/>
  <c r="D5" i="12"/>
  <c r="E5" i="12" s="1"/>
  <c r="D4" i="12"/>
  <c r="E4" i="12" s="1"/>
  <c r="J231" i="8" s="1"/>
  <c r="H101" i="5" s="1"/>
  <c r="I101" i="5" s="1"/>
  <c r="E261" i="1" l="1"/>
  <c r="G261" i="1" s="1"/>
  <c r="H261" i="1" s="1"/>
  <c r="S256" i="1"/>
  <c r="T256" i="1" s="1"/>
  <c r="R256" i="1"/>
  <c r="S155" i="1"/>
  <c r="T155" i="1" s="1"/>
  <c r="R155" i="1"/>
  <c r="S18" i="1"/>
  <c r="T18" i="1" s="1"/>
  <c r="R18" i="1"/>
  <c r="S180" i="1"/>
  <c r="T180" i="1" s="1"/>
  <c r="R180" i="1"/>
  <c r="S82" i="1"/>
  <c r="T82" i="1" s="1"/>
  <c r="R82" i="1"/>
  <c r="S251" i="1"/>
  <c r="T251" i="1" s="1"/>
  <c r="R251" i="1"/>
  <c r="S131" i="1"/>
  <c r="T131" i="1" s="1"/>
  <c r="R131" i="1"/>
  <c r="R22" i="1"/>
  <c r="S22" i="1"/>
  <c r="T22" i="1" s="1"/>
  <c r="E246" i="1"/>
  <c r="K246" i="1" s="1"/>
  <c r="E248" i="1"/>
  <c r="G248" i="1" s="1"/>
  <c r="H248" i="1" s="1"/>
  <c r="E250" i="1"/>
  <c r="G250" i="1" s="1"/>
  <c r="H250" i="1" s="1"/>
  <c r="E253" i="1"/>
  <c r="G253" i="1" s="1"/>
  <c r="H253" i="1" s="1"/>
  <c r="E257" i="1"/>
  <c r="K257" i="1" s="1"/>
  <c r="E259" i="1"/>
  <c r="G259" i="1" s="1"/>
  <c r="H259" i="1" s="1"/>
  <c r="L9" i="28"/>
  <c r="N9" i="28" s="1"/>
  <c r="C7" i="27" s="1"/>
  <c r="N260" i="1" s="1"/>
  <c r="O260" i="1" s="1"/>
  <c r="P260" i="1" s="1"/>
  <c r="E245" i="1"/>
  <c r="G245" i="1" s="1"/>
  <c r="H245" i="1" s="1"/>
  <c r="E247" i="1"/>
  <c r="K247" i="1" s="1"/>
  <c r="E249" i="1"/>
  <c r="G249" i="1" s="1"/>
  <c r="H249" i="1" s="1"/>
  <c r="E252" i="1"/>
  <c r="K252" i="1" s="1"/>
  <c r="E254" i="1"/>
  <c r="G254" i="1" s="1"/>
  <c r="H254" i="1" s="1"/>
  <c r="E258" i="1"/>
  <c r="K258" i="1" s="1"/>
  <c r="L5" i="28"/>
  <c r="N5" i="28" s="1"/>
  <c r="C6" i="27" s="1"/>
  <c r="N255" i="1" s="1"/>
  <c r="O255" i="1" s="1"/>
  <c r="P255" i="1" s="1"/>
  <c r="E244" i="1"/>
  <c r="E242" i="1"/>
  <c r="E240" i="1"/>
  <c r="E238" i="1"/>
  <c r="E236" i="1"/>
  <c r="E233" i="1"/>
  <c r="E231" i="1"/>
  <c r="E229" i="1"/>
  <c r="E227" i="1"/>
  <c r="E226" i="1"/>
  <c r="E224" i="1"/>
  <c r="E222" i="1"/>
  <c r="E220" i="1"/>
  <c r="E218" i="1"/>
  <c r="E216" i="1"/>
  <c r="E214" i="1"/>
  <c r="E212" i="1"/>
  <c r="E210" i="1"/>
  <c r="E208" i="1"/>
  <c r="E206" i="1"/>
  <c r="E204" i="1"/>
  <c r="E199" i="1"/>
  <c r="E197" i="1"/>
  <c r="E195" i="1"/>
  <c r="E193" i="1"/>
  <c r="E189" i="1"/>
  <c r="E243" i="1"/>
  <c r="E241" i="1"/>
  <c r="E239" i="1"/>
  <c r="E237" i="1"/>
  <c r="E235" i="1"/>
  <c r="D3" i="1"/>
  <c r="E232" i="1"/>
  <c r="E230" i="1"/>
  <c r="E225" i="1"/>
  <c r="E223" i="1"/>
  <c r="E221" i="1"/>
  <c r="E219" i="1"/>
  <c r="E217" i="1"/>
  <c r="E215" i="1"/>
  <c r="E213" i="1"/>
  <c r="E211" i="1"/>
  <c r="E209" i="1"/>
  <c r="E207" i="1"/>
  <c r="E205" i="1"/>
  <c r="L13" i="28"/>
  <c r="N13" i="28" s="1"/>
  <c r="C5" i="27" s="1"/>
  <c r="N203" i="1" s="1"/>
  <c r="O203" i="1" s="1"/>
  <c r="E202" i="1"/>
  <c r="L20" i="28"/>
  <c r="N20" i="28" s="1"/>
  <c r="C8" i="27" s="1"/>
  <c r="N201" i="1" s="1"/>
  <c r="O201" i="1" s="1"/>
  <c r="E200" i="1"/>
  <c r="E198" i="1"/>
  <c r="E196" i="1"/>
  <c r="E194" i="1"/>
  <c r="L11" i="28"/>
  <c r="N11" i="28" s="1"/>
  <c r="C4" i="27" s="1"/>
  <c r="N192" i="1" s="1"/>
  <c r="O192" i="1" s="1"/>
  <c r="E191" i="1"/>
  <c r="E190" i="1"/>
  <c r="E188" i="1"/>
  <c r="E187" i="1"/>
  <c r="E185" i="1"/>
  <c r="E184" i="1"/>
  <c r="E183" i="1"/>
  <c r="E177" i="1"/>
  <c r="E174" i="1"/>
  <c r="E172" i="1"/>
  <c r="E170" i="1"/>
  <c r="E169" i="1"/>
  <c r="E168" i="1"/>
  <c r="E163" i="1"/>
  <c r="E162" i="1"/>
  <c r="E161" i="1"/>
  <c r="E160" i="1"/>
  <c r="E154" i="1"/>
  <c r="E153" i="1"/>
  <c r="E148" i="1"/>
  <c r="E146" i="1"/>
  <c r="E144" i="1"/>
  <c r="E142" i="1"/>
  <c r="E140" i="1"/>
  <c r="E138" i="1"/>
  <c r="E136" i="1"/>
  <c r="E134" i="1"/>
  <c r="E132" i="1"/>
  <c r="E129" i="1"/>
  <c r="E127" i="1"/>
  <c r="E125" i="1"/>
  <c r="E123" i="1"/>
  <c r="E186" i="1"/>
  <c r="E182" i="1"/>
  <c r="E181" i="1"/>
  <c r="E179" i="1"/>
  <c r="E178" i="1"/>
  <c r="E175" i="1"/>
  <c r="E173" i="1"/>
  <c r="E167" i="1"/>
  <c r="E166" i="1"/>
  <c r="E165" i="1"/>
  <c r="E164" i="1"/>
  <c r="E159" i="1"/>
  <c r="E158" i="1"/>
  <c r="E157" i="1"/>
  <c r="E152" i="1"/>
  <c r="E151" i="1"/>
  <c r="E150" i="1"/>
  <c r="E149" i="1"/>
  <c r="E147" i="1"/>
  <c r="E145" i="1"/>
  <c r="E143" i="1"/>
  <c r="E141" i="1"/>
  <c r="E139" i="1"/>
  <c r="E137" i="1"/>
  <c r="E135" i="1"/>
  <c r="E133" i="1"/>
  <c r="E130" i="1"/>
  <c r="E128" i="1"/>
  <c r="E126" i="1"/>
  <c r="E124" i="1"/>
  <c r="E121" i="1"/>
  <c r="E117" i="1"/>
  <c r="E116" i="1"/>
  <c r="E114" i="1"/>
  <c r="E109" i="1"/>
  <c r="E107" i="1"/>
  <c r="E106" i="1"/>
  <c r="E103" i="1"/>
  <c r="E102" i="1"/>
  <c r="E99" i="1"/>
  <c r="E97" i="1"/>
  <c r="E96" i="1"/>
  <c r="E93" i="1"/>
  <c r="E92" i="1"/>
  <c r="E89" i="1"/>
  <c r="E88" i="1"/>
  <c r="E86" i="1"/>
  <c r="E84" i="1"/>
  <c r="E81" i="1"/>
  <c r="E77" i="1"/>
  <c r="E75" i="1"/>
  <c r="E73" i="1"/>
  <c r="E71" i="1"/>
  <c r="E69" i="1"/>
  <c r="E67" i="1"/>
  <c r="E65" i="1"/>
  <c r="E63" i="1"/>
  <c r="E61" i="1"/>
  <c r="E59" i="1"/>
  <c r="E56" i="1"/>
  <c r="E54" i="1"/>
  <c r="E52" i="1"/>
  <c r="E50" i="1"/>
  <c r="E48" i="1"/>
  <c r="E45" i="1"/>
  <c r="E43" i="1"/>
  <c r="E41" i="1"/>
  <c r="E39" i="1"/>
  <c r="E37" i="1"/>
  <c r="E35" i="1"/>
  <c r="E33" i="1"/>
  <c r="E31" i="1"/>
  <c r="E29" i="1"/>
  <c r="E26" i="1"/>
  <c r="E24" i="1"/>
  <c r="E21" i="1"/>
  <c r="L6" i="28"/>
  <c r="N6" i="28" s="1"/>
  <c r="C2" i="27" s="1"/>
  <c r="N19" i="1" s="1"/>
  <c r="O19" i="1" s="1"/>
  <c r="E16" i="1"/>
  <c r="E15" i="1"/>
  <c r="E12" i="1"/>
  <c r="E11" i="1"/>
  <c r="E8" i="1"/>
  <c r="E7" i="1"/>
  <c r="E228" i="1"/>
  <c r="E176" i="1"/>
  <c r="D122" i="1"/>
  <c r="E122" i="1" s="1"/>
  <c r="E120" i="1"/>
  <c r="E118" i="1"/>
  <c r="E115" i="1"/>
  <c r="E113" i="1"/>
  <c r="E111" i="1"/>
  <c r="E110" i="1"/>
  <c r="E108" i="1"/>
  <c r="E105" i="1"/>
  <c r="E101" i="1"/>
  <c r="E100" i="1"/>
  <c r="E98" i="1"/>
  <c r="E95" i="1"/>
  <c r="E94" i="1"/>
  <c r="E91" i="1"/>
  <c r="E90" i="1"/>
  <c r="E87" i="1"/>
  <c r="E85" i="1"/>
  <c r="E83" i="1"/>
  <c r="E80" i="1"/>
  <c r="L15" i="28"/>
  <c r="N15" i="28" s="1"/>
  <c r="C3" i="27" s="1"/>
  <c r="N79" i="1" s="1"/>
  <c r="O79" i="1" s="1"/>
  <c r="E78" i="1"/>
  <c r="E74" i="1"/>
  <c r="E72" i="1"/>
  <c r="E70" i="1"/>
  <c r="E68" i="1"/>
  <c r="E66" i="1"/>
  <c r="E64" i="1"/>
  <c r="E62" i="1"/>
  <c r="E60" i="1"/>
  <c r="E58" i="1"/>
  <c r="E55" i="1"/>
  <c r="E53" i="1"/>
  <c r="E51" i="1"/>
  <c r="E49" i="1"/>
  <c r="E47" i="1"/>
  <c r="E46" i="1"/>
  <c r="E44" i="1"/>
  <c r="E42" i="1"/>
  <c r="E40" i="1"/>
  <c r="E38" i="1"/>
  <c r="E36" i="1"/>
  <c r="E34" i="1"/>
  <c r="E32" i="1"/>
  <c r="E30" i="1"/>
  <c r="E28" i="1"/>
  <c r="E25" i="1"/>
  <c r="E23" i="1"/>
  <c r="E20" i="1"/>
  <c r="E17" i="1"/>
  <c r="E14" i="1"/>
  <c r="E13" i="1"/>
  <c r="E10" i="1"/>
  <c r="E9" i="1"/>
  <c r="E234" i="1"/>
  <c r="E171" i="1"/>
  <c r="E57" i="1"/>
  <c r="E203" i="1"/>
  <c r="E79" i="1"/>
  <c r="E260" i="1"/>
  <c r="G260" i="1" s="1"/>
  <c r="H260" i="1" s="1"/>
  <c r="E251" i="1"/>
  <c r="G251" i="1" s="1"/>
  <c r="H251" i="1" s="1"/>
  <c r="L7" i="28"/>
  <c r="E76" i="1"/>
  <c r="E156" i="1"/>
  <c r="E112" i="1"/>
  <c r="E104" i="1"/>
  <c r="E201" i="1"/>
  <c r="E82" i="1"/>
  <c r="G82" i="1" s="1"/>
  <c r="H82" i="1" s="1"/>
  <c r="E256" i="1"/>
  <c r="G256" i="1" s="1"/>
  <c r="H256" i="1" s="1"/>
  <c r="E192" i="1"/>
  <c r="G192" i="1" s="1"/>
  <c r="H192" i="1" s="1"/>
  <c r="E180" i="1"/>
  <c r="G180" i="1" s="1"/>
  <c r="H180" i="1" s="1"/>
  <c r="E155" i="1"/>
  <c r="G155" i="1" s="1"/>
  <c r="H155" i="1" s="1"/>
  <c r="E131" i="1"/>
  <c r="G131" i="1" s="1"/>
  <c r="H131" i="1" s="1"/>
  <c r="E18" i="1"/>
  <c r="G18" i="1" s="1"/>
  <c r="H18" i="1" s="1"/>
  <c r="E22" i="1"/>
  <c r="G22" i="1" s="1"/>
  <c r="H22" i="1" s="1"/>
  <c r="L8" i="28"/>
  <c r="E27" i="1"/>
  <c r="G258" i="1"/>
  <c r="H258" i="1" s="1"/>
  <c r="G257" i="1"/>
  <c r="H257" i="1" s="1"/>
  <c r="G246" i="1" l="1"/>
  <c r="H246" i="1" s="1"/>
  <c r="L246" i="1" s="1"/>
  <c r="M246" i="1" s="1"/>
  <c r="N246" i="1" s="1"/>
  <c r="O246" i="1" s="1"/>
  <c r="G247" i="1"/>
  <c r="H247" i="1" s="1"/>
  <c r="K261" i="1"/>
  <c r="L261" i="1" s="1"/>
  <c r="M261" i="1" s="1"/>
  <c r="N261" i="1" s="1"/>
  <c r="O261" i="1" s="1"/>
  <c r="Q261" i="1" s="1"/>
  <c r="K250" i="1"/>
  <c r="L250" i="1" s="1"/>
  <c r="M250" i="1" s="1"/>
  <c r="N250" i="1" s="1"/>
  <c r="O250" i="1" s="1"/>
  <c r="Q250" i="1" s="1"/>
  <c r="Q260" i="1"/>
  <c r="S260" i="1" s="1"/>
  <c r="D37" i="15" s="1"/>
  <c r="H252" i="1"/>
  <c r="L252" i="1" s="1"/>
  <c r="M252" i="1" s="1"/>
  <c r="N252" i="1" s="1"/>
  <c r="O252" i="1" s="1"/>
  <c r="P252" i="1" s="1"/>
  <c r="K245" i="1"/>
  <c r="L245" i="1" s="1"/>
  <c r="M245" i="1" s="1"/>
  <c r="N245" i="1" s="1"/>
  <c r="O245" i="1" s="1"/>
  <c r="K248" i="1"/>
  <c r="L248" i="1" s="1"/>
  <c r="M248" i="1" s="1"/>
  <c r="N248" i="1" s="1"/>
  <c r="O248" i="1" s="1"/>
  <c r="P248" i="1" s="1"/>
  <c r="K259" i="1"/>
  <c r="L259" i="1" s="1"/>
  <c r="M259" i="1" s="1"/>
  <c r="N259" i="1" s="1"/>
  <c r="O259" i="1" s="1"/>
  <c r="P259" i="1" s="1"/>
  <c r="Q255" i="1"/>
  <c r="R255" i="1" s="1"/>
  <c r="K253" i="1"/>
  <c r="L253" i="1" s="1"/>
  <c r="M253" i="1" s="1"/>
  <c r="N253" i="1" s="1"/>
  <c r="O253" i="1" s="1"/>
  <c r="K254" i="1"/>
  <c r="L254" i="1" s="1"/>
  <c r="M254" i="1" s="1"/>
  <c r="N254" i="1" s="1"/>
  <c r="O254" i="1" s="1"/>
  <c r="K249" i="1"/>
  <c r="L249" i="1" s="1"/>
  <c r="M249" i="1" s="1"/>
  <c r="N249" i="1" s="1"/>
  <c r="O249" i="1" s="1"/>
  <c r="L257" i="1"/>
  <c r="M257" i="1" s="1"/>
  <c r="N257" i="1" s="1"/>
  <c r="O257" i="1" s="1"/>
  <c r="Q257" i="1" s="1"/>
  <c r="L258" i="1"/>
  <c r="M258" i="1" s="1"/>
  <c r="N258" i="1" s="1"/>
  <c r="O258" i="1" s="1"/>
  <c r="Q258" i="1" s="1"/>
  <c r="L247" i="1"/>
  <c r="M247" i="1" s="1"/>
  <c r="N247" i="1" s="1"/>
  <c r="O247" i="1" s="1"/>
  <c r="Q247" i="1" s="1"/>
  <c r="K104" i="1"/>
  <c r="G104" i="1"/>
  <c r="H104" i="1" s="1"/>
  <c r="K156" i="1"/>
  <c r="G156" i="1"/>
  <c r="H156" i="1" s="1"/>
  <c r="G203" i="1"/>
  <c r="H203" i="1" s="1"/>
  <c r="K203" i="1"/>
  <c r="K171" i="1"/>
  <c r="G171" i="1"/>
  <c r="H171" i="1" s="1"/>
  <c r="K9" i="1"/>
  <c r="G9" i="1"/>
  <c r="H9" i="1" s="1"/>
  <c r="K13" i="1"/>
  <c r="G13" i="1"/>
  <c r="H13" i="1" s="1"/>
  <c r="K17" i="1"/>
  <c r="G17" i="1"/>
  <c r="H17" i="1" s="1"/>
  <c r="K23" i="1"/>
  <c r="G23" i="1"/>
  <c r="H23" i="1" s="1"/>
  <c r="K28" i="1"/>
  <c r="G28" i="1"/>
  <c r="H28" i="1" s="1"/>
  <c r="K32" i="1"/>
  <c r="G32" i="1"/>
  <c r="H32" i="1" s="1"/>
  <c r="K36" i="1"/>
  <c r="G36" i="1"/>
  <c r="H36" i="1" s="1"/>
  <c r="K40" i="1"/>
  <c r="G40" i="1"/>
  <c r="H40" i="1" s="1"/>
  <c r="K44" i="1"/>
  <c r="H44" i="1"/>
  <c r="K47" i="1"/>
  <c r="G47" i="1"/>
  <c r="H47" i="1" s="1"/>
  <c r="K51" i="1"/>
  <c r="G51" i="1"/>
  <c r="H51" i="1" s="1"/>
  <c r="K55" i="1"/>
  <c r="G55" i="1"/>
  <c r="H55" i="1" s="1"/>
  <c r="K60" i="1"/>
  <c r="G60" i="1"/>
  <c r="H60" i="1" s="1"/>
  <c r="K64" i="1"/>
  <c r="G64" i="1"/>
  <c r="H64" i="1" s="1"/>
  <c r="K68" i="1"/>
  <c r="G68" i="1"/>
  <c r="H68" i="1" s="1"/>
  <c r="K72" i="1"/>
  <c r="G72" i="1"/>
  <c r="H72" i="1" s="1"/>
  <c r="K78" i="1"/>
  <c r="G78" i="1"/>
  <c r="H78" i="1" s="1"/>
  <c r="K80" i="1"/>
  <c r="G80" i="1"/>
  <c r="H80" i="1" s="1"/>
  <c r="K85" i="1"/>
  <c r="G85" i="1"/>
  <c r="H85" i="1" s="1"/>
  <c r="H90" i="1"/>
  <c r="K90" i="1"/>
  <c r="H94" i="1"/>
  <c r="K94" i="1"/>
  <c r="K98" i="1"/>
  <c r="G98" i="1"/>
  <c r="H98" i="1" s="1"/>
  <c r="K101" i="1"/>
  <c r="G101" i="1"/>
  <c r="H101" i="1" s="1"/>
  <c r="K108" i="1"/>
  <c r="G108" i="1"/>
  <c r="H108" i="1" s="1"/>
  <c r="K111" i="1"/>
  <c r="G111" i="1"/>
  <c r="H111" i="1" s="1"/>
  <c r="H115" i="1"/>
  <c r="K115" i="1"/>
  <c r="K120" i="1"/>
  <c r="G120" i="1"/>
  <c r="H120" i="1" s="1"/>
  <c r="G176" i="1"/>
  <c r="H176" i="1" s="1"/>
  <c r="K176" i="1"/>
  <c r="K7" i="1"/>
  <c r="G7" i="1"/>
  <c r="H7" i="1" s="1"/>
  <c r="K11" i="1"/>
  <c r="G11" i="1"/>
  <c r="H11" i="1" s="1"/>
  <c r="K15" i="1"/>
  <c r="G15" i="1"/>
  <c r="H15" i="1" s="1"/>
  <c r="Q19" i="1"/>
  <c r="P19" i="1"/>
  <c r="G24" i="1"/>
  <c r="H24" i="1" s="1"/>
  <c r="K24" i="1"/>
  <c r="G29" i="1"/>
  <c r="H29" i="1" s="1"/>
  <c r="K29" i="1"/>
  <c r="K33" i="1"/>
  <c r="H33" i="1"/>
  <c r="G37" i="1"/>
  <c r="H37" i="1" s="1"/>
  <c r="K37" i="1"/>
  <c r="K41" i="1"/>
  <c r="H41" i="1"/>
  <c r="G45" i="1"/>
  <c r="H45" i="1" s="1"/>
  <c r="K45" i="1"/>
  <c r="K50" i="1"/>
  <c r="G50" i="1"/>
  <c r="H50" i="1" s="1"/>
  <c r="K54" i="1"/>
  <c r="G54" i="1"/>
  <c r="H54" i="1" s="1"/>
  <c r="K59" i="1"/>
  <c r="H59" i="1"/>
  <c r="K63" i="1"/>
  <c r="G63" i="1"/>
  <c r="H63" i="1" s="1"/>
  <c r="K67" i="1"/>
  <c r="G67" i="1"/>
  <c r="H67" i="1" s="1"/>
  <c r="K71" i="1"/>
  <c r="G71" i="1"/>
  <c r="H71" i="1" s="1"/>
  <c r="K75" i="1"/>
  <c r="G75" i="1"/>
  <c r="H75" i="1" s="1"/>
  <c r="G81" i="1"/>
  <c r="H81" i="1" s="1"/>
  <c r="K81" i="1"/>
  <c r="G86" i="1"/>
  <c r="H86" i="1" s="1"/>
  <c r="K86" i="1"/>
  <c r="K89" i="1"/>
  <c r="G89" i="1"/>
  <c r="H89" i="1" s="1"/>
  <c r="K93" i="1"/>
  <c r="G93" i="1"/>
  <c r="H93" i="1" s="1"/>
  <c r="K97" i="1"/>
  <c r="G97" i="1"/>
  <c r="H97" i="1" s="1"/>
  <c r="K102" i="1"/>
  <c r="H102" i="1"/>
  <c r="K106" i="1"/>
  <c r="G106" i="1"/>
  <c r="H106" i="1" s="1"/>
  <c r="H109" i="1"/>
  <c r="K109" i="1"/>
  <c r="K116" i="1"/>
  <c r="G116" i="1"/>
  <c r="H116" i="1" s="1"/>
  <c r="G121" i="1"/>
  <c r="H121" i="1" s="1"/>
  <c r="K121" i="1"/>
  <c r="K126" i="1"/>
  <c r="G126" i="1"/>
  <c r="H126" i="1" s="1"/>
  <c r="K130" i="1"/>
  <c r="G130" i="1"/>
  <c r="H130" i="1" s="1"/>
  <c r="K135" i="1"/>
  <c r="G135" i="1"/>
  <c r="H135" i="1" s="1"/>
  <c r="K139" i="1"/>
  <c r="G139" i="1"/>
  <c r="H139" i="1" s="1"/>
  <c r="K143" i="1"/>
  <c r="G143" i="1"/>
  <c r="H143" i="1" s="1"/>
  <c r="K147" i="1"/>
  <c r="G147" i="1"/>
  <c r="H147" i="1" s="1"/>
  <c r="K150" i="1"/>
  <c r="G150" i="1"/>
  <c r="H150" i="1" s="1"/>
  <c r="G152" i="1"/>
  <c r="H152" i="1" s="1"/>
  <c r="K152" i="1"/>
  <c r="K158" i="1"/>
  <c r="G158" i="1"/>
  <c r="H158" i="1" s="1"/>
  <c r="K164" i="1"/>
  <c r="G164" i="1"/>
  <c r="H164" i="1" s="1"/>
  <c r="K166" i="1"/>
  <c r="G166" i="1"/>
  <c r="H166" i="1" s="1"/>
  <c r="K173" i="1"/>
  <c r="G173" i="1"/>
  <c r="H173" i="1" s="1"/>
  <c r="K178" i="1"/>
  <c r="G178" i="1"/>
  <c r="H178" i="1" s="1"/>
  <c r="K181" i="1"/>
  <c r="G181" i="1"/>
  <c r="H181" i="1" s="1"/>
  <c r="K186" i="1"/>
  <c r="H186" i="1"/>
  <c r="G125" i="1"/>
  <c r="H125" i="1" s="1"/>
  <c r="K125" i="1"/>
  <c r="G129" i="1"/>
  <c r="H129" i="1" s="1"/>
  <c r="K129" i="1"/>
  <c r="K134" i="1"/>
  <c r="H134" i="1"/>
  <c r="G138" i="1"/>
  <c r="H138" i="1" s="1"/>
  <c r="K138" i="1"/>
  <c r="G142" i="1"/>
  <c r="H142" i="1" s="1"/>
  <c r="K142" i="1"/>
  <c r="G146" i="1"/>
  <c r="H146" i="1" s="1"/>
  <c r="K146" i="1"/>
  <c r="K153" i="1"/>
  <c r="G153" i="1"/>
  <c r="H153" i="1" s="1"/>
  <c r="K160" i="1"/>
  <c r="G160" i="1"/>
  <c r="H160" i="1" s="1"/>
  <c r="K162" i="1"/>
  <c r="G162" i="1"/>
  <c r="H162" i="1" s="1"/>
  <c r="K168" i="1"/>
  <c r="G168" i="1"/>
  <c r="H168" i="1" s="1"/>
  <c r="K170" i="1"/>
  <c r="G170" i="1"/>
  <c r="H170" i="1" s="1"/>
  <c r="G174" i="1"/>
  <c r="H174" i="1" s="1"/>
  <c r="K174" i="1"/>
  <c r="K183" i="1"/>
  <c r="G183" i="1"/>
  <c r="H183" i="1" s="1"/>
  <c r="K185" i="1"/>
  <c r="G185" i="1"/>
  <c r="H185" i="1" s="1"/>
  <c r="K188" i="1"/>
  <c r="G188" i="1"/>
  <c r="H188" i="1" s="1"/>
  <c r="K191" i="1"/>
  <c r="G191" i="1"/>
  <c r="H191" i="1" s="1"/>
  <c r="K194" i="1"/>
  <c r="G194" i="1"/>
  <c r="H194" i="1" s="1"/>
  <c r="K198" i="1"/>
  <c r="G198" i="1"/>
  <c r="H198" i="1" s="1"/>
  <c r="Q201" i="1"/>
  <c r="P201" i="1"/>
  <c r="Q203" i="1"/>
  <c r="P203" i="1"/>
  <c r="K207" i="1"/>
  <c r="H207" i="1"/>
  <c r="K211" i="1"/>
  <c r="G211" i="1"/>
  <c r="H211" i="1" s="1"/>
  <c r="K215" i="1"/>
  <c r="G215" i="1"/>
  <c r="H215" i="1" s="1"/>
  <c r="K219" i="1"/>
  <c r="G219" i="1"/>
  <c r="H219" i="1" s="1"/>
  <c r="K223" i="1"/>
  <c r="G223" i="1"/>
  <c r="H223" i="1" s="1"/>
  <c r="K230" i="1"/>
  <c r="G230" i="1"/>
  <c r="H230" i="1" s="1"/>
  <c r="B44" i="20"/>
  <c r="B42" i="19"/>
  <c r="B42" i="25"/>
  <c r="B42" i="18"/>
  <c r="C45" i="35"/>
  <c r="F43" i="35" s="1"/>
  <c r="H48" i="35" s="1"/>
  <c r="C6" i="34" s="1"/>
  <c r="C13" i="27" s="1"/>
  <c r="O156" i="1" s="1"/>
  <c r="B42" i="23"/>
  <c r="C37" i="39"/>
  <c r="F35" i="39" s="1"/>
  <c r="H40" i="39" s="1"/>
  <c r="C18" i="34" s="1"/>
  <c r="C11" i="27" s="1"/>
  <c r="O104" i="1" s="1"/>
  <c r="B42" i="21"/>
  <c r="B42" i="22"/>
  <c r="C36" i="36"/>
  <c r="F34" i="36" s="1"/>
  <c r="H39" i="36" s="1"/>
  <c r="C12" i="34" s="1"/>
  <c r="C12" i="27" s="1"/>
  <c r="O112" i="1" s="1"/>
  <c r="C40" i="38"/>
  <c r="F38" i="38" s="1"/>
  <c r="H43" i="38" s="1"/>
  <c r="C30" i="34" s="1"/>
  <c r="C10" i="27" s="1"/>
  <c r="O57" i="1" s="1"/>
  <c r="B42" i="24"/>
  <c r="C35" i="37"/>
  <c r="F33" i="37" s="1"/>
  <c r="H38" i="37" s="1"/>
  <c r="C24" i="34" s="1"/>
  <c r="K237" i="1"/>
  <c r="G237" i="1"/>
  <c r="H237" i="1" s="1"/>
  <c r="K241" i="1"/>
  <c r="G241" i="1"/>
  <c r="H241" i="1" s="1"/>
  <c r="K189" i="1"/>
  <c r="G189" i="1"/>
  <c r="H189" i="1" s="1"/>
  <c r="K195" i="1"/>
  <c r="G195" i="1"/>
  <c r="H195" i="1" s="1"/>
  <c r="G199" i="1"/>
  <c r="H199" i="1" s="1"/>
  <c r="K199" i="1"/>
  <c r="G206" i="1"/>
  <c r="H206" i="1" s="1"/>
  <c r="K206" i="1"/>
  <c r="G210" i="1"/>
  <c r="H210" i="1" s="1"/>
  <c r="K210" i="1"/>
  <c r="G214" i="1"/>
  <c r="H214" i="1" s="1"/>
  <c r="K214" i="1"/>
  <c r="G218" i="1"/>
  <c r="H218" i="1" s="1"/>
  <c r="K218" i="1"/>
  <c r="G222" i="1"/>
  <c r="H222" i="1" s="1"/>
  <c r="K222" i="1"/>
  <c r="G226" i="1"/>
  <c r="H226" i="1" s="1"/>
  <c r="K226" i="1"/>
  <c r="K229" i="1"/>
  <c r="G229" i="1"/>
  <c r="H229" i="1" s="1"/>
  <c r="K233" i="1"/>
  <c r="G233" i="1"/>
  <c r="H233" i="1" s="1"/>
  <c r="K238" i="1"/>
  <c r="G238" i="1"/>
  <c r="H238" i="1" s="1"/>
  <c r="K242" i="1"/>
  <c r="G242" i="1"/>
  <c r="H242" i="1" s="1"/>
  <c r="G27" i="1"/>
  <c r="H27" i="1" s="1"/>
  <c r="K27" i="1"/>
  <c r="K201" i="1"/>
  <c r="G201" i="1"/>
  <c r="H201" i="1" s="1"/>
  <c r="K112" i="1"/>
  <c r="G112" i="1"/>
  <c r="H112" i="1" s="1"/>
  <c r="K76" i="1"/>
  <c r="G76" i="1"/>
  <c r="H76" i="1" s="1"/>
  <c r="K79" i="1"/>
  <c r="H79" i="1"/>
  <c r="K57" i="1"/>
  <c r="G57" i="1"/>
  <c r="H57" i="1" s="1"/>
  <c r="K234" i="1"/>
  <c r="G234" i="1"/>
  <c r="H234" i="1" s="1"/>
  <c r="K10" i="1"/>
  <c r="G10" i="1"/>
  <c r="H10" i="1" s="1"/>
  <c r="K14" i="1"/>
  <c r="G14" i="1"/>
  <c r="H14" i="1" s="1"/>
  <c r="K20" i="1"/>
  <c r="G20" i="1"/>
  <c r="H20" i="1" s="1"/>
  <c r="K25" i="1"/>
  <c r="G25" i="1"/>
  <c r="H25" i="1" s="1"/>
  <c r="K30" i="1"/>
  <c r="G30" i="1"/>
  <c r="H30" i="1" s="1"/>
  <c r="K34" i="1"/>
  <c r="G34" i="1"/>
  <c r="H34" i="1" s="1"/>
  <c r="K38" i="1"/>
  <c r="G38" i="1"/>
  <c r="H38" i="1" s="1"/>
  <c r="K42" i="1"/>
  <c r="G42" i="1"/>
  <c r="H42" i="1" s="1"/>
  <c r="K46" i="1"/>
  <c r="G46" i="1"/>
  <c r="H46" i="1" s="1"/>
  <c r="K49" i="1"/>
  <c r="G49" i="1"/>
  <c r="H49" i="1" s="1"/>
  <c r="K53" i="1"/>
  <c r="G53" i="1"/>
  <c r="H53" i="1" s="1"/>
  <c r="K58" i="1"/>
  <c r="G58" i="1"/>
  <c r="H58" i="1" s="1"/>
  <c r="K62" i="1"/>
  <c r="G62" i="1"/>
  <c r="H62" i="1" s="1"/>
  <c r="K66" i="1"/>
  <c r="G66" i="1"/>
  <c r="H66" i="1" s="1"/>
  <c r="K70" i="1"/>
  <c r="G70" i="1"/>
  <c r="H70" i="1" s="1"/>
  <c r="K74" i="1"/>
  <c r="G74" i="1"/>
  <c r="H74" i="1" s="1"/>
  <c r="Q79" i="1"/>
  <c r="P79" i="1"/>
  <c r="K83" i="1"/>
  <c r="G83" i="1"/>
  <c r="H83" i="1" s="1"/>
  <c r="K87" i="1"/>
  <c r="G87" i="1"/>
  <c r="H87" i="1" s="1"/>
  <c r="K91" i="1"/>
  <c r="G91" i="1"/>
  <c r="H91" i="1" s="1"/>
  <c r="K95" i="1"/>
  <c r="G95" i="1"/>
  <c r="H95" i="1" s="1"/>
  <c r="K100" i="1"/>
  <c r="G100" i="1"/>
  <c r="H100" i="1" s="1"/>
  <c r="K105" i="1"/>
  <c r="G105" i="1"/>
  <c r="H105" i="1" s="1"/>
  <c r="K110" i="1"/>
  <c r="G110" i="1"/>
  <c r="H110" i="1" s="1"/>
  <c r="H113" i="1"/>
  <c r="K113" i="1"/>
  <c r="K118" i="1"/>
  <c r="G118" i="1"/>
  <c r="H118" i="1" s="1"/>
  <c r="G122" i="1"/>
  <c r="H122" i="1" s="1"/>
  <c r="K122" i="1"/>
  <c r="G228" i="1"/>
  <c r="H228" i="1" s="1"/>
  <c r="K228" i="1"/>
  <c r="K8" i="1"/>
  <c r="G8" i="1"/>
  <c r="H8" i="1" s="1"/>
  <c r="K12" i="1"/>
  <c r="G12" i="1"/>
  <c r="H12" i="1" s="1"/>
  <c r="K16" i="1"/>
  <c r="G16" i="1"/>
  <c r="H16" i="1" s="1"/>
  <c r="G21" i="1"/>
  <c r="H21" i="1" s="1"/>
  <c r="K21" i="1"/>
  <c r="K26" i="1"/>
  <c r="H26" i="1"/>
  <c r="G31" i="1"/>
  <c r="H31" i="1" s="1"/>
  <c r="K31" i="1"/>
  <c r="G35" i="1"/>
  <c r="H35" i="1" s="1"/>
  <c r="K35" i="1"/>
  <c r="G39" i="1"/>
  <c r="H39" i="1" s="1"/>
  <c r="K39" i="1"/>
  <c r="G43" i="1"/>
  <c r="H43" i="1" s="1"/>
  <c r="K43" i="1"/>
  <c r="K48" i="1"/>
  <c r="G48" i="1"/>
  <c r="H48" i="1" s="1"/>
  <c r="K52" i="1"/>
  <c r="G52" i="1"/>
  <c r="H52" i="1" s="1"/>
  <c r="K56" i="1"/>
  <c r="G56" i="1"/>
  <c r="H56" i="1" s="1"/>
  <c r="K61" i="1"/>
  <c r="G61" i="1"/>
  <c r="H61" i="1" s="1"/>
  <c r="K65" i="1"/>
  <c r="G65" i="1"/>
  <c r="H65" i="1" s="1"/>
  <c r="K69" i="1"/>
  <c r="G69" i="1"/>
  <c r="H69" i="1" s="1"/>
  <c r="K73" i="1"/>
  <c r="G73" i="1"/>
  <c r="H73" i="1" s="1"/>
  <c r="G77" i="1"/>
  <c r="H77" i="1" s="1"/>
  <c r="K77" i="1"/>
  <c r="G84" i="1"/>
  <c r="H84" i="1" s="1"/>
  <c r="K84" i="1"/>
  <c r="G88" i="1"/>
  <c r="H88" i="1" s="1"/>
  <c r="K88" i="1"/>
  <c r="K92" i="1"/>
  <c r="G92" i="1"/>
  <c r="H92" i="1" s="1"/>
  <c r="K96" i="1"/>
  <c r="G96" i="1"/>
  <c r="H96" i="1" s="1"/>
  <c r="H99" i="1"/>
  <c r="K99" i="1"/>
  <c r="K103" i="1"/>
  <c r="G103" i="1"/>
  <c r="H103" i="1" s="1"/>
  <c r="K107" i="1"/>
  <c r="G107" i="1"/>
  <c r="H107" i="1" s="1"/>
  <c r="K114" i="1"/>
  <c r="G114" i="1"/>
  <c r="H114" i="1" s="1"/>
  <c r="K117" i="1"/>
  <c r="G117" i="1"/>
  <c r="H117" i="1" s="1"/>
  <c r="K124" i="1"/>
  <c r="G124" i="1"/>
  <c r="H124" i="1" s="1"/>
  <c r="K128" i="1"/>
  <c r="G128" i="1"/>
  <c r="H128" i="1" s="1"/>
  <c r="K133" i="1"/>
  <c r="G133" i="1"/>
  <c r="H133" i="1" s="1"/>
  <c r="K137" i="1"/>
  <c r="G137" i="1"/>
  <c r="H137" i="1" s="1"/>
  <c r="K141" i="1"/>
  <c r="G141" i="1"/>
  <c r="H141" i="1" s="1"/>
  <c r="K145" i="1"/>
  <c r="G145" i="1"/>
  <c r="H145" i="1" s="1"/>
  <c r="K149" i="1"/>
  <c r="G149" i="1"/>
  <c r="H149" i="1" s="1"/>
  <c r="K151" i="1"/>
  <c r="G151" i="1"/>
  <c r="H151" i="1" s="1"/>
  <c r="K157" i="1"/>
  <c r="G157" i="1"/>
  <c r="H157" i="1" s="1"/>
  <c r="G159" i="1"/>
  <c r="H159" i="1" s="1"/>
  <c r="K159" i="1"/>
  <c r="K165" i="1"/>
  <c r="G165" i="1"/>
  <c r="H165" i="1" s="1"/>
  <c r="G167" i="1"/>
  <c r="H167" i="1" s="1"/>
  <c r="K167" i="1"/>
  <c r="K175" i="1"/>
  <c r="G175" i="1"/>
  <c r="H175" i="1" s="1"/>
  <c r="K179" i="1"/>
  <c r="G179" i="1"/>
  <c r="H179" i="1" s="1"/>
  <c r="G182" i="1"/>
  <c r="H182" i="1" s="1"/>
  <c r="K182" i="1"/>
  <c r="K123" i="1"/>
  <c r="G123" i="1"/>
  <c r="H123" i="1" s="1"/>
  <c r="G127" i="1"/>
  <c r="H127" i="1" s="1"/>
  <c r="K127" i="1"/>
  <c r="G132" i="1"/>
  <c r="H132" i="1" s="1"/>
  <c r="K132" i="1"/>
  <c r="G136" i="1"/>
  <c r="H136" i="1" s="1"/>
  <c r="K136" i="1"/>
  <c r="G140" i="1"/>
  <c r="H140" i="1" s="1"/>
  <c r="K140" i="1"/>
  <c r="G144" i="1"/>
  <c r="H144" i="1" s="1"/>
  <c r="K144" i="1"/>
  <c r="G148" i="1"/>
  <c r="H148" i="1" s="1"/>
  <c r="K148" i="1"/>
  <c r="K154" i="1"/>
  <c r="G154" i="1"/>
  <c r="H154" i="1" s="1"/>
  <c r="K161" i="1"/>
  <c r="G161" i="1"/>
  <c r="H161" i="1" s="1"/>
  <c r="G163" i="1"/>
  <c r="H163" i="1" s="1"/>
  <c r="K163" i="1"/>
  <c r="K169" i="1"/>
  <c r="G169" i="1"/>
  <c r="H169" i="1" s="1"/>
  <c r="G172" i="1"/>
  <c r="H172" i="1" s="1"/>
  <c r="K172" i="1"/>
  <c r="G177" i="1"/>
  <c r="H177" i="1" s="1"/>
  <c r="K177" i="1"/>
  <c r="K184" i="1"/>
  <c r="G184" i="1"/>
  <c r="H184" i="1" s="1"/>
  <c r="K187" i="1"/>
  <c r="H187" i="1"/>
  <c r="K190" i="1"/>
  <c r="G190" i="1"/>
  <c r="H190" i="1" s="1"/>
  <c r="Q192" i="1"/>
  <c r="P192" i="1"/>
  <c r="K196" i="1"/>
  <c r="G196" i="1"/>
  <c r="H196" i="1" s="1"/>
  <c r="K200" i="1"/>
  <c r="G200" i="1"/>
  <c r="H200" i="1" s="1"/>
  <c r="K202" i="1"/>
  <c r="G202" i="1"/>
  <c r="H202" i="1" s="1"/>
  <c r="K205" i="1"/>
  <c r="G205" i="1"/>
  <c r="H205" i="1" s="1"/>
  <c r="K209" i="1"/>
  <c r="G209" i="1"/>
  <c r="H209" i="1" s="1"/>
  <c r="K213" i="1"/>
  <c r="G213" i="1"/>
  <c r="H213" i="1" s="1"/>
  <c r="K217" i="1"/>
  <c r="G217" i="1"/>
  <c r="H217" i="1" s="1"/>
  <c r="K221" i="1"/>
  <c r="G221" i="1"/>
  <c r="H221" i="1" s="1"/>
  <c r="K225" i="1"/>
  <c r="G225" i="1"/>
  <c r="H225" i="1" s="1"/>
  <c r="K232" i="1"/>
  <c r="G232" i="1"/>
  <c r="H232" i="1" s="1"/>
  <c r="K235" i="1"/>
  <c r="G235" i="1"/>
  <c r="H235" i="1" s="1"/>
  <c r="K239" i="1"/>
  <c r="G239" i="1"/>
  <c r="H239" i="1" s="1"/>
  <c r="K243" i="1"/>
  <c r="G243" i="1"/>
  <c r="H243" i="1" s="1"/>
  <c r="K193" i="1"/>
  <c r="G193" i="1"/>
  <c r="H193" i="1" s="1"/>
  <c r="K197" i="1"/>
  <c r="G197" i="1"/>
  <c r="H197" i="1" s="1"/>
  <c r="G204" i="1"/>
  <c r="H204" i="1" s="1"/>
  <c r="K204" i="1"/>
  <c r="G208" i="1"/>
  <c r="H208" i="1" s="1"/>
  <c r="K208" i="1"/>
  <c r="G212" i="1"/>
  <c r="H212" i="1" s="1"/>
  <c r="K212" i="1"/>
  <c r="G216" i="1"/>
  <c r="H216" i="1" s="1"/>
  <c r="K216" i="1"/>
  <c r="G220" i="1"/>
  <c r="H220" i="1" s="1"/>
  <c r="K220" i="1"/>
  <c r="G224" i="1"/>
  <c r="H224" i="1" s="1"/>
  <c r="K224" i="1"/>
  <c r="G227" i="1"/>
  <c r="H227" i="1" s="1"/>
  <c r="K227" i="1"/>
  <c r="K231" i="1"/>
  <c r="H231" i="1"/>
  <c r="K236" i="1"/>
  <c r="G236" i="1"/>
  <c r="H236" i="1" s="1"/>
  <c r="K240" i="1"/>
  <c r="G240" i="1"/>
  <c r="H240" i="1" s="1"/>
  <c r="G244" i="1"/>
  <c r="H244" i="1" s="1"/>
  <c r="K244" i="1"/>
  <c r="S255" i="1"/>
  <c r="D4" i="15" s="1"/>
  <c r="Q246" i="1" l="1"/>
  <c r="P246" i="1"/>
  <c r="R260" i="1"/>
  <c r="P257" i="1"/>
  <c r="P261" i="1"/>
  <c r="Q252" i="1"/>
  <c r="R252" i="1" s="1"/>
  <c r="P253" i="1"/>
  <c r="Q253" i="1"/>
  <c r="S253" i="1" s="1"/>
  <c r="D28" i="15" s="1"/>
  <c r="P247" i="1"/>
  <c r="P258" i="1"/>
  <c r="Q248" i="1"/>
  <c r="S248" i="1" s="1"/>
  <c r="D66" i="15" s="1"/>
  <c r="Q259" i="1"/>
  <c r="R259" i="1" s="1"/>
  <c r="Q254" i="1"/>
  <c r="P254" i="1"/>
  <c r="P250" i="1"/>
  <c r="L133" i="1"/>
  <c r="M133" i="1" s="1"/>
  <c r="N133" i="1" s="1"/>
  <c r="O133" i="1" s="1"/>
  <c r="P133" i="1" s="1"/>
  <c r="L128" i="1"/>
  <c r="M128" i="1" s="1"/>
  <c r="N128" i="1" s="1"/>
  <c r="O128" i="1" s="1"/>
  <c r="L124" i="1"/>
  <c r="M124" i="1" s="1"/>
  <c r="N124" i="1" s="1"/>
  <c r="O124" i="1" s="1"/>
  <c r="Q124" i="1" s="1"/>
  <c r="L73" i="1"/>
  <c r="M73" i="1" s="1"/>
  <c r="N73" i="1" s="1"/>
  <c r="O73" i="1" s="1"/>
  <c r="P73" i="1" s="1"/>
  <c r="L69" i="1"/>
  <c r="M69" i="1" s="1"/>
  <c r="N69" i="1" s="1"/>
  <c r="O69" i="1" s="1"/>
  <c r="Q69" i="1" s="1"/>
  <c r="L65" i="1"/>
  <c r="M65" i="1" s="1"/>
  <c r="N65" i="1" s="1"/>
  <c r="O65" i="1" s="1"/>
  <c r="L61" i="1"/>
  <c r="M61" i="1" s="1"/>
  <c r="N61" i="1" s="1"/>
  <c r="O61" i="1" s="1"/>
  <c r="Q61" i="1" s="1"/>
  <c r="L56" i="1"/>
  <c r="M56" i="1" s="1"/>
  <c r="N56" i="1" s="1"/>
  <c r="O56" i="1" s="1"/>
  <c r="P56" i="1" s="1"/>
  <c r="L52" i="1"/>
  <c r="M52" i="1" s="1"/>
  <c r="N52" i="1" s="1"/>
  <c r="O52" i="1" s="1"/>
  <c r="Q52" i="1" s="1"/>
  <c r="L48" i="1"/>
  <c r="M48" i="1" s="1"/>
  <c r="N48" i="1" s="1"/>
  <c r="O48" i="1" s="1"/>
  <c r="L26" i="1"/>
  <c r="M26" i="1" s="1"/>
  <c r="N26" i="1" s="1"/>
  <c r="O26" i="1" s="1"/>
  <c r="P26" i="1" s="1"/>
  <c r="L87" i="1"/>
  <c r="M87" i="1" s="1"/>
  <c r="N87" i="1" s="1"/>
  <c r="O87" i="1" s="1"/>
  <c r="Q87" i="1" s="1"/>
  <c r="L83" i="1"/>
  <c r="M83" i="1" s="1"/>
  <c r="N83" i="1" s="1"/>
  <c r="O83" i="1" s="1"/>
  <c r="P83" i="1" s="1"/>
  <c r="L74" i="1"/>
  <c r="M74" i="1" s="1"/>
  <c r="N74" i="1" s="1"/>
  <c r="O74" i="1" s="1"/>
  <c r="L70" i="1"/>
  <c r="M70" i="1" s="1"/>
  <c r="N70" i="1" s="1"/>
  <c r="O70" i="1" s="1"/>
  <c r="Q70" i="1" s="1"/>
  <c r="L46" i="1"/>
  <c r="M46" i="1" s="1"/>
  <c r="N46" i="1" s="1"/>
  <c r="O46" i="1" s="1"/>
  <c r="Q46" i="1" s="1"/>
  <c r="R46" i="1" s="1"/>
  <c r="L42" i="1"/>
  <c r="M42" i="1" s="1"/>
  <c r="N42" i="1" s="1"/>
  <c r="O42" i="1" s="1"/>
  <c r="Q42" i="1" s="1"/>
  <c r="L38" i="1"/>
  <c r="M38" i="1" s="1"/>
  <c r="N38" i="1" s="1"/>
  <c r="O38" i="1" s="1"/>
  <c r="L34" i="1"/>
  <c r="M34" i="1" s="1"/>
  <c r="N34" i="1" s="1"/>
  <c r="O34" i="1" s="1"/>
  <c r="Q34" i="1" s="1"/>
  <c r="L30" i="1"/>
  <c r="M30" i="1" s="1"/>
  <c r="N30" i="1" s="1"/>
  <c r="O30" i="1" s="1"/>
  <c r="P30" i="1" s="1"/>
  <c r="L25" i="1"/>
  <c r="M25" i="1" s="1"/>
  <c r="N25" i="1" s="1"/>
  <c r="O25" i="1" s="1"/>
  <c r="Q25" i="1" s="1"/>
  <c r="L20" i="1"/>
  <c r="M20" i="1" s="1"/>
  <c r="N20" i="1" s="1"/>
  <c r="O20" i="1" s="1"/>
  <c r="L234" i="1"/>
  <c r="M234" i="1" s="1"/>
  <c r="N234" i="1" s="1"/>
  <c r="O234" i="1" s="1"/>
  <c r="P234" i="1" s="1"/>
  <c r="L79" i="1"/>
  <c r="M79" i="1" s="1"/>
  <c r="L166" i="1"/>
  <c r="M166" i="1" s="1"/>
  <c r="N166" i="1" s="1"/>
  <c r="O166" i="1" s="1"/>
  <c r="Q166" i="1" s="1"/>
  <c r="L164" i="1"/>
  <c r="M164" i="1" s="1"/>
  <c r="N164" i="1" s="1"/>
  <c r="O164" i="1" s="1"/>
  <c r="L158" i="1"/>
  <c r="M158" i="1" s="1"/>
  <c r="N158" i="1" s="1"/>
  <c r="O158" i="1" s="1"/>
  <c r="Q158" i="1" s="1"/>
  <c r="L152" i="1"/>
  <c r="M152" i="1" s="1"/>
  <c r="N152" i="1" s="1"/>
  <c r="O152" i="1" s="1"/>
  <c r="Q152" i="1" s="1"/>
  <c r="L121" i="1"/>
  <c r="M121" i="1" s="1"/>
  <c r="N121" i="1" s="1"/>
  <c r="O121" i="1" s="1"/>
  <c r="Q121" i="1" s="1"/>
  <c r="L116" i="1"/>
  <c r="M116" i="1" s="1"/>
  <c r="N116" i="1" s="1"/>
  <c r="O116" i="1" s="1"/>
  <c r="L109" i="1"/>
  <c r="M109" i="1" s="1"/>
  <c r="N109" i="1" s="1"/>
  <c r="O109" i="1" s="1"/>
  <c r="P109" i="1" s="1"/>
  <c r="L106" i="1"/>
  <c r="M106" i="1" s="1"/>
  <c r="N106" i="1" s="1"/>
  <c r="O106" i="1" s="1"/>
  <c r="Q106" i="1" s="1"/>
  <c r="L97" i="1"/>
  <c r="M97" i="1" s="1"/>
  <c r="N97" i="1" s="1"/>
  <c r="O97" i="1" s="1"/>
  <c r="P97" i="1" s="1"/>
  <c r="L93" i="1"/>
  <c r="M93" i="1" s="1"/>
  <c r="N93" i="1" s="1"/>
  <c r="O93" i="1" s="1"/>
  <c r="L89" i="1"/>
  <c r="M89" i="1" s="1"/>
  <c r="N89" i="1" s="1"/>
  <c r="O89" i="1" s="1"/>
  <c r="P89" i="1" s="1"/>
  <c r="L15" i="1"/>
  <c r="M15" i="1" s="1"/>
  <c r="N15" i="1" s="1"/>
  <c r="O15" i="1" s="1"/>
  <c r="P15" i="1" s="1"/>
  <c r="L11" i="1"/>
  <c r="M11" i="1" s="1"/>
  <c r="N11" i="1" s="1"/>
  <c r="O11" i="1" s="1"/>
  <c r="P11" i="1" s="1"/>
  <c r="L7" i="1"/>
  <c r="M7" i="1" s="1"/>
  <c r="N7" i="1" s="1"/>
  <c r="O7" i="1" s="1"/>
  <c r="L203" i="1"/>
  <c r="M203" i="1" s="1"/>
  <c r="L171" i="1"/>
  <c r="M171" i="1" s="1"/>
  <c r="N171" i="1" s="1"/>
  <c r="O171" i="1" s="1"/>
  <c r="P171" i="1" s="1"/>
  <c r="L240" i="1"/>
  <c r="M240" i="1" s="1"/>
  <c r="N240" i="1" s="1"/>
  <c r="O240" i="1" s="1"/>
  <c r="P240" i="1" s="1"/>
  <c r="L236" i="1"/>
  <c r="M236" i="1" s="1"/>
  <c r="N236" i="1" s="1"/>
  <c r="O236" i="1" s="1"/>
  <c r="Q236" i="1" s="1"/>
  <c r="L190" i="1"/>
  <c r="M190" i="1" s="1"/>
  <c r="N190" i="1" s="1"/>
  <c r="O190" i="1" s="1"/>
  <c r="P190" i="1" s="1"/>
  <c r="L187" i="1"/>
  <c r="M187" i="1" s="1"/>
  <c r="N187" i="1" s="1"/>
  <c r="O187" i="1" s="1"/>
  <c r="P187" i="1" s="1"/>
  <c r="L184" i="1"/>
  <c r="M184" i="1" s="1"/>
  <c r="N184" i="1" s="1"/>
  <c r="O184" i="1" s="1"/>
  <c r="L169" i="1"/>
  <c r="M169" i="1" s="1"/>
  <c r="N169" i="1" s="1"/>
  <c r="O169" i="1" s="1"/>
  <c r="P169" i="1" s="1"/>
  <c r="L161" i="1"/>
  <c r="M161" i="1" s="1"/>
  <c r="N161" i="1" s="1"/>
  <c r="O161" i="1" s="1"/>
  <c r="P161" i="1" s="1"/>
  <c r="L154" i="1"/>
  <c r="M154" i="1" s="1"/>
  <c r="N154" i="1" s="1"/>
  <c r="O154" i="1" s="1"/>
  <c r="P154" i="1" s="1"/>
  <c r="L123" i="1"/>
  <c r="M123" i="1" s="1"/>
  <c r="N123" i="1" s="1"/>
  <c r="O123" i="1" s="1"/>
  <c r="Q123" i="1" s="1"/>
  <c r="L179" i="1"/>
  <c r="M179" i="1" s="1"/>
  <c r="N179" i="1" s="1"/>
  <c r="O179" i="1" s="1"/>
  <c r="P179" i="1" s="1"/>
  <c r="L175" i="1"/>
  <c r="M175" i="1" s="1"/>
  <c r="N175" i="1" s="1"/>
  <c r="O175" i="1" s="1"/>
  <c r="Q175" i="1" s="1"/>
  <c r="L165" i="1"/>
  <c r="M165" i="1" s="1"/>
  <c r="N165" i="1" s="1"/>
  <c r="O165" i="1" s="1"/>
  <c r="P165" i="1" s="1"/>
  <c r="L157" i="1"/>
  <c r="M157" i="1" s="1"/>
  <c r="N157" i="1" s="1"/>
  <c r="O157" i="1" s="1"/>
  <c r="L145" i="1"/>
  <c r="M145" i="1" s="1"/>
  <c r="N145" i="1" s="1"/>
  <c r="O145" i="1" s="1"/>
  <c r="P145" i="1" s="1"/>
  <c r="L141" i="1"/>
  <c r="M141" i="1" s="1"/>
  <c r="N141" i="1" s="1"/>
  <c r="O141" i="1" s="1"/>
  <c r="P141" i="1" s="1"/>
  <c r="L137" i="1"/>
  <c r="M137" i="1" s="1"/>
  <c r="N137" i="1" s="1"/>
  <c r="O137" i="1" s="1"/>
  <c r="Q137" i="1" s="1"/>
  <c r="L231" i="1"/>
  <c r="M231" i="1" s="1"/>
  <c r="N231" i="1" s="1"/>
  <c r="O231" i="1" s="1"/>
  <c r="Q231" i="1" s="1"/>
  <c r="L227" i="1"/>
  <c r="M227" i="1" s="1"/>
  <c r="N227" i="1" s="1"/>
  <c r="O227" i="1" s="1"/>
  <c r="P227" i="1" s="1"/>
  <c r="L224" i="1"/>
  <c r="M224" i="1" s="1"/>
  <c r="N224" i="1" s="1"/>
  <c r="O224" i="1" s="1"/>
  <c r="Q224" i="1" s="1"/>
  <c r="L220" i="1"/>
  <c r="M220" i="1" s="1"/>
  <c r="N220" i="1" s="1"/>
  <c r="O220" i="1" s="1"/>
  <c r="Q220" i="1" s="1"/>
  <c r="L216" i="1"/>
  <c r="M216" i="1" s="1"/>
  <c r="N216" i="1" s="1"/>
  <c r="O216" i="1" s="1"/>
  <c r="P216" i="1" s="1"/>
  <c r="L212" i="1"/>
  <c r="M212" i="1" s="1"/>
  <c r="N212" i="1" s="1"/>
  <c r="O212" i="1" s="1"/>
  <c r="P212" i="1" s="1"/>
  <c r="L208" i="1"/>
  <c r="M208" i="1" s="1"/>
  <c r="N208" i="1" s="1"/>
  <c r="O208" i="1" s="1"/>
  <c r="P208" i="1" s="1"/>
  <c r="L204" i="1"/>
  <c r="M204" i="1" s="1"/>
  <c r="N204" i="1" s="1"/>
  <c r="O204" i="1" s="1"/>
  <c r="P204" i="1" s="1"/>
  <c r="L76" i="1"/>
  <c r="M76" i="1" s="1"/>
  <c r="N76" i="1" s="1"/>
  <c r="O76" i="1" s="1"/>
  <c r="P76" i="1" s="1"/>
  <c r="L27" i="1"/>
  <c r="M27" i="1" s="1"/>
  <c r="N27" i="1" s="1"/>
  <c r="O27" i="1" s="1"/>
  <c r="P27" i="1" s="1"/>
  <c r="L226" i="1"/>
  <c r="M226" i="1" s="1"/>
  <c r="N226" i="1" s="1"/>
  <c r="O226" i="1" s="1"/>
  <c r="Q226" i="1" s="1"/>
  <c r="L222" i="1"/>
  <c r="M222" i="1" s="1"/>
  <c r="N222" i="1" s="1"/>
  <c r="O222" i="1" s="1"/>
  <c r="Q222" i="1" s="1"/>
  <c r="L218" i="1"/>
  <c r="M218" i="1" s="1"/>
  <c r="N218" i="1" s="1"/>
  <c r="O218" i="1" s="1"/>
  <c r="Q218" i="1" s="1"/>
  <c r="L214" i="1"/>
  <c r="M214" i="1" s="1"/>
  <c r="N214" i="1" s="1"/>
  <c r="O214" i="1" s="1"/>
  <c r="Q214" i="1" s="1"/>
  <c r="L210" i="1"/>
  <c r="M210" i="1" s="1"/>
  <c r="N210" i="1" s="1"/>
  <c r="O210" i="1" s="1"/>
  <c r="Q210" i="1" s="1"/>
  <c r="L206" i="1"/>
  <c r="M206" i="1" s="1"/>
  <c r="N206" i="1" s="1"/>
  <c r="O206" i="1" s="1"/>
  <c r="Q206" i="1" s="1"/>
  <c r="L199" i="1"/>
  <c r="M199" i="1" s="1"/>
  <c r="N199" i="1" s="1"/>
  <c r="O199" i="1" s="1"/>
  <c r="Q199" i="1" s="1"/>
  <c r="L189" i="1"/>
  <c r="M189" i="1" s="1"/>
  <c r="N189" i="1" s="1"/>
  <c r="O189" i="1" s="1"/>
  <c r="P189" i="1" s="1"/>
  <c r="L230" i="1"/>
  <c r="M230" i="1" s="1"/>
  <c r="N230" i="1" s="1"/>
  <c r="O230" i="1" s="1"/>
  <c r="P230" i="1" s="1"/>
  <c r="L223" i="1"/>
  <c r="M223" i="1" s="1"/>
  <c r="N223" i="1" s="1"/>
  <c r="O223" i="1" s="1"/>
  <c r="Q223" i="1" s="1"/>
  <c r="L219" i="1"/>
  <c r="M219" i="1" s="1"/>
  <c r="N219" i="1" s="1"/>
  <c r="O219" i="1" s="1"/>
  <c r="Q219" i="1" s="1"/>
  <c r="L215" i="1"/>
  <c r="M215" i="1" s="1"/>
  <c r="N215" i="1" s="1"/>
  <c r="O215" i="1" s="1"/>
  <c r="Q215" i="1" s="1"/>
  <c r="L211" i="1"/>
  <c r="M211" i="1" s="1"/>
  <c r="N211" i="1" s="1"/>
  <c r="O211" i="1" s="1"/>
  <c r="P211" i="1" s="1"/>
  <c r="L207" i="1"/>
  <c r="M207" i="1" s="1"/>
  <c r="N207" i="1" s="1"/>
  <c r="O207" i="1" s="1"/>
  <c r="Q207" i="1" s="1"/>
  <c r="L198" i="1"/>
  <c r="M198" i="1" s="1"/>
  <c r="N198" i="1" s="1"/>
  <c r="O198" i="1" s="1"/>
  <c r="Q198" i="1" s="1"/>
  <c r="L194" i="1"/>
  <c r="M194" i="1" s="1"/>
  <c r="N194" i="1" s="1"/>
  <c r="H37" i="37" s="1"/>
  <c r="C23" i="34" s="1"/>
  <c r="L191" i="1"/>
  <c r="M191" i="1" s="1"/>
  <c r="N191" i="1" s="1"/>
  <c r="O191" i="1" s="1"/>
  <c r="Q191" i="1" s="1"/>
  <c r="L188" i="1"/>
  <c r="M188" i="1" s="1"/>
  <c r="N188" i="1" s="1"/>
  <c r="O188" i="1" s="1"/>
  <c r="L134" i="1"/>
  <c r="M134" i="1" s="1"/>
  <c r="N134" i="1" s="1"/>
  <c r="O134" i="1" s="1"/>
  <c r="Q134" i="1" s="1"/>
  <c r="L186" i="1"/>
  <c r="M186" i="1" s="1"/>
  <c r="N186" i="1" s="1"/>
  <c r="O186" i="1" s="1"/>
  <c r="L75" i="1"/>
  <c r="M75" i="1" s="1"/>
  <c r="N75" i="1" s="1"/>
  <c r="O75" i="1" s="1"/>
  <c r="Q75" i="1" s="1"/>
  <c r="L71" i="1"/>
  <c r="M71" i="1" s="1"/>
  <c r="N71" i="1" s="1"/>
  <c r="O71" i="1" s="1"/>
  <c r="Q71" i="1" s="1"/>
  <c r="L67" i="1"/>
  <c r="M67" i="1" s="1"/>
  <c r="N67" i="1" s="1"/>
  <c r="O67" i="1" s="1"/>
  <c r="P67" i="1" s="1"/>
  <c r="L63" i="1"/>
  <c r="M63" i="1" s="1"/>
  <c r="N63" i="1" s="1"/>
  <c r="O63" i="1" s="1"/>
  <c r="Q63" i="1" s="1"/>
  <c r="L54" i="1"/>
  <c r="M54" i="1" s="1"/>
  <c r="N54" i="1" s="1"/>
  <c r="O54" i="1" s="1"/>
  <c r="P54" i="1" s="1"/>
  <c r="L50" i="1"/>
  <c r="M50" i="1" s="1"/>
  <c r="N50" i="1" s="1"/>
  <c r="O50" i="1" s="1"/>
  <c r="Q50" i="1" s="1"/>
  <c r="L41" i="1"/>
  <c r="M41" i="1" s="1"/>
  <c r="N41" i="1" s="1"/>
  <c r="O41" i="1" s="1"/>
  <c r="P41" i="1" s="1"/>
  <c r="L33" i="1"/>
  <c r="M33" i="1" s="1"/>
  <c r="N33" i="1" s="1"/>
  <c r="O33" i="1" s="1"/>
  <c r="Q33" i="1" s="1"/>
  <c r="L120" i="1"/>
  <c r="M120" i="1" s="1"/>
  <c r="N120" i="1" s="1"/>
  <c r="O120" i="1" s="1"/>
  <c r="Q120" i="1" s="1"/>
  <c r="L85" i="1"/>
  <c r="M85" i="1" s="1"/>
  <c r="N85" i="1" s="1"/>
  <c r="O85" i="1" s="1"/>
  <c r="L80" i="1"/>
  <c r="M80" i="1" s="1"/>
  <c r="N80" i="1" s="1"/>
  <c r="O80" i="1" s="1"/>
  <c r="P80" i="1" s="1"/>
  <c r="L78" i="1"/>
  <c r="M78" i="1" s="1"/>
  <c r="N78" i="1" s="1"/>
  <c r="O78" i="1" s="1"/>
  <c r="P78" i="1" s="1"/>
  <c r="L72" i="1"/>
  <c r="M72" i="1" s="1"/>
  <c r="N72" i="1" s="1"/>
  <c r="O72" i="1" s="1"/>
  <c r="P72" i="1" s="1"/>
  <c r="L68" i="1"/>
  <c r="M68" i="1" s="1"/>
  <c r="N68" i="1" s="1"/>
  <c r="O68" i="1" s="1"/>
  <c r="Q68" i="1" s="1"/>
  <c r="L64" i="1"/>
  <c r="M64" i="1" s="1"/>
  <c r="N64" i="1" s="1"/>
  <c r="O64" i="1" s="1"/>
  <c r="P64" i="1" s="1"/>
  <c r="L60" i="1"/>
  <c r="M60" i="1" s="1"/>
  <c r="N60" i="1" s="1"/>
  <c r="O60" i="1" s="1"/>
  <c r="Q60" i="1" s="1"/>
  <c r="L55" i="1"/>
  <c r="M55" i="1" s="1"/>
  <c r="N55" i="1" s="1"/>
  <c r="O55" i="1" s="1"/>
  <c r="P55" i="1" s="1"/>
  <c r="L51" i="1"/>
  <c r="M51" i="1" s="1"/>
  <c r="N51" i="1" s="1"/>
  <c r="O51" i="1" s="1"/>
  <c r="Q51" i="1" s="1"/>
  <c r="L47" i="1"/>
  <c r="M47" i="1" s="1"/>
  <c r="N47" i="1" s="1"/>
  <c r="O47" i="1" s="1"/>
  <c r="P47" i="1" s="1"/>
  <c r="L44" i="1"/>
  <c r="M44" i="1" s="1"/>
  <c r="N44" i="1" s="1"/>
  <c r="O44" i="1" s="1"/>
  <c r="Q44" i="1" s="1"/>
  <c r="L40" i="1"/>
  <c r="M40" i="1" s="1"/>
  <c r="N40" i="1" s="1"/>
  <c r="O40" i="1" s="1"/>
  <c r="P40" i="1" s="1"/>
  <c r="L36" i="1"/>
  <c r="M36" i="1" s="1"/>
  <c r="N36" i="1" s="1"/>
  <c r="O36" i="1" s="1"/>
  <c r="Q36" i="1" s="1"/>
  <c r="L32" i="1"/>
  <c r="M32" i="1" s="1"/>
  <c r="N32" i="1" s="1"/>
  <c r="O32" i="1" s="1"/>
  <c r="P32" i="1" s="1"/>
  <c r="L28" i="1"/>
  <c r="M28" i="1" s="1"/>
  <c r="N28" i="1" s="1"/>
  <c r="O28" i="1" s="1"/>
  <c r="Q28" i="1" s="1"/>
  <c r="L23" i="1"/>
  <c r="M23" i="1" s="1"/>
  <c r="N23" i="1" s="1"/>
  <c r="O23" i="1" s="1"/>
  <c r="Q23" i="1" s="1"/>
  <c r="P65" i="1"/>
  <c r="Q65" i="1"/>
  <c r="P48" i="1"/>
  <c r="Q48" i="1"/>
  <c r="S79" i="1"/>
  <c r="D10" i="15" s="1"/>
  <c r="R79" i="1"/>
  <c r="C47" i="22"/>
  <c r="C46" i="22"/>
  <c r="E40" i="22"/>
  <c r="F48" i="22" s="1"/>
  <c r="C18" i="27" s="1"/>
  <c r="Q119" i="1" s="1"/>
  <c r="Q156" i="1"/>
  <c r="C49" i="20"/>
  <c r="C48" i="20"/>
  <c r="E42" i="20"/>
  <c r="S203" i="1"/>
  <c r="D169" i="15" s="1"/>
  <c r="R203" i="1"/>
  <c r="S201" i="1"/>
  <c r="D228" i="15" s="1"/>
  <c r="R201" i="1"/>
  <c r="Q164" i="1"/>
  <c r="P164" i="1"/>
  <c r="Q116" i="1"/>
  <c r="P116" i="1"/>
  <c r="P93" i="1"/>
  <c r="Q93" i="1"/>
  <c r="S19" i="1"/>
  <c r="D9" i="15" s="1"/>
  <c r="R19" i="1"/>
  <c r="P7" i="1"/>
  <c r="Q7" i="1"/>
  <c r="Q128" i="1"/>
  <c r="P128" i="1"/>
  <c r="Q74" i="1"/>
  <c r="P74" i="1"/>
  <c r="Q38" i="1"/>
  <c r="P38" i="1"/>
  <c r="Q20" i="1"/>
  <c r="P20" i="1"/>
  <c r="Q57" i="1"/>
  <c r="Q104" i="1"/>
  <c r="C47" i="25"/>
  <c r="E40" i="25"/>
  <c r="C46" i="25"/>
  <c r="L244" i="1"/>
  <c r="M244" i="1" s="1"/>
  <c r="N244" i="1" s="1"/>
  <c r="O244" i="1" s="1"/>
  <c r="L197" i="1"/>
  <c r="M197" i="1" s="1"/>
  <c r="N197" i="1" s="1"/>
  <c r="O197" i="1" s="1"/>
  <c r="L193" i="1"/>
  <c r="M193" i="1" s="1"/>
  <c r="N193" i="1" s="1"/>
  <c r="O193" i="1" s="1"/>
  <c r="L243" i="1"/>
  <c r="M243" i="1" s="1"/>
  <c r="N243" i="1" s="1"/>
  <c r="O243" i="1" s="1"/>
  <c r="L239" i="1"/>
  <c r="M239" i="1" s="1"/>
  <c r="N239" i="1" s="1"/>
  <c r="O239" i="1" s="1"/>
  <c r="L235" i="1"/>
  <c r="M235" i="1" s="1"/>
  <c r="N235" i="1" s="1"/>
  <c r="O235" i="1" s="1"/>
  <c r="L232" i="1"/>
  <c r="M232" i="1" s="1"/>
  <c r="N232" i="1" s="1"/>
  <c r="O232" i="1" s="1"/>
  <c r="L225" i="1"/>
  <c r="M225" i="1" s="1"/>
  <c r="N225" i="1" s="1"/>
  <c r="O225" i="1" s="1"/>
  <c r="L221" i="1"/>
  <c r="M221" i="1" s="1"/>
  <c r="N221" i="1" s="1"/>
  <c r="O221" i="1" s="1"/>
  <c r="L217" i="1"/>
  <c r="M217" i="1" s="1"/>
  <c r="N217" i="1" s="1"/>
  <c r="O217" i="1" s="1"/>
  <c r="L213" i="1"/>
  <c r="M213" i="1" s="1"/>
  <c r="N213" i="1" s="1"/>
  <c r="O213" i="1" s="1"/>
  <c r="L209" i="1"/>
  <c r="M209" i="1" s="1"/>
  <c r="N209" i="1" s="1"/>
  <c r="O209" i="1" s="1"/>
  <c r="L205" i="1"/>
  <c r="M205" i="1" s="1"/>
  <c r="N205" i="1" s="1"/>
  <c r="O205" i="1" s="1"/>
  <c r="L202" i="1"/>
  <c r="M202" i="1" s="1"/>
  <c r="N202" i="1" s="1"/>
  <c r="O202" i="1" s="1"/>
  <c r="L200" i="1"/>
  <c r="M200" i="1" s="1"/>
  <c r="N200" i="1" s="1"/>
  <c r="O200" i="1" s="1"/>
  <c r="L196" i="1"/>
  <c r="M196" i="1" s="1"/>
  <c r="N196" i="1" s="1"/>
  <c r="O196" i="1" s="1"/>
  <c r="S192" i="1"/>
  <c r="D182" i="15" s="1"/>
  <c r="R192" i="1"/>
  <c r="L177" i="1"/>
  <c r="M177" i="1" s="1"/>
  <c r="N177" i="1" s="1"/>
  <c r="O177" i="1" s="1"/>
  <c r="L172" i="1"/>
  <c r="M172" i="1" s="1"/>
  <c r="N172" i="1" s="1"/>
  <c r="O172" i="1" s="1"/>
  <c r="L163" i="1"/>
  <c r="M163" i="1" s="1"/>
  <c r="N163" i="1" s="1"/>
  <c r="O163" i="1" s="1"/>
  <c r="L148" i="1"/>
  <c r="M148" i="1" s="1"/>
  <c r="N148" i="1" s="1"/>
  <c r="O148" i="1" s="1"/>
  <c r="L144" i="1"/>
  <c r="M144" i="1" s="1"/>
  <c r="N144" i="1" s="1"/>
  <c r="O144" i="1" s="1"/>
  <c r="L140" i="1"/>
  <c r="M140" i="1" s="1"/>
  <c r="N140" i="1" s="1"/>
  <c r="O140" i="1" s="1"/>
  <c r="L136" i="1"/>
  <c r="M136" i="1" s="1"/>
  <c r="N136" i="1" s="1"/>
  <c r="O136" i="1" s="1"/>
  <c r="L132" i="1"/>
  <c r="M132" i="1" s="1"/>
  <c r="N132" i="1" s="1"/>
  <c r="O132" i="1" s="1"/>
  <c r="L127" i="1"/>
  <c r="M127" i="1" s="1"/>
  <c r="N127" i="1" s="1"/>
  <c r="O127" i="1" s="1"/>
  <c r="L182" i="1"/>
  <c r="M182" i="1" s="1"/>
  <c r="N182" i="1" s="1"/>
  <c r="O182" i="1" s="1"/>
  <c r="L167" i="1"/>
  <c r="M167" i="1" s="1"/>
  <c r="N167" i="1" s="1"/>
  <c r="O167" i="1" s="1"/>
  <c r="L159" i="1"/>
  <c r="M159" i="1" s="1"/>
  <c r="N159" i="1" s="1"/>
  <c r="O159" i="1" s="1"/>
  <c r="L151" i="1"/>
  <c r="M151" i="1" s="1"/>
  <c r="N151" i="1" s="1"/>
  <c r="O151" i="1" s="1"/>
  <c r="L149" i="1"/>
  <c r="M149" i="1" s="1"/>
  <c r="N149" i="1" s="1"/>
  <c r="O149" i="1" s="1"/>
  <c r="L117" i="1"/>
  <c r="M117" i="1" s="1"/>
  <c r="N117" i="1" s="1"/>
  <c r="O117" i="1" s="1"/>
  <c r="L114" i="1"/>
  <c r="M114" i="1" s="1"/>
  <c r="N114" i="1" s="1"/>
  <c r="O114" i="1" s="1"/>
  <c r="L107" i="1"/>
  <c r="M107" i="1" s="1"/>
  <c r="N107" i="1" s="1"/>
  <c r="O107" i="1" s="1"/>
  <c r="L103" i="1"/>
  <c r="M103" i="1" s="1"/>
  <c r="N103" i="1" s="1"/>
  <c r="O103" i="1" s="1"/>
  <c r="L99" i="1"/>
  <c r="M99" i="1" s="1"/>
  <c r="N99" i="1" s="1"/>
  <c r="O99" i="1" s="1"/>
  <c r="L96" i="1"/>
  <c r="M96" i="1" s="1"/>
  <c r="N96" i="1" s="1"/>
  <c r="O96" i="1" s="1"/>
  <c r="L92" i="1"/>
  <c r="M92" i="1" s="1"/>
  <c r="N92" i="1" s="1"/>
  <c r="O92" i="1" s="1"/>
  <c r="L88" i="1"/>
  <c r="M88" i="1" s="1"/>
  <c r="N88" i="1" s="1"/>
  <c r="O88" i="1" s="1"/>
  <c r="L84" i="1"/>
  <c r="M84" i="1" s="1"/>
  <c r="N84" i="1" s="1"/>
  <c r="O84" i="1" s="1"/>
  <c r="L77" i="1"/>
  <c r="M77" i="1" s="1"/>
  <c r="N77" i="1" s="1"/>
  <c r="O77" i="1" s="1"/>
  <c r="L43" i="1"/>
  <c r="M43" i="1" s="1"/>
  <c r="N43" i="1" s="1"/>
  <c r="O43" i="1" s="1"/>
  <c r="L39" i="1"/>
  <c r="M39" i="1" s="1"/>
  <c r="N39" i="1" s="1"/>
  <c r="O39" i="1" s="1"/>
  <c r="L35" i="1"/>
  <c r="M35" i="1" s="1"/>
  <c r="N35" i="1" s="1"/>
  <c r="O35" i="1" s="1"/>
  <c r="L31" i="1"/>
  <c r="M31" i="1" s="1"/>
  <c r="N31" i="1" s="1"/>
  <c r="O31" i="1" s="1"/>
  <c r="L21" i="1"/>
  <c r="M21" i="1" s="1"/>
  <c r="N21" i="1" s="1"/>
  <c r="O21" i="1" s="1"/>
  <c r="L16" i="1"/>
  <c r="M16" i="1" s="1"/>
  <c r="N16" i="1" s="1"/>
  <c r="O16" i="1" s="1"/>
  <c r="L12" i="1"/>
  <c r="M12" i="1" s="1"/>
  <c r="N12" i="1" s="1"/>
  <c r="O12" i="1" s="1"/>
  <c r="L8" i="1"/>
  <c r="M8" i="1" s="1"/>
  <c r="N8" i="1" s="1"/>
  <c r="O8" i="1" s="1"/>
  <c r="L228" i="1"/>
  <c r="M228" i="1" s="1"/>
  <c r="N228" i="1" s="1"/>
  <c r="O228" i="1" s="1"/>
  <c r="P228" i="1" s="1"/>
  <c r="L122" i="1"/>
  <c r="M122" i="1" s="1"/>
  <c r="N122" i="1" s="1"/>
  <c r="O122" i="1" s="1"/>
  <c r="L118" i="1"/>
  <c r="M118" i="1" s="1"/>
  <c r="N118" i="1" s="1"/>
  <c r="O118" i="1" s="1"/>
  <c r="L113" i="1"/>
  <c r="M113" i="1" s="1"/>
  <c r="N113" i="1" s="1"/>
  <c r="O113" i="1" s="1"/>
  <c r="L110" i="1"/>
  <c r="M110" i="1" s="1"/>
  <c r="N110" i="1" s="1"/>
  <c r="O110" i="1" s="1"/>
  <c r="L105" i="1"/>
  <c r="M105" i="1" s="1"/>
  <c r="N105" i="1" s="1"/>
  <c r="O105" i="1" s="1"/>
  <c r="L100" i="1"/>
  <c r="M100" i="1" s="1"/>
  <c r="N100" i="1" s="1"/>
  <c r="O100" i="1" s="1"/>
  <c r="L95" i="1"/>
  <c r="M95" i="1" s="1"/>
  <c r="N95" i="1" s="1"/>
  <c r="O95" i="1" s="1"/>
  <c r="L91" i="1"/>
  <c r="M91" i="1" s="1"/>
  <c r="N91" i="1" s="1"/>
  <c r="O91" i="1" s="1"/>
  <c r="L66" i="1"/>
  <c r="M66" i="1" s="1"/>
  <c r="N66" i="1" s="1"/>
  <c r="O66" i="1" s="1"/>
  <c r="L62" i="1"/>
  <c r="M62" i="1" s="1"/>
  <c r="N62" i="1" s="1"/>
  <c r="O62" i="1" s="1"/>
  <c r="L58" i="1"/>
  <c r="M58" i="1" s="1"/>
  <c r="N58" i="1" s="1"/>
  <c r="O58" i="1" s="1"/>
  <c r="L53" i="1"/>
  <c r="M53" i="1" s="1"/>
  <c r="N53" i="1" s="1"/>
  <c r="O53" i="1" s="1"/>
  <c r="L49" i="1"/>
  <c r="M49" i="1" s="1"/>
  <c r="N49" i="1" s="1"/>
  <c r="O49" i="1" s="1"/>
  <c r="L14" i="1"/>
  <c r="M14" i="1" s="1"/>
  <c r="N14" i="1" s="1"/>
  <c r="O14" i="1" s="1"/>
  <c r="L10" i="1"/>
  <c r="M10" i="1" s="1"/>
  <c r="N10" i="1" s="1"/>
  <c r="O10" i="1" s="1"/>
  <c r="L57" i="1"/>
  <c r="M57" i="1" s="1"/>
  <c r="N57" i="1" s="1"/>
  <c r="H41" i="38" s="1"/>
  <c r="C28" i="34" s="1"/>
  <c r="L112" i="1"/>
  <c r="M112" i="1" s="1"/>
  <c r="N112" i="1" s="1"/>
  <c r="H37" i="36" s="1"/>
  <c r="C10" i="34" s="1"/>
  <c r="L201" i="1"/>
  <c r="M201" i="1" s="1"/>
  <c r="L242" i="1"/>
  <c r="M242" i="1" s="1"/>
  <c r="N242" i="1" s="1"/>
  <c r="O242" i="1" s="1"/>
  <c r="L238" i="1"/>
  <c r="M238" i="1" s="1"/>
  <c r="N238" i="1" s="1"/>
  <c r="O238" i="1" s="1"/>
  <c r="L233" i="1"/>
  <c r="M233" i="1" s="1"/>
  <c r="N233" i="1" s="1"/>
  <c r="O233" i="1" s="1"/>
  <c r="L229" i="1"/>
  <c r="M229" i="1" s="1"/>
  <c r="N229" i="1" s="1"/>
  <c r="O229" i="1" s="1"/>
  <c r="L195" i="1"/>
  <c r="M195" i="1" s="1"/>
  <c r="N195" i="1" s="1"/>
  <c r="O195" i="1" s="1"/>
  <c r="L241" i="1"/>
  <c r="M241" i="1" s="1"/>
  <c r="N241" i="1" s="1"/>
  <c r="O241" i="1" s="1"/>
  <c r="L237" i="1"/>
  <c r="M237" i="1" s="1"/>
  <c r="N237" i="1" s="1"/>
  <c r="O237" i="1" s="1"/>
  <c r="C46" i="24"/>
  <c r="E40" i="24"/>
  <c r="C47" i="24"/>
  <c r="Q112" i="1"/>
  <c r="C47" i="21"/>
  <c r="C46" i="21"/>
  <c r="E40" i="21"/>
  <c r="E40" i="23"/>
  <c r="C47" i="23"/>
  <c r="C46" i="23"/>
  <c r="C47" i="18"/>
  <c r="C46" i="18"/>
  <c r="E40" i="18"/>
  <c r="E40" i="19"/>
  <c r="C47" i="19"/>
  <c r="C46" i="19"/>
  <c r="L185" i="1"/>
  <c r="M185" i="1" s="1"/>
  <c r="N185" i="1" s="1"/>
  <c r="O185" i="1" s="1"/>
  <c r="L183" i="1"/>
  <c r="M183" i="1" s="1"/>
  <c r="N183" i="1" s="1"/>
  <c r="O183" i="1" s="1"/>
  <c r="L174" i="1"/>
  <c r="M174" i="1" s="1"/>
  <c r="N174" i="1" s="1"/>
  <c r="O174" i="1" s="1"/>
  <c r="L170" i="1"/>
  <c r="M170" i="1" s="1"/>
  <c r="N170" i="1" s="1"/>
  <c r="O170" i="1" s="1"/>
  <c r="L168" i="1"/>
  <c r="M168" i="1" s="1"/>
  <c r="N168" i="1" s="1"/>
  <c r="O168" i="1" s="1"/>
  <c r="L162" i="1"/>
  <c r="M162" i="1" s="1"/>
  <c r="N162" i="1" s="1"/>
  <c r="O162" i="1" s="1"/>
  <c r="L160" i="1"/>
  <c r="M160" i="1" s="1"/>
  <c r="N160" i="1" s="1"/>
  <c r="O160" i="1" s="1"/>
  <c r="L153" i="1"/>
  <c r="M153" i="1" s="1"/>
  <c r="N153" i="1" s="1"/>
  <c r="O153" i="1" s="1"/>
  <c r="L146" i="1"/>
  <c r="M146" i="1" s="1"/>
  <c r="N146" i="1" s="1"/>
  <c r="O146" i="1" s="1"/>
  <c r="L142" i="1"/>
  <c r="M142" i="1" s="1"/>
  <c r="N142" i="1" s="1"/>
  <c r="O142" i="1" s="1"/>
  <c r="L138" i="1"/>
  <c r="M138" i="1" s="1"/>
  <c r="N138" i="1" s="1"/>
  <c r="O138" i="1" s="1"/>
  <c r="L129" i="1"/>
  <c r="M129" i="1" s="1"/>
  <c r="N129" i="1" s="1"/>
  <c r="O129" i="1" s="1"/>
  <c r="L125" i="1"/>
  <c r="M125" i="1" s="1"/>
  <c r="N125" i="1" s="1"/>
  <c r="O125" i="1" s="1"/>
  <c r="L181" i="1"/>
  <c r="M181" i="1" s="1"/>
  <c r="N181" i="1" s="1"/>
  <c r="O181" i="1" s="1"/>
  <c r="L178" i="1"/>
  <c r="M178" i="1" s="1"/>
  <c r="N178" i="1" s="1"/>
  <c r="O178" i="1" s="1"/>
  <c r="L173" i="1"/>
  <c r="M173" i="1" s="1"/>
  <c r="N173" i="1" s="1"/>
  <c r="O173" i="1" s="1"/>
  <c r="L150" i="1"/>
  <c r="M150" i="1" s="1"/>
  <c r="N150" i="1" s="1"/>
  <c r="O150" i="1" s="1"/>
  <c r="L147" i="1"/>
  <c r="M147" i="1" s="1"/>
  <c r="N147" i="1" s="1"/>
  <c r="O147" i="1" s="1"/>
  <c r="L143" i="1"/>
  <c r="M143" i="1" s="1"/>
  <c r="N143" i="1" s="1"/>
  <c r="O143" i="1" s="1"/>
  <c r="L139" i="1"/>
  <c r="M139" i="1" s="1"/>
  <c r="N139" i="1" s="1"/>
  <c r="O139" i="1" s="1"/>
  <c r="L135" i="1"/>
  <c r="M135" i="1" s="1"/>
  <c r="N135" i="1" s="1"/>
  <c r="O135" i="1" s="1"/>
  <c r="L130" i="1"/>
  <c r="M130" i="1" s="1"/>
  <c r="N130" i="1" s="1"/>
  <c r="O130" i="1" s="1"/>
  <c r="L126" i="1"/>
  <c r="M126" i="1" s="1"/>
  <c r="N126" i="1" s="1"/>
  <c r="O126" i="1" s="1"/>
  <c r="L102" i="1"/>
  <c r="M102" i="1" s="1"/>
  <c r="N102" i="1" s="1"/>
  <c r="O102" i="1" s="1"/>
  <c r="L86" i="1"/>
  <c r="M86" i="1" s="1"/>
  <c r="N86" i="1" s="1"/>
  <c r="O86" i="1" s="1"/>
  <c r="L81" i="1"/>
  <c r="M81" i="1" s="1"/>
  <c r="N81" i="1" s="1"/>
  <c r="O81" i="1" s="1"/>
  <c r="L59" i="1"/>
  <c r="M59" i="1" s="1"/>
  <c r="N59" i="1" s="1"/>
  <c r="O59" i="1" s="1"/>
  <c r="L45" i="1"/>
  <c r="M45" i="1" s="1"/>
  <c r="N45" i="1" s="1"/>
  <c r="O45" i="1" s="1"/>
  <c r="L37" i="1"/>
  <c r="M37" i="1" s="1"/>
  <c r="N37" i="1" s="1"/>
  <c r="O37" i="1" s="1"/>
  <c r="L29" i="1"/>
  <c r="M29" i="1" s="1"/>
  <c r="N29" i="1" s="1"/>
  <c r="O29" i="1" s="1"/>
  <c r="L24" i="1"/>
  <c r="M24" i="1" s="1"/>
  <c r="N24" i="1" s="1"/>
  <c r="O24" i="1" s="1"/>
  <c r="L176" i="1"/>
  <c r="M176" i="1" s="1"/>
  <c r="N176" i="1" s="1"/>
  <c r="O176" i="1" s="1"/>
  <c r="P176" i="1" s="1"/>
  <c r="L115" i="1"/>
  <c r="M115" i="1" s="1"/>
  <c r="N115" i="1" s="1"/>
  <c r="O115" i="1" s="1"/>
  <c r="L111" i="1"/>
  <c r="M111" i="1" s="1"/>
  <c r="N111" i="1" s="1"/>
  <c r="O111" i="1" s="1"/>
  <c r="L108" i="1"/>
  <c r="M108" i="1" s="1"/>
  <c r="N108" i="1" s="1"/>
  <c r="O108" i="1" s="1"/>
  <c r="L101" i="1"/>
  <c r="M101" i="1" s="1"/>
  <c r="N101" i="1" s="1"/>
  <c r="O101" i="1" s="1"/>
  <c r="L98" i="1"/>
  <c r="M98" i="1" s="1"/>
  <c r="N98" i="1" s="1"/>
  <c r="O98" i="1" s="1"/>
  <c r="L94" i="1"/>
  <c r="M94" i="1" s="1"/>
  <c r="N94" i="1" s="1"/>
  <c r="O94" i="1" s="1"/>
  <c r="L90" i="1"/>
  <c r="M90" i="1" s="1"/>
  <c r="N90" i="1" s="1"/>
  <c r="O90" i="1" s="1"/>
  <c r="L17" i="1"/>
  <c r="M17" i="1" s="1"/>
  <c r="N17" i="1" s="1"/>
  <c r="O17" i="1" s="1"/>
  <c r="L13" i="1"/>
  <c r="M13" i="1" s="1"/>
  <c r="N13" i="1" s="1"/>
  <c r="O13" i="1" s="1"/>
  <c r="L9" i="1"/>
  <c r="M9" i="1" s="1"/>
  <c r="N9" i="1" s="1"/>
  <c r="O9" i="1" s="1"/>
  <c r="L156" i="1"/>
  <c r="M156" i="1" s="1"/>
  <c r="N156" i="1" s="1"/>
  <c r="H46" i="35" s="1"/>
  <c r="C4" i="34" s="1"/>
  <c r="L104" i="1"/>
  <c r="M104" i="1" s="1"/>
  <c r="N104" i="1" s="1"/>
  <c r="H38" i="39" s="1"/>
  <c r="C16" i="34" s="1"/>
  <c r="Q245" i="1"/>
  <c r="P245" i="1"/>
  <c r="Q249" i="1"/>
  <c r="P249" i="1"/>
  <c r="T255" i="1"/>
  <c r="S261" i="1"/>
  <c r="D195" i="15" s="1"/>
  <c r="R261" i="1"/>
  <c r="S247" i="1"/>
  <c r="D224" i="15" s="1"/>
  <c r="R247" i="1"/>
  <c r="S252" i="1"/>
  <c r="D221" i="15" s="1"/>
  <c r="S254" i="1"/>
  <c r="D183" i="15" s="1"/>
  <c r="R254" i="1"/>
  <c r="S258" i="1"/>
  <c r="D96" i="15" s="1"/>
  <c r="R258" i="1"/>
  <c r="S246" i="1"/>
  <c r="T246" i="1" s="1"/>
  <c r="R246" i="1"/>
  <c r="R248" i="1"/>
  <c r="S250" i="1"/>
  <c r="D13" i="15" s="1"/>
  <c r="R250" i="1"/>
  <c r="R253" i="1"/>
  <c r="S257" i="1"/>
  <c r="D139" i="15" s="1"/>
  <c r="R257" i="1"/>
  <c r="T260" i="1"/>
  <c r="P63" i="1" l="1"/>
  <c r="Q145" i="1"/>
  <c r="H42" i="38"/>
  <c r="C29" i="34" s="1"/>
  <c r="Q27" i="1"/>
  <c r="Q212" i="1"/>
  <c r="P215" i="1"/>
  <c r="Q189" i="1"/>
  <c r="R189" i="1" s="1"/>
  <c r="P214" i="1"/>
  <c r="H47" i="35"/>
  <c r="C5" i="34" s="1"/>
  <c r="P33" i="1"/>
  <c r="H38" i="36"/>
  <c r="C11" i="34" s="1"/>
  <c r="Q227" i="1"/>
  <c r="R227" i="1" s="1"/>
  <c r="Q78" i="1"/>
  <c r="O194" i="1"/>
  <c r="Q194" i="1" s="1"/>
  <c r="Q15" i="1"/>
  <c r="R15" i="1" s="1"/>
  <c r="P223" i="1"/>
  <c r="P137" i="1"/>
  <c r="H36" i="37"/>
  <c r="C22" i="34" s="1"/>
  <c r="P224" i="1"/>
  <c r="Q204" i="1"/>
  <c r="P36" i="1"/>
  <c r="P206" i="1"/>
  <c r="P222" i="1"/>
  <c r="Q30" i="1"/>
  <c r="R30" i="1" s="1"/>
  <c r="P46" i="1"/>
  <c r="P51" i="1"/>
  <c r="H39" i="39"/>
  <c r="C17" i="34" s="1"/>
  <c r="P207" i="1"/>
  <c r="P68" i="1"/>
  <c r="P50" i="1"/>
  <c r="P71" i="1"/>
  <c r="P106" i="1"/>
  <c r="P152" i="1"/>
  <c r="P87" i="1"/>
  <c r="Q56" i="1"/>
  <c r="R56" i="1" s="1"/>
  <c r="Q73" i="1"/>
  <c r="S73" i="1" s="1"/>
  <c r="D225" i="15" s="1"/>
  <c r="P220" i="1"/>
  <c r="P60" i="1"/>
  <c r="Q97" i="1"/>
  <c r="R97" i="1" s="1"/>
  <c r="P52" i="1"/>
  <c r="P236" i="1"/>
  <c r="P44" i="1"/>
  <c r="Q141" i="1"/>
  <c r="S141" i="1" s="1"/>
  <c r="D99" i="15" s="1"/>
  <c r="P166" i="1"/>
  <c r="P34" i="1"/>
  <c r="S259" i="1"/>
  <c r="P231" i="1"/>
  <c r="P191" i="1"/>
  <c r="Q83" i="1"/>
  <c r="S83" i="1" s="1"/>
  <c r="D106" i="15" s="1"/>
  <c r="P69" i="1"/>
  <c r="P123" i="1"/>
  <c r="P121" i="1"/>
  <c r="P70" i="1"/>
  <c r="P75" i="1"/>
  <c r="P28" i="1"/>
  <c r="Q208" i="1"/>
  <c r="S208" i="1" s="1"/>
  <c r="D180" i="15" s="1"/>
  <c r="P218" i="1"/>
  <c r="P219" i="1"/>
  <c r="P226" i="1"/>
  <c r="Q26" i="1"/>
  <c r="S26" i="1" s="1"/>
  <c r="D234" i="15" s="1"/>
  <c r="P61" i="1"/>
  <c r="Q133" i="1"/>
  <c r="S133" i="1" s="1"/>
  <c r="D105" i="15" s="1"/>
  <c r="P175" i="1"/>
  <c r="Q190" i="1"/>
  <c r="R190" i="1" s="1"/>
  <c r="Q216" i="1"/>
  <c r="S216" i="1" s="1"/>
  <c r="D191" i="15" s="1"/>
  <c r="Q240" i="1"/>
  <c r="S240" i="1" s="1"/>
  <c r="D176" i="15" s="1"/>
  <c r="Q11" i="1"/>
  <c r="R11" i="1" s="1"/>
  <c r="Q89" i="1"/>
  <c r="R89" i="1" s="1"/>
  <c r="Q109" i="1"/>
  <c r="R109" i="1" s="1"/>
  <c r="P158" i="1"/>
  <c r="P25" i="1"/>
  <c r="P42" i="1"/>
  <c r="P124" i="1"/>
  <c r="P198" i="1"/>
  <c r="Q230" i="1"/>
  <c r="R230" i="1" s="1"/>
  <c r="Q211" i="1"/>
  <c r="R211" i="1" s="1"/>
  <c r="P199" i="1"/>
  <c r="Q54" i="1"/>
  <c r="R54" i="1" s="1"/>
  <c r="P134" i="1"/>
  <c r="P210" i="1"/>
  <c r="Q40" i="1"/>
  <c r="R40" i="1" s="1"/>
  <c r="Q72" i="1"/>
  <c r="R72" i="1" s="1"/>
  <c r="Q67" i="1"/>
  <c r="S67" i="1" s="1"/>
  <c r="D179" i="15" s="1"/>
  <c r="Q55" i="1"/>
  <c r="R55" i="1" s="1"/>
  <c r="P120" i="1"/>
  <c r="Q179" i="1"/>
  <c r="P23" i="1"/>
  <c r="Q32" i="1"/>
  <c r="S32" i="1" s="1"/>
  <c r="D17" i="15" s="1"/>
  <c r="Q47" i="1"/>
  <c r="R47" i="1" s="1"/>
  <c r="Q64" i="1"/>
  <c r="R64" i="1" s="1"/>
  <c r="Q80" i="1"/>
  <c r="R80" i="1" s="1"/>
  <c r="Q41" i="1"/>
  <c r="S41" i="1" s="1"/>
  <c r="D233" i="15" s="1"/>
  <c r="Q154" i="1"/>
  <c r="Q187" i="1"/>
  <c r="Q165" i="1"/>
  <c r="Q169" i="1"/>
  <c r="Q161" i="1"/>
  <c r="P157" i="1"/>
  <c r="Q157" i="1"/>
  <c r="P184" i="1"/>
  <c r="Q184" i="1"/>
  <c r="P186" i="1"/>
  <c r="Q186" i="1"/>
  <c r="P188" i="1"/>
  <c r="Q188" i="1"/>
  <c r="P9" i="1"/>
  <c r="Q9" i="1"/>
  <c r="P17" i="1"/>
  <c r="Q17" i="1"/>
  <c r="Q94" i="1"/>
  <c r="P94" i="1"/>
  <c r="Q101" i="1"/>
  <c r="P101" i="1"/>
  <c r="Q111" i="1"/>
  <c r="P111" i="1"/>
  <c r="Q29" i="1"/>
  <c r="P29" i="1"/>
  <c r="Q45" i="1"/>
  <c r="P45" i="1"/>
  <c r="Q81" i="1"/>
  <c r="P81" i="1"/>
  <c r="P102" i="1"/>
  <c r="Q102" i="1"/>
  <c r="Q130" i="1"/>
  <c r="P130" i="1"/>
  <c r="Q139" i="1"/>
  <c r="P139" i="1"/>
  <c r="Q147" i="1"/>
  <c r="P147" i="1"/>
  <c r="P173" i="1"/>
  <c r="Q173" i="1"/>
  <c r="Q181" i="1"/>
  <c r="P181" i="1"/>
  <c r="P129" i="1"/>
  <c r="Q129" i="1"/>
  <c r="P142" i="1"/>
  <c r="Q142" i="1"/>
  <c r="P153" i="1"/>
  <c r="Q153" i="1"/>
  <c r="Q162" i="1"/>
  <c r="P162" i="1"/>
  <c r="Q170" i="1"/>
  <c r="P170" i="1"/>
  <c r="P183" i="1"/>
  <c r="Q183" i="1"/>
  <c r="D46" i="19"/>
  <c r="E46" i="19"/>
  <c r="C19" i="27"/>
  <c r="Q228" i="1" s="1"/>
  <c r="F48" i="19"/>
  <c r="D46" i="18"/>
  <c r="E46" i="18"/>
  <c r="D46" i="23"/>
  <c r="E46" i="23"/>
  <c r="C17" i="27"/>
  <c r="Q176" i="1" s="1"/>
  <c r="F48" i="23"/>
  <c r="D46" i="21"/>
  <c r="E46" i="21"/>
  <c r="P112" i="1"/>
  <c r="D47" i="24"/>
  <c r="E47" i="24"/>
  <c r="D46" i="24"/>
  <c r="E46" i="24"/>
  <c r="P241" i="1"/>
  <c r="Q241" i="1"/>
  <c r="Q229" i="1"/>
  <c r="P229" i="1"/>
  <c r="Q238" i="1"/>
  <c r="P238" i="1"/>
  <c r="P14" i="1"/>
  <c r="Q14" i="1"/>
  <c r="Q53" i="1"/>
  <c r="P53" i="1"/>
  <c r="Q62" i="1"/>
  <c r="P62" i="1"/>
  <c r="Q91" i="1"/>
  <c r="P91" i="1"/>
  <c r="Q100" i="1"/>
  <c r="P100" i="1"/>
  <c r="Q110" i="1"/>
  <c r="P110" i="1"/>
  <c r="Q118" i="1"/>
  <c r="P118" i="1"/>
  <c r="P12" i="1"/>
  <c r="Q12" i="1"/>
  <c r="Q21" i="1"/>
  <c r="P21" i="1"/>
  <c r="Q35" i="1"/>
  <c r="P35" i="1"/>
  <c r="Q43" i="1"/>
  <c r="P43" i="1"/>
  <c r="Q84" i="1"/>
  <c r="P84" i="1"/>
  <c r="Q92" i="1"/>
  <c r="P92" i="1"/>
  <c r="Q99" i="1"/>
  <c r="P99" i="1"/>
  <c r="P107" i="1"/>
  <c r="Q107" i="1"/>
  <c r="P117" i="1"/>
  <c r="Q117" i="1"/>
  <c r="Q151" i="1"/>
  <c r="P151" i="1"/>
  <c r="P167" i="1"/>
  <c r="Q167" i="1"/>
  <c r="P127" i="1"/>
  <c r="Q127" i="1"/>
  <c r="P136" i="1"/>
  <c r="Q136" i="1"/>
  <c r="P144" i="1"/>
  <c r="Q144" i="1"/>
  <c r="P163" i="1"/>
  <c r="Q163" i="1"/>
  <c r="P177" i="1"/>
  <c r="Q177" i="1"/>
  <c r="T192" i="1"/>
  <c r="Q200" i="1"/>
  <c r="P200" i="1"/>
  <c r="Q205" i="1"/>
  <c r="P205" i="1"/>
  <c r="Q213" i="1"/>
  <c r="P213" i="1"/>
  <c r="Q221" i="1"/>
  <c r="P221" i="1"/>
  <c r="P232" i="1"/>
  <c r="Q232" i="1"/>
  <c r="P239" i="1"/>
  <c r="Q239" i="1"/>
  <c r="P193" i="1"/>
  <c r="Q193" i="1"/>
  <c r="R231" i="1"/>
  <c r="S231" i="1"/>
  <c r="T231" i="1" s="1"/>
  <c r="Q244" i="1"/>
  <c r="P244" i="1"/>
  <c r="S191" i="1"/>
  <c r="D226" i="15" s="1"/>
  <c r="R191" i="1"/>
  <c r="S198" i="1"/>
  <c r="D80" i="15" s="1"/>
  <c r="R198" i="1"/>
  <c r="S207" i="1"/>
  <c r="D7" i="15" s="1"/>
  <c r="R207" i="1"/>
  <c r="S219" i="1"/>
  <c r="D109" i="15" s="1"/>
  <c r="R219" i="1"/>
  <c r="C23" i="27"/>
  <c r="S190" i="1" s="1"/>
  <c r="D16" i="15" s="1"/>
  <c r="F48" i="25"/>
  <c r="P104" i="1"/>
  <c r="P57" i="1"/>
  <c r="R226" i="1"/>
  <c r="S226" i="1"/>
  <c r="D125" i="15" s="1"/>
  <c r="R52" i="1"/>
  <c r="S52" i="1"/>
  <c r="D85" i="15" s="1"/>
  <c r="R61" i="1"/>
  <c r="S61" i="1"/>
  <c r="D185" i="15" s="1"/>
  <c r="R69" i="1"/>
  <c r="S69" i="1"/>
  <c r="D166" i="15" s="1"/>
  <c r="S175" i="1"/>
  <c r="D12" i="15" s="1"/>
  <c r="R175" i="1"/>
  <c r="S123" i="1"/>
  <c r="D122" i="15" s="1"/>
  <c r="R123" i="1"/>
  <c r="R224" i="1"/>
  <c r="S224" i="1"/>
  <c r="D59" i="15" s="1"/>
  <c r="R23" i="1"/>
  <c r="S23" i="1"/>
  <c r="D187" i="15" s="1"/>
  <c r="R120" i="1"/>
  <c r="S120" i="1"/>
  <c r="D36" i="15" s="1"/>
  <c r="R7" i="1"/>
  <c r="S7" i="1"/>
  <c r="D156" i="15" s="1"/>
  <c r="R93" i="1"/>
  <c r="S93" i="1"/>
  <c r="D132" i="15" s="1"/>
  <c r="R134" i="1"/>
  <c r="S134" i="1"/>
  <c r="D217" i="15" s="1"/>
  <c r="C20" i="27"/>
  <c r="Q234" i="1" s="1"/>
  <c r="F50" i="20"/>
  <c r="E49" i="20"/>
  <c r="D49" i="20"/>
  <c r="S156" i="1"/>
  <c r="D124" i="15" s="1"/>
  <c r="R156" i="1"/>
  <c r="D46" i="22"/>
  <c r="E46" i="22"/>
  <c r="R48" i="1"/>
  <c r="S48" i="1"/>
  <c r="D60" i="15" s="1"/>
  <c r="R65" i="1"/>
  <c r="S65" i="1"/>
  <c r="D231" i="15" s="1"/>
  <c r="P13" i="1"/>
  <c r="Q13" i="1"/>
  <c r="Q90" i="1"/>
  <c r="P90" i="1"/>
  <c r="Q98" i="1"/>
  <c r="P98" i="1"/>
  <c r="Q108" i="1"/>
  <c r="P108" i="1"/>
  <c r="P115" i="1"/>
  <c r="Q115" i="1"/>
  <c r="Q24" i="1"/>
  <c r="P24" i="1"/>
  <c r="Q37" i="1"/>
  <c r="P37" i="1"/>
  <c r="P59" i="1"/>
  <c r="Q59" i="1"/>
  <c r="Q86" i="1"/>
  <c r="P86" i="1"/>
  <c r="Q126" i="1"/>
  <c r="P126" i="1"/>
  <c r="Q135" i="1"/>
  <c r="P135" i="1"/>
  <c r="Q143" i="1"/>
  <c r="P143" i="1"/>
  <c r="P150" i="1"/>
  <c r="Q150" i="1"/>
  <c r="Q178" i="1"/>
  <c r="P178" i="1"/>
  <c r="P125" i="1"/>
  <c r="Q125" i="1"/>
  <c r="P138" i="1"/>
  <c r="Q138" i="1"/>
  <c r="P146" i="1"/>
  <c r="Q146" i="1"/>
  <c r="Q160" i="1"/>
  <c r="P160" i="1"/>
  <c r="Q168" i="1"/>
  <c r="P168" i="1"/>
  <c r="P174" i="1"/>
  <c r="Q174" i="1"/>
  <c r="Q185" i="1"/>
  <c r="P185" i="1"/>
  <c r="E47" i="19"/>
  <c r="D47" i="19"/>
  <c r="F48" i="18"/>
  <c r="C16" i="27"/>
  <c r="Q171" i="1" s="1"/>
  <c r="D47" i="18"/>
  <c r="E47" i="18"/>
  <c r="D47" i="23"/>
  <c r="E47" i="23"/>
  <c r="C15" i="27"/>
  <c r="Q76" i="1" s="1"/>
  <c r="F48" i="21"/>
  <c r="D47" i="21"/>
  <c r="E47" i="21"/>
  <c r="S112" i="1"/>
  <c r="D76" i="15" s="1"/>
  <c r="R112" i="1"/>
  <c r="C22" i="27"/>
  <c r="S46" i="1" s="1"/>
  <c r="D129" i="15" s="1"/>
  <c r="F48" i="24"/>
  <c r="P237" i="1"/>
  <c r="Q237" i="1"/>
  <c r="P195" i="1"/>
  <c r="Q195" i="1"/>
  <c r="Q233" i="1"/>
  <c r="P233" i="1"/>
  <c r="Q242" i="1"/>
  <c r="P242" i="1"/>
  <c r="P10" i="1"/>
  <c r="Q10" i="1"/>
  <c r="Q49" i="1"/>
  <c r="P49" i="1"/>
  <c r="Q58" i="1"/>
  <c r="P58" i="1"/>
  <c r="Q66" i="1"/>
  <c r="P66" i="1"/>
  <c r="Q95" i="1"/>
  <c r="P95" i="1"/>
  <c r="Q105" i="1"/>
  <c r="P105" i="1"/>
  <c r="P113" i="1"/>
  <c r="Q113" i="1"/>
  <c r="Q122" i="1"/>
  <c r="P122" i="1"/>
  <c r="P8" i="1"/>
  <c r="Q8" i="1"/>
  <c r="Q16" i="1"/>
  <c r="P16" i="1"/>
  <c r="Q31" i="1"/>
  <c r="P31" i="1"/>
  <c r="Q39" i="1"/>
  <c r="P39" i="1"/>
  <c r="Q77" i="1"/>
  <c r="P77" i="1"/>
  <c r="Q88" i="1"/>
  <c r="P88" i="1"/>
  <c r="Q96" i="1"/>
  <c r="P96" i="1"/>
  <c r="P103" i="1"/>
  <c r="Q103" i="1"/>
  <c r="Q114" i="1"/>
  <c r="P114" i="1"/>
  <c r="Q149" i="1"/>
  <c r="P149" i="1"/>
  <c r="P159" i="1"/>
  <c r="Q159" i="1"/>
  <c r="Q182" i="1"/>
  <c r="P182" i="1"/>
  <c r="P132" i="1"/>
  <c r="Q132" i="1"/>
  <c r="P140" i="1"/>
  <c r="Q140" i="1"/>
  <c r="P148" i="1"/>
  <c r="Q148" i="1"/>
  <c r="P172" i="1"/>
  <c r="Q172" i="1"/>
  <c r="Q196" i="1"/>
  <c r="P196" i="1"/>
  <c r="Q202" i="1"/>
  <c r="P202" i="1"/>
  <c r="Q209" i="1"/>
  <c r="P209" i="1"/>
  <c r="Q217" i="1"/>
  <c r="P217" i="1"/>
  <c r="P225" i="1"/>
  <c r="Q225" i="1"/>
  <c r="P235" i="1"/>
  <c r="Q235" i="1"/>
  <c r="Q243" i="1"/>
  <c r="P243" i="1"/>
  <c r="P197" i="1"/>
  <c r="Q197" i="1"/>
  <c r="D46" i="25"/>
  <c r="E46" i="25"/>
  <c r="D47" i="25"/>
  <c r="E47" i="25"/>
  <c r="R104" i="1"/>
  <c r="S104" i="1"/>
  <c r="D87" i="15" s="1"/>
  <c r="S57" i="1"/>
  <c r="D108" i="15" s="1"/>
  <c r="R57" i="1"/>
  <c r="S206" i="1"/>
  <c r="D29" i="15" s="1"/>
  <c r="R206" i="1"/>
  <c r="S214" i="1"/>
  <c r="D25" i="15" s="1"/>
  <c r="R214" i="1"/>
  <c r="S222" i="1"/>
  <c r="D131" i="15" s="1"/>
  <c r="R222" i="1"/>
  <c r="S20" i="1"/>
  <c r="D45" i="15" s="1"/>
  <c r="R20" i="1"/>
  <c r="R38" i="1"/>
  <c r="S38" i="1"/>
  <c r="D86" i="15" s="1"/>
  <c r="S74" i="1"/>
  <c r="D198" i="15" s="1"/>
  <c r="R74" i="1"/>
  <c r="R128" i="1"/>
  <c r="S128" i="1"/>
  <c r="D200" i="15" s="1"/>
  <c r="R141" i="1"/>
  <c r="S28" i="1"/>
  <c r="D241" i="15" s="1"/>
  <c r="R28" i="1"/>
  <c r="R36" i="1"/>
  <c r="S36" i="1"/>
  <c r="D82" i="15" s="1"/>
  <c r="R44" i="1"/>
  <c r="S44" i="1"/>
  <c r="D235" i="15" s="1"/>
  <c r="S51" i="1"/>
  <c r="D79" i="15" s="1"/>
  <c r="R51" i="1"/>
  <c r="S60" i="1"/>
  <c r="D205" i="15" s="1"/>
  <c r="R60" i="1"/>
  <c r="S68" i="1"/>
  <c r="D84" i="15" s="1"/>
  <c r="R68" i="1"/>
  <c r="S78" i="1"/>
  <c r="D97" i="15" s="1"/>
  <c r="R78" i="1"/>
  <c r="Q85" i="1"/>
  <c r="P85" i="1"/>
  <c r="T19" i="1"/>
  <c r="R33" i="1"/>
  <c r="S33" i="1"/>
  <c r="D216" i="15" s="1"/>
  <c r="R50" i="1"/>
  <c r="S50" i="1"/>
  <c r="D46" i="15" s="1"/>
  <c r="R63" i="1"/>
  <c r="S63" i="1"/>
  <c r="D26" i="15" s="1"/>
  <c r="R71" i="1"/>
  <c r="S71" i="1"/>
  <c r="D181" i="15" s="1"/>
  <c r="R75" i="1"/>
  <c r="S75" i="1"/>
  <c r="D165" i="15" s="1"/>
  <c r="S106" i="1"/>
  <c r="D172" i="15" s="1"/>
  <c r="R106" i="1"/>
  <c r="S116" i="1"/>
  <c r="D30" i="15" s="1"/>
  <c r="R116" i="1"/>
  <c r="S121" i="1"/>
  <c r="D177" i="15" s="1"/>
  <c r="R121" i="1"/>
  <c r="R152" i="1"/>
  <c r="S152" i="1"/>
  <c r="D70" i="15" s="1"/>
  <c r="S158" i="1"/>
  <c r="D173" i="15" s="1"/>
  <c r="R158" i="1"/>
  <c r="S164" i="1"/>
  <c r="D123" i="15" s="1"/>
  <c r="R164" i="1"/>
  <c r="S166" i="1"/>
  <c r="D199" i="15" s="1"/>
  <c r="R166" i="1"/>
  <c r="P194" i="1"/>
  <c r="T201" i="1"/>
  <c r="T203" i="1"/>
  <c r="S215" i="1"/>
  <c r="D110" i="15" s="1"/>
  <c r="R215" i="1"/>
  <c r="S223" i="1"/>
  <c r="D41" i="15" s="1"/>
  <c r="R223" i="1"/>
  <c r="D48" i="20"/>
  <c r="E48" i="20"/>
  <c r="P156" i="1"/>
  <c r="S119" i="1"/>
  <c r="D11" i="15" s="1"/>
  <c r="R119" i="1"/>
  <c r="E47" i="22"/>
  <c r="D47" i="22"/>
  <c r="S189" i="1"/>
  <c r="D227" i="15" s="1"/>
  <c r="S199" i="1"/>
  <c r="D133" i="15" s="1"/>
  <c r="R199" i="1"/>
  <c r="S210" i="1"/>
  <c r="D155" i="15" s="1"/>
  <c r="R210" i="1"/>
  <c r="S218" i="1"/>
  <c r="D54" i="15" s="1"/>
  <c r="R218" i="1"/>
  <c r="R27" i="1"/>
  <c r="S27" i="1"/>
  <c r="D98" i="15" s="1"/>
  <c r="R25" i="1"/>
  <c r="S25" i="1"/>
  <c r="D126" i="15" s="1"/>
  <c r="S34" i="1"/>
  <c r="D202" i="15" s="1"/>
  <c r="R34" i="1"/>
  <c r="R42" i="1"/>
  <c r="S42" i="1"/>
  <c r="D239" i="15" s="1"/>
  <c r="S70" i="1"/>
  <c r="D209" i="15" s="1"/>
  <c r="R70" i="1"/>
  <c r="T79" i="1"/>
  <c r="S87" i="1"/>
  <c r="D38" i="15" s="1"/>
  <c r="R87" i="1"/>
  <c r="R124" i="1"/>
  <c r="S124" i="1"/>
  <c r="D171" i="15" s="1"/>
  <c r="S137" i="1"/>
  <c r="D193" i="15" s="1"/>
  <c r="R137" i="1"/>
  <c r="S145" i="1"/>
  <c r="D114" i="15" s="1"/>
  <c r="R145" i="1"/>
  <c r="S204" i="1"/>
  <c r="D168" i="15" s="1"/>
  <c r="R204" i="1"/>
  <c r="S212" i="1"/>
  <c r="D190" i="15" s="1"/>
  <c r="R212" i="1"/>
  <c r="S220" i="1"/>
  <c r="D22" i="15" s="1"/>
  <c r="R220" i="1"/>
  <c r="S236" i="1"/>
  <c r="D71" i="15" s="1"/>
  <c r="R236" i="1"/>
  <c r="T257" i="1"/>
  <c r="T253" i="1"/>
  <c r="T250" i="1"/>
  <c r="T248" i="1"/>
  <c r="T258" i="1"/>
  <c r="T254" i="1"/>
  <c r="T252" i="1"/>
  <c r="T247" i="1"/>
  <c r="T261" i="1"/>
  <c r="S249" i="1"/>
  <c r="D232" i="15" s="1"/>
  <c r="R249" i="1"/>
  <c r="S245" i="1"/>
  <c r="D92" i="15" s="1"/>
  <c r="R245" i="1"/>
  <c r="T259" i="1" l="1"/>
  <c r="D14" i="15"/>
  <c r="R67" i="1"/>
  <c r="S211" i="1"/>
  <c r="S227" i="1"/>
  <c r="D140" i="15" s="1"/>
  <c r="R208" i="1"/>
  <c r="R26" i="1"/>
  <c r="R73" i="1"/>
  <c r="S30" i="1"/>
  <c r="D103" i="15" s="1"/>
  <c r="S15" i="1"/>
  <c r="T15" i="1" s="1"/>
  <c r="S56" i="1"/>
  <c r="D112" i="15" s="1"/>
  <c r="S80" i="1"/>
  <c r="S230" i="1"/>
  <c r="D91" i="15" s="1"/>
  <c r="S89" i="1"/>
  <c r="T89" i="1" s="1"/>
  <c r="S54" i="1"/>
  <c r="R133" i="1"/>
  <c r="R240" i="1"/>
  <c r="S64" i="1"/>
  <c r="S11" i="1"/>
  <c r="D31" i="15" s="1"/>
  <c r="S97" i="1"/>
  <c r="R216" i="1"/>
  <c r="S40" i="1"/>
  <c r="D145" i="15" s="1"/>
  <c r="R83" i="1"/>
  <c r="S109" i="1"/>
  <c r="D220" i="15" s="1"/>
  <c r="S47" i="1"/>
  <c r="R41" i="1"/>
  <c r="S55" i="1"/>
  <c r="R32" i="1"/>
  <c r="S72" i="1"/>
  <c r="S179" i="1"/>
  <c r="D203" i="15" s="1"/>
  <c r="R179" i="1"/>
  <c r="S187" i="1"/>
  <c r="D5" i="15" s="1"/>
  <c r="R187" i="1"/>
  <c r="S154" i="1"/>
  <c r="D153" i="15" s="1"/>
  <c r="R154" i="1"/>
  <c r="S169" i="1"/>
  <c r="D52" i="15" s="1"/>
  <c r="R169" i="1"/>
  <c r="R165" i="1"/>
  <c r="S165" i="1"/>
  <c r="D93" i="15" s="1"/>
  <c r="S184" i="1"/>
  <c r="D88" i="15" s="1"/>
  <c r="R184" i="1"/>
  <c r="R157" i="1"/>
  <c r="S157" i="1"/>
  <c r="D62" i="15" s="1"/>
  <c r="S161" i="1"/>
  <c r="D89" i="15" s="1"/>
  <c r="R161" i="1"/>
  <c r="S188" i="1"/>
  <c r="D68" i="15" s="1"/>
  <c r="R188" i="1"/>
  <c r="S186" i="1"/>
  <c r="D6" i="15" s="1"/>
  <c r="R186" i="1"/>
  <c r="T124" i="1"/>
  <c r="T42" i="1"/>
  <c r="T223" i="1"/>
  <c r="T166" i="1"/>
  <c r="T164" i="1"/>
  <c r="T158" i="1"/>
  <c r="T121" i="1"/>
  <c r="T116" i="1"/>
  <c r="T106" i="1"/>
  <c r="T41" i="1"/>
  <c r="S85" i="1"/>
  <c r="D75" i="15" s="1"/>
  <c r="R85" i="1"/>
  <c r="T78" i="1"/>
  <c r="T68" i="1"/>
  <c r="T60" i="1"/>
  <c r="T51" i="1"/>
  <c r="T32" i="1"/>
  <c r="T28" i="1"/>
  <c r="T240" i="1"/>
  <c r="T216" i="1"/>
  <c r="T208" i="1"/>
  <c r="T141" i="1"/>
  <c r="T133" i="1"/>
  <c r="T26" i="1"/>
  <c r="T83" i="1"/>
  <c r="T74" i="1"/>
  <c r="T20" i="1"/>
  <c r="T222" i="1"/>
  <c r="T214" i="1"/>
  <c r="T206" i="1"/>
  <c r="T57" i="1"/>
  <c r="S243" i="1"/>
  <c r="D186" i="15" s="1"/>
  <c r="R243" i="1"/>
  <c r="S217" i="1"/>
  <c r="D33" i="15" s="1"/>
  <c r="R217" i="1"/>
  <c r="S209" i="1"/>
  <c r="D213" i="15" s="1"/>
  <c r="R209" i="1"/>
  <c r="S202" i="1"/>
  <c r="D18" i="15" s="1"/>
  <c r="R202" i="1"/>
  <c r="S196" i="1"/>
  <c r="D157" i="15" s="1"/>
  <c r="R196" i="1"/>
  <c r="R182" i="1"/>
  <c r="S182" i="1"/>
  <c r="D240" i="15" s="1"/>
  <c r="S149" i="1"/>
  <c r="D192" i="15" s="1"/>
  <c r="R149" i="1"/>
  <c r="S114" i="1"/>
  <c r="D121" i="15" s="1"/>
  <c r="R114" i="1"/>
  <c r="S96" i="1"/>
  <c r="D162" i="15" s="1"/>
  <c r="R96" i="1"/>
  <c r="R88" i="1"/>
  <c r="S88" i="1"/>
  <c r="D134" i="15" s="1"/>
  <c r="S77" i="1"/>
  <c r="D135" i="15" s="1"/>
  <c r="R77" i="1"/>
  <c r="S39" i="1"/>
  <c r="D67" i="15" s="1"/>
  <c r="R39" i="1"/>
  <c r="R31" i="1"/>
  <c r="S31" i="1"/>
  <c r="D237" i="15" s="1"/>
  <c r="R16" i="1"/>
  <c r="S16" i="1"/>
  <c r="D142" i="15" s="1"/>
  <c r="S122" i="1"/>
  <c r="D238" i="15" s="1"/>
  <c r="R122" i="1"/>
  <c r="R105" i="1"/>
  <c r="S105" i="1"/>
  <c r="D24" i="15" s="1"/>
  <c r="R95" i="1"/>
  <c r="S95" i="1"/>
  <c r="D174" i="15" s="1"/>
  <c r="S66" i="1"/>
  <c r="T66" i="1" s="1"/>
  <c r="R66" i="1"/>
  <c r="S58" i="1"/>
  <c r="D152" i="15" s="1"/>
  <c r="R58" i="1"/>
  <c r="S49" i="1"/>
  <c r="D95" i="15" s="1"/>
  <c r="R49" i="1"/>
  <c r="S242" i="1"/>
  <c r="D27" i="15" s="1"/>
  <c r="R242" i="1"/>
  <c r="S233" i="1"/>
  <c r="D144" i="15" s="1"/>
  <c r="R233" i="1"/>
  <c r="T46" i="1"/>
  <c r="T112" i="1"/>
  <c r="R76" i="1"/>
  <c r="S76" i="1"/>
  <c r="D48" i="15" s="1"/>
  <c r="S185" i="1"/>
  <c r="D212" i="15" s="1"/>
  <c r="R185" i="1"/>
  <c r="S168" i="1"/>
  <c r="D147" i="15" s="1"/>
  <c r="R168" i="1"/>
  <c r="S160" i="1"/>
  <c r="D63" i="15" s="1"/>
  <c r="R160" i="1"/>
  <c r="S178" i="1"/>
  <c r="D116" i="15" s="1"/>
  <c r="R178" i="1"/>
  <c r="S143" i="1"/>
  <c r="D194" i="15" s="1"/>
  <c r="R143" i="1"/>
  <c r="S135" i="1"/>
  <c r="D163" i="15" s="1"/>
  <c r="R135" i="1"/>
  <c r="R126" i="1"/>
  <c r="S126" i="1"/>
  <c r="D128" i="15" s="1"/>
  <c r="R86" i="1"/>
  <c r="S86" i="1"/>
  <c r="D107" i="15" s="1"/>
  <c r="S37" i="1"/>
  <c r="D188" i="15" s="1"/>
  <c r="R37" i="1"/>
  <c r="S24" i="1"/>
  <c r="D210" i="15" s="1"/>
  <c r="R24" i="1"/>
  <c r="R108" i="1"/>
  <c r="S108" i="1"/>
  <c r="D61" i="15" s="1"/>
  <c r="R98" i="1"/>
  <c r="S98" i="1"/>
  <c r="D65" i="15" s="1"/>
  <c r="R90" i="1"/>
  <c r="S90" i="1"/>
  <c r="D218" i="15" s="1"/>
  <c r="T156" i="1"/>
  <c r="S234" i="1"/>
  <c r="D81" i="15" s="1"/>
  <c r="R234" i="1"/>
  <c r="T123" i="1"/>
  <c r="T175" i="1"/>
  <c r="T30" i="1"/>
  <c r="T190" i="1"/>
  <c r="T219" i="1"/>
  <c r="T207" i="1"/>
  <c r="T198" i="1"/>
  <c r="T191" i="1"/>
  <c r="S244" i="1"/>
  <c r="D178" i="15" s="1"/>
  <c r="R244" i="1"/>
  <c r="S221" i="1"/>
  <c r="D149" i="15" s="1"/>
  <c r="R221" i="1"/>
  <c r="S213" i="1"/>
  <c r="D104" i="15" s="1"/>
  <c r="R213" i="1"/>
  <c r="S205" i="1"/>
  <c r="D78" i="15" s="1"/>
  <c r="R205" i="1"/>
  <c r="S200" i="1"/>
  <c r="D201" i="15" s="1"/>
  <c r="R200" i="1"/>
  <c r="S151" i="1"/>
  <c r="D189" i="15" s="1"/>
  <c r="R151" i="1"/>
  <c r="R99" i="1"/>
  <c r="S99" i="1"/>
  <c r="D8" i="15" s="1"/>
  <c r="S92" i="1"/>
  <c r="D130" i="15" s="1"/>
  <c r="R92" i="1"/>
  <c r="R84" i="1"/>
  <c r="S84" i="1"/>
  <c r="D211" i="15" s="1"/>
  <c r="S43" i="1"/>
  <c r="D160" i="15" s="1"/>
  <c r="R43" i="1"/>
  <c r="R35" i="1"/>
  <c r="S35" i="1"/>
  <c r="D208" i="15" s="1"/>
  <c r="R21" i="1"/>
  <c r="S21" i="1"/>
  <c r="D35" i="15" s="1"/>
  <c r="R118" i="1"/>
  <c r="S118" i="1"/>
  <c r="D143" i="15" s="1"/>
  <c r="R110" i="1"/>
  <c r="S110" i="1"/>
  <c r="D136" i="15" s="1"/>
  <c r="R100" i="1"/>
  <c r="S100" i="1"/>
  <c r="D64" i="15" s="1"/>
  <c r="R91" i="1"/>
  <c r="S91" i="1"/>
  <c r="D184" i="15" s="1"/>
  <c r="S62" i="1"/>
  <c r="D119" i="15" s="1"/>
  <c r="R62" i="1"/>
  <c r="S53" i="1"/>
  <c r="D207" i="15" s="1"/>
  <c r="R53" i="1"/>
  <c r="S238" i="1"/>
  <c r="D15" i="15" s="1"/>
  <c r="R238" i="1"/>
  <c r="S229" i="1"/>
  <c r="D56" i="15" s="1"/>
  <c r="R229" i="1"/>
  <c r="S183" i="1"/>
  <c r="D72" i="15" s="1"/>
  <c r="R183" i="1"/>
  <c r="S153" i="1"/>
  <c r="D115" i="15" s="1"/>
  <c r="R153" i="1"/>
  <c r="R142" i="1"/>
  <c r="S142" i="1"/>
  <c r="D167" i="15" s="1"/>
  <c r="S129" i="1"/>
  <c r="D44" i="15" s="1"/>
  <c r="R129" i="1"/>
  <c r="S173" i="1"/>
  <c r="T173" i="1" s="1"/>
  <c r="R173" i="1"/>
  <c r="S102" i="1"/>
  <c r="D236" i="15" s="1"/>
  <c r="R102" i="1"/>
  <c r="S17" i="1"/>
  <c r="D58" i="15" s="1"/>
  <c r="R17" i="1"/>
  <c r="S9" i="1"/>
  <c r="D53" i="15" s="1"/>
  <c r="R9" i="1"/>
  <c r="T25" i="1"/>
  <c r="T27" i="1"/>
  <c r="T215" i="1"/>
  <c r="S194" i="1"/>
  <c r="T194" i="1" s="1"/>
  <c r="R194" i="1"/>
  <c r="T236" i="1"/>
  <c r="T227" i="1"/>
  <c r="T220" i="1"/>
  <c r="T212" i="1"/>
  <c r="T204" i="1"/>
  <c r="T145" i="1"/>
  <c r="T137" i="1"/>
  <c r="T87" i="1"/>
  <c r="T70" i="1"/>
  <c r="T34" i="1"/>
  <c r="T218" i="1"/>
  <c r="T210" i="1"/>
  <c r="T199" i="1"/>
  <c r="T189" i="1"/>
  <c r="T119" i="1"/>
  <c r="T152" i="1"/>
  <c r="T75" i="1"/>
  <c r="T71" i="1"/>
  <c r="T67" i="1"/>
  <c r="T63" i="1"/>
  <c r="T50" i="1"/>
  <c r="T33" i="1"/>
  <c r="T44" i="1"/>
  <c r="T36" i="1"/>
  <c r="T128" i="1"/>
  <c r="T38" i="1"/>
  <c r="T104" i="1"/>
  <c r="T230" i="1"/>
  <c r="R197" i="1"/>
  <c r="S197" i="1"/>
  <c r="D51" i="15" s="1"/>
  <c r="R235" i="1"/>
  <c r="S235" i="1"/>
  <c r="D101" i="15" s="1"/>
  <c r="R225" i="1"/>
  <c r="S225" i="1"/>
  <c r="D50" i="15" s="1"/>
  <c r="R172" i="1"/>
  <c r="S172" i="1"/>
  <c r="D127" i="15" s="1"/>
  <c r="R148" i="1"/>
  <c r="S148" i="1"/>
  <c r="D83" i="15" s="1"/>
  <c r="R140" i="1"/>
  <c r="S140" i="1"/>
  <c r="D21" i="15" s="1"/>
  <c r="R132" i="1"/>
  <c r="S132" i="1"/>
  <c r="D100" i="15" s="1"/>
  <c r="R159" i="1"/>
  <c r="S159" i="1"/>
  <c r="D146" i="15" s="1"/>
  <c r="R103" i="1"/>
  <c r="S103" i="1"/>
  <c r="D113" i="15" s="1"/>
  <c r="R8" i="1"/>
  <c r="S8" i="1"/>
  <c r="D158" i="15" s="1"/>
  <c r="R113" i="1"/>
  <c r="S113" i="1"/>
  <c r="D219" i="15" s="1"/>
  <c r="R10" i="1"/>
  <c r="S10" i="1"/>
  <c r="D39" i="15" s="1"/>
  <c r="R195" i="1"/>
  <c r="S195" i="1"/>
  <c r="D138" i="15" s="1"/>
  <c r="R237" i="1"/>
  <c r="S237" i="1"/>
  <c r="D141" i="15" s="1"/>
  <c r="S171" i="1"/>
  <c r="D19" i="15" s="1"/>
  <c r="R171" i="1"/>
  <c r="R174" i="1"/>
  <c r="S174" i="1"/>
  <c r="D20" i="15" s="1"/>
  <c r="R146" i="1"/>
  <c r="S146" i="1"/>
  <c r="D117" i="15" s="1"/>
  <c r="R138" i="1"/>
  <c r="S138" i="1"/>
  <c r="D23" i="15" s="1"/>
  <c r="S125" i="1"/>
  <c r="D32" i="15" s="1"/>
  <c r="R125" i="1"/>
  <c r="S150" i="1"/>
  <c r="D151" i="15" s="1"/>
  <c r="R150" i="1"/>
  <c r="R59" i="1"/>
  <c r="S59" i="1"/>
  <c r="D222" i="15" s="1"/>
  <c r="R115" i="1"/>
  <c r="S115" i="1"/>
  <c r="D215" i="15" s="1"/>
  <c r="S13" i="1"/>
  <c r="D164" i="15" s="1"/>
  <c r="R13" i="1"/>
  <c r="T73" i="1"/>
  <c r="T65" i="1"/>
  <c r="T56" i="1"/>
  <c r="T48" i="1"/>
  <c r="T134" i="1"/>
  <c r="T93" i="1"/>
  <c r="T7" i="1"/>
  <c r="T120" i="1"/>
  <c r="T23" i="1"/>
  <c r="T224" i="1"/>
  <c r="T69" i="1"/>
  <c r="T61" i="1"/>
  <c r="T52" i="1"/>
  <c r="T226" i="1"/>
  <c r="R193" i="1"/>
  <c r="S193" i="1"/>
  <c r="D161" i="15" s="1"/>
  <c r="R239" i="1"/>
  <c r="S239" i="1"/>
  <c r="D90" i="15" s="1"/>
  <c r="R232" i="1"/>
  <c r="S232" i="1"/>
  <c r="D175" i="15" s="1"/>
  <c r="R177" i="1"/>
  <c r="S177" i="1"/>
  <c r="D102" i="15" s="1"/>
  <c r="R163" i="1"/>
  <c r="S163" i="1"/>
  <c r="D73" i="15" s="1"/>
  <c r="R144" i="1"/>
  <c r="S144" i="1"/>
  <c r="T144" i="1" s="1"/>
  <c r="R136" i="1"/>
  <c r="S136" i="1"/>
  <c r="D111" i="15" s="1"/>
  <c r="S127" i="1"/>
  <c r="T127" i="1" s="1"/>
  <c r="R127" i="1"/>
  <c r="R167" i="1"/>
  <c r="S167" i="1"/>
  <c r="D74" i="15" s="1"/>
  <c r="R117" i="1"/>
  <c r="S117" i="1"/>
  <c r="D55" i="15" s="1"/>
  <c r="R107" i="1"/>
  <c r="S107" i="1"/>
  <c r="D206" i="15" s="1"/>
  <c r="R12" i="1"/>
  <c r="S12" i="1"/>
  <c r="D154" i="15" s="1"/>
  <c r="R14" i="1"/>
  <c r="S14" i="1"/>
  <c r="D57" i="15" s="1"/>
  <c r="R241" i="1"/>
  <c r="S241" i="1"/>
  <c r="D159" i="15" s="1"/>
  <c r="S176" i="1"/>
  <c r="D42" i="15" s="1"/>
  <c r="R176" i="1"/>
  <c r="S228" i="1"/>
  <c r="D94" i="15" s="1"/>
  <c r="R228" i="1"/>
  <c r="S170" i="1"/>
  <c r="D69" i="15" s="1"/>
  <c r="R170" i="1"/>
  <c r="S162" i="1"/>
  <c r="D43" i="15" s="1"/>
  <c r="R162" i="1"/>
  <c r="S181" i="1"/>
  <c r="D40" i="15" s="1"/>
  <c r="R181" i="1"/>
  <c r="S147" i="1"/>
  <c r="D34" i="15" s="1"/>
  <c r="R147" i="1"/>
  <c r="S139" i="1"/>
  <c r="D137" i="15" s="1"/>
  <c r="R139" i="1"/>
  <c r="R130" i="1"/>
  <c r="S130" i="1"/>
  <c r="D120" i="15" s="1"/>
  <c r="S81" i="1"/>
  <c r="D118" i="15" s="1"/>
  <c r="R81" i="1"/>
  <c r="S45" i="1"/>
  <c r="D170" i="15" s="1"/>
  <c r="R45" i="1"/>
  <c r="R29" i="1"/>
  <c r="S29" i="1"/>
  <c r="D204" i="15" s="1"/>
  <c r="R111" i="1"/>
  <c r="S111" i="1"/>
  <c r="D148" i="15" s="1"/>
  <c r="R101" i="1"/>
  <c r="S101" i="1"/>
  <c r="D214" i="15" s="1"/>
  <c r="R94" i="1"/>
  <c r="S94" i="1"/>
  <c r="D223" i="15" s="1"/>
  <c r="T245" i="1"/>
  <c r="T249" i="1"/>
  <c r="T97" i="1" l="1"/>
  <c r="D230" i="15"/>
  <c r="T64" i="1"/>
  <c r="D49" i="15"/>
  <c r="T80" i="1"/>
  <c r="D150" i="15"/>
  <c r="T211" i="1"/>
  <c r="D47" i="15"/>
  <c r="T72" i="1"/>
  <c r="D196" i="15"/>
  <c r="T55" i="1"/>
  <c r="D77" i="15"/>
  <c r="T47" i="1"/>
  <c r="D197" i="15"/>
  <c r="T54" i="1"/>
  <c r="D229" i="15"/>
  <c r="T11" i="1"/>
  <c r="T40" i="1"/>
  <c r="T109" i="1"/>
  <c r="T179" i="1"/>
  <c r="T154" i="1"/>
  <c r="T187" i="1"/>
  <c r="T165" i="1"/>
  <c r="T169" i="1"/>
  <c r="T157" i="1"/>
  <c r="T161" i="1"/>
  <c r="T184" i="1"/>
  <c r="T186" i="1"/>
  <c r="T188" i="1"/>
  <c r="T101" i="1"/>
  <c r="T29" i="1"/>
  <c r="T14" i="1"/>
  <c r="T107" i="1"/>
  <c r="T167" i="1"/>
  <c r="T177" i="1"/>
  <c r="T239" i="1"/>
  <c r="T193" i="1"/>
  <c r="T59" i="1"/>
  <c r="T146" i="1"/>
  <c r="T237" i="1"/>
  <c r="T10" i="1"/>
  <c r="T8" i="1"/>
  <c r="T159" i="1"/>
  <c r="T140" i="1"/>
  <c r="T172" i="1"/>
  <c r="T235" i="1"/>
  <c r="T197" i="1"/>
  <c r="T100" i="1"/>
  <c r="T118" i="1"/>
  <c r="T35" i="1"/>
  <c r="T84" i="1"/>
  <c r="T90" i="1"/>
  <c r="T98" i="1"/>
  <c r="T108" i="1"/>
  <c r="T86" i="1"/>
  <c r="T126" i="1"/>
  <c r="T76" i="1"/>
  <c r="T95" i="1"/>
  <c r="T105" i="1"/>
  <c r="T16" i="1"/>
  <c r="T31" i="1"/>
  <c r="T88" i="1"/>
  <c r="T182" i="1"/>
  <c r="T94" i="1"/>
  <c r="T111" i="1"/>
  <c r="T130" i="1"/>
  <c r="T241" i="1"/>
  <c r="T12" i="1"/>
  <c r="T117" i="1"/>
  <c r="T136" i="1"/>
  <c r="T163" i="1"/>
  <c r="T232" i="1"/>
  <c r="T115" i="1"/>
  <c r="T138" i="1"/>
  <c r="T174" i="1"/>
  <c r="T195" i="1"/>
  <c r="T113" i="1"/>
  <c r="T103" i="1"/>
  <c r="T132" i="1"/>
  <c r="T148" i="1"/>
  <c r="T225" i="1"/>
  <c r="T142" i="1"/>
  <c r="T91" i="1"/>
  <c r="T110" i="1"/>
  <c r="T21" i="1"/>
  <c r="T99" i="1"/>
  <c r="T45" i="1"/>
  <c r="T81" i="1"/>
  <c r="T139" i="1"/>
  <c r="T147" i="1"/>
  <c r="T181" i="1"/>
  <c r="T162" i="1"/>
  <c r="T170" i="1"/>
  <c r="T228" i="1"/>
  <c r="T176" i="1"/>
  <c r="T13" i="1"/>
  <c r="T150" i="1"/>
  <c r="T125" i="1"/>
  <c r="T171" i="1"/>
  <c r="T9" i="1"/>
  <c r="T17" i="1"/>
  <c r="T102" i="1"/>
  <c r="T129" i="1"/>
  <c r="T153" i="1"/>
  <c r="T183" i="1"/>
  <c r="T229" i="1"/>
  <c r="T238" i="1"/>
  <c r="T53" i="1"/>
  <c r="T62" i="1"/>
  <c r="T43" i="1"/>
  <c r="T92" i="1"/>
  <c r="T151" i="1"/>
  <c r="T200" i="1"/>
  <c r="T205" i="1"/>
  <c r="T213" i="1"/>
  <c r="T221" i="1"/>
  <c r="T244" i="1"/>
  <c r="T234" i="1"/>
  <c r="T24" i="1"/>
  <c r="T37" i="1"/>
  <c r="T135" i="1"/>
  <c r="T143" i="1"/>
  <c r="T178" i="1"/>
  <c r="T160" i="1"/>
  <c r="T168" i="1"/>
  <c r="T185" i="1"/>
  <c r="T233" i="1"/>
  <c r="T242" i="1"/>
  <c r="T49" i="1"/>
  <c r="T58" i="1"/>
  <c r="T122" i="1"/>
  <c r="T39" i="1"/>
  <c r="T77" i="1"/>
  <c r="T96" i="1"/>
  <c r="T114" i="1"/>
  <c r="T149" i="1"/>
  <c r="T196" i="1"/>
  <c r="T202" i="1"/>
  <c r="T209" i="1"/>
  <c r="T217" i="1"/>
  <c r="T243" i="1"/>
  <c r="T85" i="1"/>
</calcChain>
</file>

<file path=xl/comments1.xml><?xml version="1.0" encoding="utf-8"?>
<comments xmlns="http://schemas.openxmlformats.org/spreadsheetml/2006/main">
  <authors>
    <author>Q.A. Cleal</author>
  </authors>
  <commentList>
    <comment ref="J4" authorId="0">
      <text>
        <r>
          <rPr>
            <b/>
            <sz val="8"/>
            <color indexed="81"/>
            <rFont val="Tahoma"/>
            <family val="2"/>
          </rPr>
          <t>Q.A. Cleal:</t>
        </r>
        <r>
          <rPr>
            <sz val="8"/>
            <color indexed="81"/>
            <rFont val="Tahoma"/>
            <family val="2"/>
          </rPr>
          <t xml:space="preserve">
London Weighting in 2008/09 and 2009/10 on NHS Employers site has not changed from 2005-06 values
http://www.nhsemployers.org/Aboutus/Publications/PayCirculars/Pages/PaycircularMD3-2008.aspx</t>
        </r>
      </text>
    </comment>
  </commentList>
</comments>
</file>

<file path=xl/sharedStrings.xml><?xml version="1.0" encoding="utf-8"?>
<sst xmlns="http://schemas.openxmlformats.org/spreadsheetml/2006/main" count="20254" uniqueCount="4329">
  <si>
    <t>COLCHESTER HOSPITAL UNIVERSITY NHS FOUNDATION TRUST</t>
  </si>
  <si>
    <t>RJ8</t>
  </si>
  <si>
    <t>CORNWALL PARTNERSHIP NHS TRUST</t>
  </si>
  <si>
    <t>RJR</t>
  </si>
  <si>
    <t>COUNTESS OF CHESTER HOSPITAL NHS FOUNDATION TRUST</t>
  </si>
  <si>
    <t>RXP</t>
  </si>
  <si>
    <t>COUNTY DURHAM AND DARLINGTON NHS FOUNDATION TRUST</t>
  </si>
  <si>
    <t>RYG</t>
  </si>
  <si>
    <t>COVENTRY AND WARWICKSHIRE PARTNERSHIP NHS TRUST</t>
  </si>
  <si>
    <t>RNN</t>
  </si>
  <si>
    <t>CUMBRIA PARTNERSHIP NHS FOUNDATION TRUST</t>
  </si>
  <si>
    <t>RN7</t>
  </si>
  <si>
    <t>OX3 7LJ</t>
  </si>
  <si>
    <t>OX16 9AL</t>
  </si>
  <si>
    <t>OX169</t>
  </si>
  <si>
    <t>OX3 9DU</t>
  </si>
  <si>
    <t>OX39</t>
  </si>
  <si>
    <t>TW15 3AA</t>
  </si>
  <si>
    <t>TW153</t>
  </si>
  <si>
    <t>KT16 0PZ</t>
  </si>
  <si>
    <t>KT160</t>
  </si>
  <si>
    <t>RH1 5RH</t>
  </si>
  <si>
    <t>RH15</t>
  </si>
  <si>
    <t>DL6 1JG</t>
  </si>
  <si>
    <t>DL61</t>
  </si>
  <si>
    <t>TS4 3BW</t>
  </si>
  <si>
    <t>TS43</t>
  </si>
  <si>
    <t>LA9 7RG</t>
  </si>
  <si>
    <t>LA97</t>
  </si>
  <si>
    <t>LA14 4LF</t>
  </si>
  <si>
    <t>LA144</t>
  </si>
  <si>
    <t>LA1 4RP</t>
  </si>
  <si>
    <t>LA14</t>
  </si>
  <si>
    <t>SW9 9NT</t>
  </si>
  <si>
    <t>SW99</t>
  </si>
  <si>
    <t>CR0 2UR</t>
  </si>
  <si>
    <t>CR02</t>
  </si>
  <si>
    <t>SE11 4TH</t>
  </si>
  <si>
    <t>SE114</t>
  </si>
  <si>
    <t>SE13 6UG</t>
  </si>
  <si>
    <t>SW16 3BS</t>
  </si>
  <si>
    <t>SW163</t>
  </si>
  <si>
    <t>SE5 8AZ</t>
  </si>
  <si>
    <t>SE58</t>
  </si>
  <si>
    <t>SW9 9NU</t>
  </si>
  <si>
    <t>BR3 3BX</t>
  </si>
  <si>
    <t>BR33</t>
  </si>
  <si>
    <t>LU1 3RG</t>
  </si>
  <si>
    <t>LU13</t>
  </si>
  <si>
    <t>LU4 0FB</t>
  </si>
  <si>
    <t>LU7 2TD</t>
  </si>
  <si>
    <t>LU72</t>
  </si>
  <si>
    <t>LU1 2PL</t>
  </si>
  <si>
    <t>LU12</t>
  </si>
  <si>
    <t>LU5 5BF</t>
  </si>
  <si>
    <t>LU55</t>
  </si>
  <si>
    <t>MK40 2NT</t>
  </si>
  <si>
    <t>MK402</t>
  </si>
  <si>
    <t>MK40 2NR</t>
  </si>
  <si>
    <t>LU4 9WT</t>
  </si>
  <si>
    <t>LU49</t>
  </si>
  <si>
    <t>NW10 7NS</t>
  </si>
  <si>
    <t>NW107</t>
  </si>
  <si>
    <t>HA1 3UJ</t>
  </si>
  <si>
    <t>HA13</t>
  </si>
  <si>
    <t>EN5 3DJ</t>
  </si>
  <si>
    <t>EN53</t>
  </si>
  <si>
    <t>EN2 8JL</t>
  </si>
  <si>
    <t>EN28</t>
  </si>
  <si>
    <t>KT18 7EG</t>
  </si>
  <si>
    <t>KT187</t>
  </si>
  <si>
    <t>SM5 1AA</t>
  </si>
  <si>
    <t>SM51</t>
  </si>
  <si>
    <t>CT1 3NG</t>
  </si>
  <si>
    <t>CT13</t>
  </si>
  <si>
    <t>CT9 4AN</t>
  </si>
  <si>
    <t>CT94</t>
  </si>
  <si>
    <t>TN24 0LZ</t>
  </si>
  <si>
    <t>TN240</t>
  </si>
  <si>
    <t>TS24 9AH</t>
  </si>
  <si>
    <t>TS249</t>
  </si>
  <si>
    <t>TS19 8PE</t>
  </si>
  <si>
    <t>TS198</t>
  </si>
  <si>
    <t>L39 2AZ</t>
  </si>
  <si>
    <t>L392</t>
  </si>
  <si>
    <t>PR8 6PN</t>
  </si>
  <si>
    <t>PR86</t>
  </si>
  <si>
    <t>PO9 2AW</t>
  </si>
  <si>
    <t>PO92</t>
  </si>
  <si>
    <t>SO40 2RZ</t>
  </si>
  <si>
    <t>SO402</t>
  </si>
  <si>
    <t>BH25 7AP</t>
  </si>
  <si>
    <t>BH257</t>
  </si>
  <si>
    <t>SO21 1HL</t>
  </si>
  <si>
    <t>SO211</t>
  </si>
  <si>
    <t>SO31 7ZS</t>
  </si>
  <si>
    <t>SO317</t>
  </si>
  <si>
    <t>PO9 2JJ</t>
  </si>
  <si>
    <t>SO40 2TA</t>
  </si>
  <si>
    <t>SO22 5DL</t>
  </si>
  <si>
    <t>SO14 0YG</t>
  </si>
  <si>
    <t>SO140</t>
  </si>
  <si>
    <t>RG24 9RH</t>
  </si>
  <si>
    <t>PO17 5NA</t>
  </si>
  <si>
    <t>PO175</t>
  </si>
  <si>
    <t>M9 7AA</t>
  </si>
  <si>
    <t>M97</t>
  </si>
  <si>
    <t>M27 4HA</t>
  </si>
  <si>
    <t>M274</t>
  </si>
  <si>
    <t>M13 9WL</t>
  </si>
  <si>
    <t>M139</t>
  </si>
  <si>
    <t>OL12 9QB</t>
  </si>
  <si>
    <t>OL129</t>
  </si>
  <si>
    <t>OL12 0NB</t>
  </si>
  <si>
    <t>OL120</t>
  </si>
  <si>
    <t>BL9 7TD</t>
  </si>
  <si>
    <t>BL97</t>
  </si>
  <si>
    <t>OL1 2JH</t>
  </si>
  <si>
    <t>OL12</t>
  </si>
  <si>
    <t>M8 5RB</t>
  </si>
  <si>
    <t>M85</t>
  </si>
  <si>
    <t>HU16 5JQ</t>
  </si>
  <si>
    <t>HU165</t>
  </si>
  <si>
    <t>HU3 2JZ</t>
  </si>
  <si>
    <t>HU32</t>
  </si>
  <si>
    <t>LN11 0EU</t>
  </si>
  <si>
    <t>LN110</t>
  </si>
  <si>
    <t>NG31 8DG</t>
  </si>
  <si>
    <t>NG318</t>
  </si>
  <si>
    <t>PE21 9QS</t>
  </si>
  <si>
    <t>PE219</t>
  </si>
  <si>
    <t>LN2 5QY</t>
  </si>
  <si>
    <t>LN25</t>
  </si>
  <si>
    <t>LE3 9QP</t>
  </si>
  <si>
    <t>LE39</t>
  </si>
  <si>
    <t>LE5 4PW</t>
  </si>
  <si>
    <t>LE54</t>
  </si>
  <si>
    <t>LE1 5WW</t>
  </si>
  <si>
    <t>LE15</t>
  </si>
  <si>
    <t>TN2 4QJ</t>
  </si>
  <si>
    <t>TN24</t>
  </si>
  <si>
    <t>TN4 8AT</t>
  </si>
  <si>
    <t>TN48</t>
  </si>
  <si>
    <t>ME16 9QQ</t>
  </si>
  <si>
    <t>ME169</t>
  </si>
  <si>
    <t>AL3 5PN</t>
  </si>
  <si>
    <t>AL35</t>
  </si>
  <si>
    <t>HP2 4AD</t>
  </si>
  <si>
    <t>HP24</t>
  </si>
  <si>
    <t>WD18 0HB</t>
  </si>
  <si>
    <t>WD180</t>
  </si>
  <si>
    <t>AL7 4HQ</t>
  </si>
  <si>
    <t>AL74</t>
  </si>
  <si>
    <t>SG1 4AB</t>
  </si>
  <si>
    <t>SG14</t>
  </si>
  <si>
    <t>SK2 7PZ</t>
  </si>
  <si>
    <t>SK27</t>
  </si>
  <si>
    <t>SK2 7JE</t>
  </si>
  <si>
    <t>DY11 6RJ</t>
  </si>
  <si>
    <t>DY116</t>
  </si>
  <si>
    <t>B98 7UB</t>
  </si>
  <si>
    <t>B987</t>
  </si>
  <si>
    <t>WR5 1DD</t>
  </si>
  <si>
    <t>WR51</t>
  </si>
  <si>
    <t>WA7 2DA</t>
  </si>
  <si>
    <t>WA72</t>
  </si>
  <si>
    <t>WA5 1QG</t>
  </si>
  <si>
    <t>WA51</t>
  </si>
  <si>
    <t>HX3 0PW</t>
  </si>
  <si>
    <t>HX30</t>
  </si>
  <si>
    <t>HD3 3EA</t>
  </si>
  <si>
    <t>HD33</t>
  </si>
  <si>
    <t>NG5 1PB</t>
  </si>
  <si>
    <t>NG51</t>
  </si>
  <si>
    <t>NG7 2UH</t>
  </si>
  <si>
    <t>NG72</t>
  </si>
  <si>
    <t>NE42 5NT</t>
  </si>
  <si>
    <t>NE425</t>
  </si>
  <si>
    <t>SR5 1NB</t>
  </si>
  <si>
    <t>SR51</t>
  </si>
  <si>
    <t>SR2 0NB</t>
  </si>
  <si>
    <t>SR20</t>
  </si>
  <si>
    <t>NE3 3XT</t>
  </si>
  <si>
    <t>NE33</t>
  </si>
  <si>
    <t>Royal Surrey County NHS Foundation Trust</t>
  </si>
  <si>
    <t>South Downs Health NHS Trust</t>
  </si>
  <si>
    <t>South East Coast Ambulance Service NHS Trust</t>
  </si>
  <si>
    <t>5P7</t>
  </si>
  <si>
    <t>Surrey and Borders Partnership NHS Foundation Trust</t>
  </si>
  <si>
    <t>Surrey and Sussex Healthcare NHS Trust</t>
  </si>
  <si>
    <t>Sussex Partnership NHS Foundation Trust</t>
  </si>
  <si>
    <t>Q38</t>
  </si>
  <si>
    <t>5QC</t>
  </si>
  <si>
    <t>Berkshire Healthcare NHS Foundation Trust</t>
  </si>
  <si>
    <t>5QG</t>
  </si>
  <si>
    <t>Buckinghamshire Hospitals NHS Trust</t>
  </si>
  <si>
    <t>5QD</t>
  </si>
  <si>
    <t>Hampshire Partnership NHS Foundation Trust</t>
  </si>
  <si>
    <t>Heatherwood and Wexham Park Hosps NHS Foundation Trust</t>
  </si>
  <si>
    <t>Milton Keynes Hospital NHS Foundation Trust</t>
  </si>
  <si>
    <t>5CQ</t>
  </si>
  <si>
    <t>5QE</t>
  </si>
  <si>
    <t>Oxford Learning Disability NHS Trust</t>
  </si>
  <si>
    <t>Oxfordshire and Buckinghamshire Mental Health NHS Foundation Trust</t>
  </si>
  <si>
    <t>Portsmouth Hospitals NHS Trust</t>
  </si>
  <si>
    <t>5FE</t>
  </si>
  <si>
    <t>BH13 7LN</t>
  </si>
  <si>
    <t>BH137</t>
  </si>
  <si>
    <t>BH4 8EW</t>
  </si>
  <si>
    <t>BH48</t>
  </si>
  <si>
    <t>BH12 4NB</t>
  </si>
  <si>
    <t>BH124</t>
  </si>
  <si>
    <t>BH6 5AJ</t>
  </si>
  <si>
    <t>BH65</t>
  </si>
  <si>
    <t>BH10 4EU</t>
  </si>
  <si>
    <t>BH104</t>
  </si>
  <si>
    <t>BH12 2EA</t>
  </si>
  <si>
    <t>BH122</t>
  </si>
  <si>
    <t>LS15 8ZB</t>
  </si>
  <si>
    <t>LS158</t>
  </si>
  <si>
    <t>LS12 3QE</t>
  </si>
  <si>
    <t>LS123</t>
  </si>
  <si>
    <t>BA5 1TH</t>
  </si>
  <si>
    <t>BA51</t>
  </si>
  <si>
    <t>BA20 2BN</t>
  </si>
  <si>
    <t>BA202</t>
  </si>
  <si>
    <t>TA2 7AU</t>
  </si>
  <si>
    <t>TA27</t>
  </si>
  <si>
    <t>TA6 4RN</t>
  </si>
  <si>
    <t>TA64</t>
  </si>
  <si>
    <t>BA20 2BX</t>
  </si>
  <si>
    <t>TA2 7AZ</t>
  </si>
  <si>
    <t>TA4 1DE</t>
  </si>
  <si>
    <t>TA41</t>
  </si>
  <si>
    <t>NG3 6AA</t>
  </si>
  <si>
    <t>NG36</t>
  </si>
  <si>
    <t>DN22 0PD</t>
  </si>
  <si>
    <t>DN220</t>
  </si>
  <si>
    <t>LE5 0LE</t>
  </si>
  <si>
    <t>LE50</t>
  </si>
  <si>
    <t>NG17 4JT</t>
  </si>
  <si>
    <t>NG3 3AA</t>
  </si>
  <si>
    <t>NG33</t>
  </si>
  <si>
    <t>NG6 9DR</t>
  </si>
  <si>
    <t>NG69</t>
  </si>
  <si>
    <t>NG3 6LF</t>
  </si>
  <si>
    <t>NG4 3HS</t>
  </si>
  <si>
    <t>NG43</t>
  </si>
  <si>
    <t>S63 7TQ</t>
  </si>
  <si>
    <t>S637</t>
  </si>
  <si>
    <t>NG3 4QW</t>
  </si>
  <si>
    <t>NG34</t>
  </si>
  <si>
    <t>NG9 1HR</t>
  </si>
  <si>
    <t>NG91</t>
  </si>
  <si>
    <t>OX3 7JH</t>
  </si>
  <si>
    <t>OX3 9DD</t>
  </si>
  <si>
    <t>HP12 4QF</t>
  </si>
  <si>
    <t>HP124</t>
  </si>
  <si>
    <t>SN8 4AS</t>
  </si>
  <si>
    <t>SN84</t>
  </si>
  <si>
    <t>SN2 7TW</t>
  </si>
  <si>
    <t>SN27</t>
  </si>
  <si>
    <t>SN5 4BD</t>
  </si>
  <si>
    <t>SN54</t>
  </si>
  <si>
    <t>SN5 3PN</t>
  </si>
  <si>
    <t>SN53</t>
  </si>
  <si>
    <t>BB7 9PE</t>
  </si>
  <si>
    <t>BB79</t>
  </si>
  <si>
    <t>OL11 5QR</t>
  </si>
  <si>
    <t>OL115</t>
  </si>
  <si>
    <t>BB7 4HX</t>
  </si>
  <si>
    <t>BB74</t>
  </si>
  <si>
    <t>TW10 7JF</t>
  </si>
  <si>
    <t>TW107</t>
  </si>
  <si>
    <t>RG45 7EG</t>
  </si>
  <si>
    <t>RG457</t>
  </si>
  <si>
    <t>UB2 4AU</t>
  </si>
  <si>
    <t>UB24</t>
  </si>
  <si>
    <t>UB1 3EU</t>
  </si>
  <si>
    <t>W6 8NF</t>
  </si>
  <si>
    <t>NR6 5BE</t>
  </si>
  <si>
    <t>NR65</t>
  </si>
  <si>
    <t>NR2 3TD</t>
  </si>
  <si>
    <t>NR23</t>
  </si>
  <si>
    <t>NR30 1BU</t>
  </si>
  <si>
    <t>NR301</t>
  </si>
  <si>
    <t>NR7 0HT</t>
  </si>
  <si>
    <t>NR70</t>
  </si>
  <si>
    <t>NR33 8AG</t>
  </si>
  <si>
    <t>NR338</t>
  </si>
  <si>
    <t>NR7 0SN</t>
  </si>
  <si>
    <t>PE30 5PD</t>
  </si>
  <si>
    <t>PE305</t>
  </si>
  <si>
    <t>CA1 3SX</t>
  </si>
  <si>
    <t>CA13</t>
  </si>
  <si>
    <t>LA12 7BT</t>
  </si>
  <si>
    <t>LA127</t>
  </si>
  <si>
    <t>OX16 9BF</t>
  </si>
  <si>
    <t>OX4 4XN</t>
  </si>
  <si>
    <t>OX44</t>
  </si>
  <si>
    <t>OX3 7JX</t>
  </si>
  <si>
    <t>OX3 7JU</t>
  </si>
  <si>
    <t>MK6 5NG</t>
  </si>
  <si>
    <t>HP20 1EG</t>
  </si>
  <si>
    <t>HP201</t>
  </si>
  <si>
    <t>HP20 1HU</t>
  </si>
  <si>
    <t>HP20 1AT</t>
  </si>
  <si>
    <t>NG34 8GG</t>
  </si>
  <si>
    <t>NG348</t>
  </si>
  <si>
    <t>LN6 8UZ</t>
  </si>
  <si>
    <t>LN68</t>
  </si>
  <si>
    <t>LN1 1FS</t>
  </si>
  <si>
    <t>LN11</t>
  </si>
  <si>
    <t>NG31 9DR</t>
  </si>
  <si>
    <t>NG319</t>
  </si>
  <si>
    <t>SW17 7DJ</t>
  </si>
  <si>
    <t>SW177</t>
  </si>
  <si>
    <t>SM2 5NF</t>
  </si>
  <si>
    <t>SW14 8SU</t>
  </si>
  <si>
    <t>SW148</t>
  </si>
  <si>
    <t>SM2 5LT</t>
  </si>
  <si>
    <t>SW15 5PN</t>
  </si>
  <si>
    <t>SW155</t>
  </si>
  <si>
    <t>KT6 7QU</t>
  </si>
  <si>
    <t>KT67</t>
  </si>
  <si>
    <t>SW12 9HW</t>
  </si>
  <si>
    <t>SW129</t>
  </si>
  <si>
    <t>CM2 0QX</t>
  </si>
  <si>
    <t>CM20</t>
  </si>
  <si>
    <t>CM1 7LF</t>
  </si>
  <si>
    <t>CO15 1LH</t>
  </si>
  <si>
    <t>CO151</t>
  </si>
  <si>
    <t>CO4 5JY</t>
  </si>
  <si>
    <t>CO4 5HG</t>
  </si>
  <si>
    <t>CO4 5JR</t>
  </si>
  <si>
    <t>CM16 6TN</t>
  </si>
  <si>
    <t>CM166</t>
  </si>
  <si>
    <t>ST17 9JW</t>
  </si>
  <si>
    <t>ST179</t>
  </si>
  <si>
    <t>WS11 1HN</t>
  </si>
  <si>
    <t>WS111</t>
  </si>
  <si>
    <t>ST16 3AG</t>
  </si>
  <si>
    <t>B78 3NG</t>
  </si>
  <si>
    <t>B783</t>
  </si>
  <si>
    <t>SY3 8DN</t>
  </si>
  <si>
    <t>TF1 2EF</t>
  </si>
  <si>
    <t>TF12</t>
  </si>
  <si>
    <t>SY2 5PE</t>
  </si>
  <si>
    <t>SY25</t>
  </si>
  <si>
    <t>TF4 2HQ</t>
  </si>
  <si>
    <t>TF42</t>
  </si>
  <si>
    <t>EN2 6NZ</t>
  </si>
  <si>
    <t>KETTERING GENERAL HOSPITAL NHS FOUNDATION TRUST</t>
  </si>
  <si>
    <t>RJZ</t>
  </si>
  <si>
    <t>KING'S COLLEGE HOSPITAL NHS FOUNDATION TRUST</t>
  </si>
  <si>
    <t>RAX</t>
  </si>
  <si>
    <t>KINGSTON HOSPITAL NHS TRUST</t>
  </si>
  <si>
    <t>RW5</t>
  </si>
  <si>
    <t>LANCASHIRE CARE NHS FOUNDATION TRUST</t>
  </si>
  <si>
    <t>RXN</t>
  </si>
  <si>
    <t>LANCASHIRE TEACHING HOSPITALS NHS FOUNDATION TRUST</t>
  </si>
  <si>
    <t>RGD</t>
  </si>
  <si>
    <t>LEEDS PARTNERSHIPS NHS FOUNDATION TRUST</t>
  </si>
  <si>
    <t>RR8</t>
  </si>
  <si>
    <t>LEEDS TEACHING HOSPITALS NHS TRUST</t>
  </si>
  <si>
    <t>RT5</t>
  </si>
  <si>
    <t>LEICESTERSHIRE PARTNERSHIP NHS TRUST</t>
  </si>
  <si>
    <t>RY5</t>
  </si>
  <si>
    <t>LINCOLNSHIRE COMMUNITY HEALTH SERVICES NHS TRUST</t>
  </si>
  <si>
    <t>RP7</t>
  </si>
  <si>
    <t>LINCOLNSHIRE PARTNERSHIP NHS FOUNDATION TRUST</t>
  </si>
  <si>
    <t>RY1</t>
  </si>
  <si>
    <t>LIVERPOOL COMMUNITY HEALTH NHS TRUST</t>
  </si>
  <si>
    <t>RBQ</t>
  </si>
  <si>
    <t>LIVERPOOL HEART AND CHEST NHS FOUNDATION TRUST</t>
  </si>
  <si>
    <t>REP</t>
  </si>
  <si>
    <t>LIVERPOOL WOMEN'S NHS FOUNDATION TRUST</t>
  </si>
  <si>
    <t>RRU</t>
  </si>
  <si>
    <t>LONDON AMBULANCE SERVICE NHS TRUST</t>
  </si>
  <si>
    <t>RC9</t>
  </si>
  <si>
    <t>LUTON AND DUNSTABLE HOSPITAL NHS FOUNDATION TRUST</t>
  </si>
  <si>
    <t>RWF</t>
  </si>
  <si>
    <t>MAIDSTONE AND TUNBRIDGE WELLS NHS TRUST</t>
  </si>
  <si>
    <t>TAE</t>
  </si>
  <si>
    <t>MANCHESTER MENTAL HEALTH AND SOCIAL CARE TRUST</t>
  </si>
  <si>
    <t>RJ6</t>
  </si>
  <si>
    <t>MAYDAY HEALTHCARE NHS TRUST</t>
  </si>
  <si>
    <t>RPA</t>
  </si>
  <si>
    <t>MEDWAY NHS FOUNDATION TRUST</t>
  </si>
  <si>
    <t>RW4</t>
  </si>
  <si>
    <t>MERSEY CARE NHS TRUST</t>
  </si>
  <si>
    <t>RBT</t>
  </si>
  <si>
    <t>MID CHESHIRE HOSPITALS NHS FOUNDATION TRUST</t>
  </si>
  <si>
    <t>RQ8</t>
  </si>
  <si>
    <t>MID ESSEX HOSPITAL SERVICES NHS TRUST</t>
  </si>
  <si>
    <t>RJD</t>
  </si>
  <si>
    <t>MID STAFFORDSHIRE NHS FOUNDATION TRUST</t>
  </si>
  <si>
    <t>RXF</t>
  </si>
  <si>
    <t>MID YORKSHIRE HOSPITALS NHS TRUST</t>
  </si>
  <si>
    <t>RD8</t>
  </si>
  <si>
    <t>MILTON KEYNES HOSPITAL NHS FOUNDATION TRUST</t>
  </si>
  <si>
    <t>RP6</t>
  </si>
  <si>
    <t>MOORFIELDS EYE HOSPITAL NHS FOUNDATION TRUST</t>
  </si>
  <si>
    <t>RNH</t>
  </si>
  <si>
    <t>NEWHAM UNIVERSITY HOSPITAL NHS TRUST</t>
  </si>
  <si>
    <t>RM1</t>
  </si>
  <si>
    <t>NORFOLK AND NORWICH UNIVERSITY HOSPITALS NHS FOUNDATION TRUST</t>
  </si>
  <si>
    <t>RMY</t>
  </si>
  <si>
    <t>NORFOLK AND WAVENEY MENTAL HEALTH NHS FOUNDATION TRUST</t>
  </si>
  <si>
    <t>RY3</t>
  </si>
  <si>
    <t>NORFOLK COMMUNITY HEALTH AND CARE NHS TRUST</t>
  </si>
  <si>
    <t>RVJ</t>
  </si>
  <si>
    <t>NORTH BRISTOL NHS TRUST</t>
  </si>
  <si>
    <t>RNL</t>
  </si>
  <si>
    <t>NORTH CUMBRIA UNIVERSITY HOSPITALS NHS TRUST</t>
  </si>
  <si>
    <t>RX6</t>
  </si>
  <si>
    <t>RAT</t>
  </si>
  <si>
    <t>NORTH EAST LONDON NHS FOUNDATION TRUST</t>
  </si>
  <si>
    <t>RRD</t>
  </si>
  <si>
    <t>RKL48</t>
  </si>
  <si>
    <t>CASSEL HOSPITAL</t>
  </si>
  <si>
    <t>RKL51</t>
  </si>
  <si>
    <t>BROADMOOR HOSPITAL</t>
  </si>
  <si>
    <t>RKL62</t>
  </si>
  <si>
    <t>THE LIMES</t>
  </si>
  <si>
    <t>RKL67</t>
  </si>
  <si>
    <t>ST BERNARDS WING</t>
  </si>
  <si>
    <t>RKL79</t>
  </si>
  <si>
    <t>HAMMERSMITH &amp; FULHAM MHU</t>
  </si>
  <si>
    <t>RMY01</t>
  </si>
  <si>
    <t>HELLESDON HOSPITAL</t>
  </si>
  <si>
    <t>RMY02</t>
  </si>
  <si>
    <t>THE JULIAN HOSPITAL</t>
  </si>
  <si>
    <t>RMY03</t>
  </si>
  <si>
    <t>NORTHGATE HOSPITAL (RMY)</t>
  </si>
  <si>
    <t>RMY04</t>
  </si>
  <si>
    <t>THE NORVIC CLINIC</t>
  </si>
  <si>
    <t>RMY13</t>
  </si>
  <si>
    <t>CARLTON COURT</t>
  </si>
  <si>
    <t>RMY14</t>
  </si>
  <si>
    <t>MEADOWLANDS</t>
  </si>
  <si>
    <t>RMYWA</t>
  </si>
  <si>
    <t>FERMOY UNIT</t>
  </si>
  <si>
    <t>RMYWF</t>
  </si>
  <si>
    <t>CHATTERTON HOUSE</t>
  </si>
  <si>
    <t>RNNBJ</t>
  </si>
  <si>
    <t>CARLETON CLINIC</t>
  </si>
  <si>
    <t>North East Essex PCT</t>
  </si>
  <si>
    <t>Peterborough PCT</t>
  </si>
  <si>
    <t>South East Essex PCT</t>
  </si>
  <si>
    <t>South West Essex PCT</t>
  </si>
  <si>
    <t>Suffolk PCT</t>
  </si>
  <si>
    <t>West Essex PCT</t>
  </si>
  <si>
    <t>5C2</t>
  </si>
  <si>
    <t>Barking and Dagenham PCT</t>
  </si>
  <si>
    <t>Barnet PCT</t>
  </si>
  <si>
    <t>Bexley Care Trust</t>
  </si>
  <si>
    <t>Brent Teaching PCT</t>
  </si>
  <si>
    <t>5A7</t>
  </si>
  <si>
    <t>Bromley PCT</t>
  </si>
  <si>
    <t>Camden PCT</t>
  </si>
  <si>
    <t>City and Hackney Teaching PCT</t>
  </si>
  <si>
    <t>Croydon PCT</t>
  </si>
  <si>
    <t>Ealing PCT</t>
  </si>
  <si>
    <t>Enfield PCT</t>
  </si>
  <si>
    <t>5A8</t>
  </si>
  <si>
    <t>Greenwich Teaching PCT</t>
  </si>
  <si>
    <t>5H1</t>
  </si>
  <si>
    <t>Hammersmith and Fulham PCT</t>
  </si>
  <si>
    <t>Haringey Teaching PCT</t>
  </si>
  <si>
    <t>Harrow PCT</t>
  </si>
  <si>
    <t>Havering PCT</t>
  </si>
  <si>
    <t>Hillingdon PCT</t>
  </si>
  <si>
    <t>Hounslow PCT</t>
  </si>
  <si>
    <t>Islington PCT</t>
  </si>
  <si>
    <t>Kensington and Chelsea PCT</t>
  </si>
  <si>
    <t>Kingston PCT</t>
  </si>
  <si>
    <t>Lambeth PCT</t>
  </si>
  <si>
    <t>Lewisham PCT</t>
  </si>
  <si>
    <t>Newham PCT</t>
  </si>
  <si>
    <t>Redbridge PCT</t>
  </si>
  <si>
    <t>5M6</t>
  </si>
  <si>
    <t>Richmond and Twickenham PCT</t>
  </si>
  <si>
    <t>Southwark PCT</t>
  </si>
  <si>
    <t>Sutton and Merton PCT</t>
  </si>
  <si>
    <t>Tower Hamlets PCT</t>
  </si>
  <si>
    <t>Waltham Forest PCT</t>
  </si>
  <si>
    <t>Wandsworth PCT</t>
  </si>
  <si>
    <t>Westminster PCT</t>
  </si>
  <si>
    <t>Brighton and Hove City PCT</t>
  </si>
  <si>
    <t>East Sussex Downs and Weald PCT</t>
  </si>
  <si>
    <t>Eastern and Coastal Kent PCT</t>
  </si>
  <si>
    <t>Hastings and Rother PCT</t>
  </si>
  <si>
    <t>Medway PCT</t>
  </si>
  <si>
    <t>Surrey PCT</t>
  </si>
  <si>
    <t>West Kent PCT</t>
  </si>
  <si>
    <t>West Sussex PCT</t>
  </si>
  <si>
    <t>Berkshire East PCT</t>
  </si>
  <si>
    <t>Berkshire West PCT</t>
  </si>
  <si>
    <t>Buckinghamshire PCT</t>
  </si>
  <si>
    <t>Hampshire PCT</t>
  </si>
  <si>
    <t>5QT</t>
  </si>
  <si>
    <t>Isle of Wight NHS PCT</t>
  </si>
  <si>
    <t>Milton Keynes PCT</t>
  </si>
  <si>
    <t>Oxfordshire PCT</t>
  </si>
  <si>
    <t>Portsmouth City Teaching PCT</t>
  </si>
  <si>
    <t>Southampton City PCT</t>
  </si>
  <si>
    <t>Bath and North East Somerset PCT</t>
  </si>
  <si>
    <t>Bournemouth and Poole PCT</t>
  </si>
  <si>
    <t>Bristol PCT</t>
  </si>
  <si>
    <t>Cornwall and Isles Of Scilly PCT</t>
  </si>
  <si>
    <t>Devon PCT</t>
  </si>
  <si>
    <t>Dorset PCT</t>
  </si>
  <si>
    <t>Gloucestershire PCT</t>
  </si>
  <si>
    <t>North Somerset PCT</t>
  </si>
  <si>
    <t>Plymouth Teaching PCT</t>
  </si>
  <si>
    <t>Somerset PCT</t>
  </si>
  <si>
    <t>South Gloucestershire PCT</t>
  </si>
  <si>
    <t>Swindon PCT</t>
  </si>
  <si>
    <t>Torbay Care Trust</t>
  </si>
  <si>
    <t>Wiltshire PCT</t>
  </si>
  <si>
    <t>POPULATION WEIGHTED AVERAGE</t>
  </si>
  <si>
    <t>Land Area (hectares)</t>
  </si>
  <si>
    <t>Land Value</t>
  </si>
  <si>
    <t>Land Value per hectare</t>
  </si>
  <si>
    <t>Land MFF</t>
  </si>
  <si>
    <t>BCLF</t>
  </si>
  <si>
    <t>Building MFF: PCT</t>
  </si>
  <si>
    <t>AVERAGE FOR WHOLE OF ENGLAND</t>
  </si>
  <si>
    <t>Durham</t>
  </si>
  <si>
    <t>Tyne and Wear</t>
  </si>
  <si>
    <t>Cleveland</t>
  </si>
  <si>
    <t>Northumberland</t>
  </si>
  <si>
    <t>Greater Manchester</t>
  </si>
  <si>
    <t>Lancashire</t>
  </si>
  <si>
    <t>Cheshire</t>
  </si>
  <si>
    <t>Cumbria</t>
  </si>
  <si>
    <t>Merseyside</t>
  </si>
  <si>
    <t>South Yorkshire</t>
  </si>
  <si>
    <t>West Yorkshire</t>
  </si>
  <si>
    <t>Humberside</t>
  </si>
  <si>
    <t>Lincolnshire</t>
  </si>
  <si>
    <t>North Yorkshire</t>
  </si>
  <si>
    <t>Nottinghamshire</t>
  </si>
  <si>
    <t>Derbyshire</t>
  </si>
  <si>
    <t>RDR</t>
  </si>
  <si>
    <t>SOUTH DOWNS HEALTH NHS TRUST</t>
  </si>
  <si>
    <t>RYD</t>
  </si>
  <si>
    <t>RWN</t>
  </si>
  <si>
    <t>SOUTH ESSEX PARTNERSHIP UNIVERSITY NHS FOUNDATION TRUST</t>
  </si>
  <si>
    <t>RV5</t>
  </si>
  <si>
    <t>SOUTH LONDON AND MAUDSLEY NHS FOUNDATION TRUST</t>
  </si>
  <si>
    <t>RYQ</t>
  </si>
  <si>
    <t>SOUTH LONDON HEALTHCARE NHS TRUST</t>
  </si>
  <si>
    <t>RRE</t>
  </si>
  <si>
    <t>SOUTH STAFFORDSHIRE AND SHROPSHIRE HEALTHCARE NHS FOUNDATION TRUST</t>
  </si>
  <si>
    <t>RTR</t>
  </si>
  <si>
    <t>SOUTH TEES HOSPITALS NHS FOUNDATION TRUST</t>
  </si>
  <si>
    <t>RE9</t>
  </si>
  <si>
    <t>SOUTH TYNESIDE NHS FOUNDATION TRUST</t>
  </si>
  <si>
    <t>RJC</t>
  </si>
  <si>
    <t>SOUTH WARWICKSHIRE GENERAL HOSPITALS NHS TRUST</t>
  </si>
  <si>
    <t>RQY</t>
  </si>
  <si>
    <t>SOUTH WEST LONDON AND ST GEORGE'S MENTAL HEALTH NHS TRUST</t>
  </si>
  <si>
    <t>RXG</t>
  </si>
  <si>
    <t>SOUTH WEST YORKSHIRE PARTNERSHIP NHS FOUNDATION TRUST</t>
  </si>
  <si>
    <t>RYF</t>
  </si>
  <si>
    <t>RHM</t>
  </si>
  <si>
    <t>SOUTHAMPTON UNIVERSITY HOSPITALS NHS TRUST</t>
  </si>
  <si>
    <t>RAJ</t>
  </si>
  <si>
    <t>SOUTHEND UNIVERSITY HOSPITAL NHS FOUNDATION TRUST</t>
  </si>
  <si>
    <t>RVY</t>
  </si>
  <si>
    <t>SOUTHPORT AND ORMSKIRK HOSPITAL NHS TRUST</t>
  </si>
  <si>
    <t>RJ7</t>
  </si>
  <si>
    <t>ST GEORGE'S HEALTHCARE NHS TRUST</t>
  </si>
  <si>
    <t>RBN</t>
  </si>
  <si>
    <t>ST HELENS AND KNOWSLEY HOSPITALS NHS TRUST</t>
  </si>
  <si>
    <t>R1E</t>
  </si>
  <si>
    <t>RWJ</t>
  </si>
  <si>
    <t>STOCKPORT NHS FOUNDATION TRUST</t>
  </si>
  <si>
    <t>RXX</t>
  </si>
  <si>
    <t>SURREY AND BORDERS PARTNERSHIP NHS FOUNDATION TRUST</t>
  </si>
  <si>
    <t>RTP</t>
  </si>
  <si>
    <t>SURREY AND SUSSEX HEALTHCARE NHS TRUST</t>
  </si>
  <si>
    <t>RX2</t>
  </si>
  <si>
    <t>SUSSEX PARTNERSHIP NHS FOUNDATION TRUST</t>
  </si>
  <si>
    <t>RMP</t>
  </si>
  <si>
    <t>TAMESIDE HOSPITAL NHS FOUNDATION TRUST</t>
  </si>
  <si>
    <t>RBA</t>
  </si>
  <si>
    <t>TAUNTON AND SOMERSET NHS FOUNDATION TRUST</t>
  </si>
  <si>
    <t>RNK</t>
  </si>
  <si>
    <t>TAVISTOCK AND PORTMAN NHS FOUNDATION TRUST</t>
  </si>
  <si>
    <t>RX3</t>
  </si>
  <si>
    <t>TEES, ESK AND WEAR VALLEYS NHS FOUNDATION TRUST</t>
  </si>
  <si>
    <t>RBV</t>
  </si>
  <si>
    <t>THE CHRISTIE NHS FOUNDATION TRUST</t>
  </si>
  <si>
    <t>RNA</t>
  </si>
  <si>
    <t>THE DUDLEY GROUP OF HOSPITALS NHS FOUNDATION TRUST</t>
  </si>
  <si>
    <t>RAS</t>
  </si>
  <si>
    <t>THE HILLINGDON HOSPITAL NHS TRUST</t>
  </si>
  <si>
    <t>RJ2</t>
  </si>
  <si>
    <t>THE LEWISHAM HOSPITAL NHS TRUST</t>
  </si>
  <si>
    <t>RTD</t>
  </si>
  <si>
    <t>THE NEWCASTLE UPON TYNE HOSPITALS NHS FOUNDATION TRUST</t>
  </si>
  <si>
    <t>RQW</t>
  </si>
  <si>
    <t>THE PRINCESS ALEXANDRA HOSPITAL NHS TRUST</t>
  </si>
  <si>
    <t>RCX</t>
  </si>
  <si>
    <t>THE QUEEN ELIZABETH HOSPITAL KING'S LYNN NHS TRUST</t>
  </si>
  <si>
    <t>RFR</t>
  </si>
  <si>
    <t>THE ROTHERHAM NHS FOUNDATION TRUST</t>
  </si>
  <si>
    <t>RDZ</t>
  </si>
  <si>
    <t>THE ROYAL BOURNEMOUTH AND CHRISTCHURCH HOSPITALS NHS FOUNDATION TRUST</t>
  </si>
  <si>
    <t>RPY</t>
  </si>
  <si>
    <t>THE ROYAL MARSDEN NHS FOUNDATION TRUST</t>
  </si>
  <si>
    <t>RRJ</t>
  </si>
  <si>
    <t>RVN3N</t>
  </si>
  <si>
    <t>SOUTHMEAD</t>
  </si>
  <si>
    <t>RVN3Q</t>
  </si>
  <si>
    <t>BLACKBERRY HILL</t>
  </si>
  <si>
    <t>RVN4B</t>
  </si>
  <si>
    <t>LONG FOX</t>
  </si>
  <si>
    <t>RVN6A</t>
  </si>
  <si>
    <t>GREEN LANE</t>
  </si>
  <si>
    <t>RVN6C</t>
  </si>
  <si>
    <t>CHARTER HOUSE</t>
  </si>
  <si>
    <t>RVN8A</t>
  </si>
  <si>
    <t>SANDALWOOD COURT</t>
  </si>
  <si>
    <t>RVN8E</t>
  </si>
  <si>
    <t>VICTORIA</t>
  </si>
  <si>
    <t>RVN9A</t>
  </si>
  <si>
    <t>FOUNTAIN WAY</t>
  </si>
  <si>
    <t>Weights</t>
  </si>
  <si>
    <t>Other</t>
  </si>
  <si>
    <t>Target MFF for 2012-13</t>
  </si>
  <si>
    <t>Underlying MFF</t>
  </si>
  <si>
    <t>% Change</t>
  </si>
  <si>
    <t>New Merged Org</t>
  </si>
  <si>
    <t>North East Ambulance Service NHS Trust</t>
  </si>
  <si>
    <t>North Tees and Hartlepool NHS Foundation Trust</t>
  </si>
  <si>
    <t>5D9</t>
  </si>
  <si>
    <t>Northumberland, Tyne and Wear NHS Foundation Trust</t>
  </si>
  <si>
    <t>Northumbria Healthcare NHS Foundation Trust</t>
  </si>
  <si>
    <t>5D8</t>
  </si>
  <si>
    <t>South Tees Hospitals NHS Foundation Trust</t>
  </si>
  <si>
    <t>5KM</t>
  </si>
  <si>
    <t>South Tyneside NHS Foundation Trust</t>
  </si>
  <si>
    <t>5KG</t>
  </si>
  <si>
    <t xml:space="preserve">Merging November 2012 </t>
  </si>
  <si>
    <t>WEST MIDLANDS AMBULANCE SERVICE NHS FOUNDATION TRUST</t>
  </si>
  <si>
    <t>SOUTH WESTERN AMBULANCE SERVICE NHS FOUNDATION TRUST</t>
  </si>
  <si>
    <t>SHROPSHIRE COMMUNITY HEALTH NHS TRUST</t>
  </si>
  <si>
    <t>STAFFORDSHIRE AND STOKE-ON-TRENT PARTNERSHIP NHS TRUST</t>
  </si>
  <si>
    <t>UNIVERSITY HOSPITALS BIRMINGHAM NHS FOUNDATION TRUST</t>
  </si>
  <si>
    <t>NORTH EAST AMBULANCE SERVICE NHS FOUNDATION TRUST</t>
  </si>
  <si>
    <t>BRIDGEWATER COMMUNITY HEALTHCARE NHS TRUST</t>
  </si>
  <si>
    <t>SOUTH CENTRAL AMBULANCE SERVICE NHS FOUNDATION TRUST</t>
  </si>
  <si>
    <t>SOUTH EAST COAST AMBULANCE SERVICE NHS FOUNDATION TRUST</t>
  </si>
  <si>
    <t xml:space="preserve">KENT COMMUNITY HEALTH NHS TRUST </t>
  </si>
  <si>
    <t>Agreed additional adjustment to calculation with trust to weight land by bed numbers</t>
  </si>
  <si>
    <t>R1J</t>
  </si>
  <si>
    <t>GLOUCESTER CARE SERVICS NHS TRUST</t>
  </si>
  <si>
    <t>UNIVERSITY HOSPITAL OF NORTH STAFFORDSHIRE NHS TRUST</t>
  </si>
  <si>
    <t>RM2</t>
  </si>
  <si>
    <t>UNIVERSITY HOSPITAL OF SOUTH MANCHESTER NHS FOUNDATION TRUST</t>
  </si>
  <si>
    <t>RA7</t>
  </si>
  <si>
    <t>UNIVERSITY HOSPITALS BRISTOL NHS FOUNDATION TRUST</t>
  </si>
  <si>
    <t>RKB</t>
  </si>
  <si>
    <t>UNIVERSITY HOSPITALS COVENTRY AND WARWICKSHIRE NHS TRUST</t>
  </si>
  <si>
    <t>RWE</t>
  </si>
  <si>
    <t>UNIVERSITY HOSPITALS OF LEICESTER NHS TRUST</t>
  </si>
  <si>
    <t>RTX</t>
  </si>
  <si>
    <t>UNIVERSITY HOSPITALS OF MORECAMBE BAY NHS TRUST</t>
  </si>
  <si>
    <t>RBK</t>
  </si>
  <si>
    <t>WALSALL HOSPITALS NHS TRUST</t>
  </si>
  <si>
    <t>RWW</t>
  </si>
  <si>
    <t>WARRINGTON AND HALTON HOSPITALS NHS FOUNDATION TRUST</t>
  </si>
  <si>
    <t>RWG</t>
  </si>
  <si>
    <t>WEST HERTFORDSHIRE HOSPITALS NHS TRUST</t>
  </si>
  <si>
    <t>RKL</t>
  </si>
  <si>
    <t>WEST LONDON MENTAL HEALTH NHS TRUST</t>
  </si>
  <si>
    <t>RFW</t>
  </si>
  <si>
    <t>WEST MIDDLESEX UNIVERSITY HOSPITAL NHS TRUST</t>
  </si>
  <si>
    <t>RYA</t>
  </si>
  <si>
    <t>RGR</t>
  </si>
  <si>
    <t>WEST SUFFOLK HOSPITALS NHS TRUST</t>
  </si>
  <si>
    <t>RYR</t>
  </si>
  <si>
    <t>WESTERN SUSSEX HOSPITALS NHS TRUST</t>
  </si>
  <si>
    <t>RA3</t>
  </si>
  <si>
    <t>WESTON AREA HEALTH NHS TRUST</t>
  </si>
  <si>
    <t>RGC</t>
  </si>
  <si>
    <t>WHIPPS CROSS UNIVERSITY HOSPITAL NHS TRUST</t>
  </si>
  <si>
    <t>RY7</t>
  </si>
  <si>
    <t>WIRRAL COMMUNITY NHS TRUST</t>
  </si>
  <si>
    <t>RBL</t>
  </si>
  <si>
    <t>WIRRAL UNIVERSITY TEACHING HOSPITAL NHS FOUNDATION TRUST</t>
  </si>
  <si>
    <t>RWP</t>
  </si>
  <si>
    <t>WORCESTERSHIRE ACUTE HOSPITALS NHS TRUST</t>
  </si>
  <si>
    <t>RWQ</t>
  </si>
  <si>
    <t>WORCESTERSHIRE MENTAL HEALTH PARTNERSHIP NHS TRUST</t>
  </si>
  <si>
    <t>RRF</t>
  </si>
  <si>
    <t>WRIGHTINGTON, WIGAN AND LEIGH NHS FOUNDATION TRUST</t>
  </si>
  <si>
    <t>RA4</t>
  </si>
  <si>
    <t>YEOVIL DISTRICT HOSPITAL NHS FOUNDATION TRUST</t>
  </si>
  <si>
    <t>RCB</t>
  </si>
  <si>
    <t>YORK HOSPITALS NHS FOUNDATION TRUST</t>
  </si>
  <si>
    <t>RX8</t>
  </si>
  <si>
    <t>YORKSHIRE AMBULANCE SERVICE NHS TRUST</t>
  </si>
  <si>
    <t>T</t>
  </si>
  <si>
    <t>Q30</t>
  </si>
  <si>
    <t>City Hospitals Sunderland NHS Foundation Trust</t>
  </si>
  <si>
    <t>5KL</t>
  </si>
  <si>
    <t>County Durham and Darlington NHS Foundation Trust</t>
  </si>
  <si>
    <t>5J9</t>
  </si>
  <si>
    <t>Gateshead Health NHS Foundation Trust</t>
  </si>
  <si>
    <t>5KF</t>
  </si>
  <si>
    <t>Newcastle Upon Tyne Hospitals NHS Foundation Trust</t>
  </si>
  <si>
    <t>5D7</t>
  </si>
  <si>
    <t>East and North Hertfordshire PCT</t>
  </si>
  <si>
    <t>West Hertfordshire PCT</t>
  </si>
  <si>
    <t>ST THOMAS' HOSPITAL</t>
  </si>
  <si>
    <t>RJ224</t>
  </si>
  <si>
    <t>UNIVERSITY HOSPITAL LEWISHAM</t>
  </si>
  <si>
    <t>RJ611</t>
  </si>
  <si>
    <t>MAYDAY UNIVERSITY HOSPITAL</t>
  </si>
  <si>
    <t>RJ710</t>
  </si>
  <si>
    <t>WOLFSON MEDICAL REHAB CENTRE</t>
  </si>
  <si>
    <t>RJ701</t>
  </si>
  <si>
    <t>ST GEORGE'S HOSPITAL</t>
  </si>
  <si>
    <t>AGGRE</t>
  </si>
  <si>
    <t>AGGREGATE SITE</t>
  </si>
  <si>
    <t>RJ843</t>
  </si>
  <si>
    <t>LONGREACH HOUSE</t>
  </si>
  <si>
    <t>RJ866</t>
  </si>
  <si>
    <t>BODMIN HOSPITAL</t>
  </si>
  <si>
    <t>RJC02</t>
  </si>
  <si>
    <t>WARWICK HOSPITAL</t>
  </si>
  <si>
    <t>RJD13</t>
  </si>
  <si>
    <t>CANNOCK CHASE HOSPITAL</t>
  </si>
  <si>
    <t>RJD01</t>
  </si>
  <si>
    <t>STAFFORDSHIRE GENERAL HOSPITAL</t>
  </si>
  <si>
    <t>RJE01</t>
  </si>
  <si>
    <t>ROYAL INFIRMARY</t>
  </si>
  <si>
    <t>RJE02</t>
  </si>
  <si>
    <t>CITY GENERAL</t>
  </si>
  <si>
    <t>RJF01</t>
  </si>
  <si>
    <t>BURTON HOSPITALS</t>
  </si>
  <si>
    <t>RJL31</t>
  </si>
  <si>
    <t>GOOLE AND DISTRICT HOSPITAL</t>
  </si>
  <si>
    <t>RJL32</t>
  </si>
  <si>
    <t>SCUNTHORPE GENERAL HOSPITAL</t>
  </si>
  <si>
    <t>RJL30</t>
  </si>
  <si>
    <t>DIANA, PRINCESS OF WALES HOSPITAL</t>
  </si>
  <si>
    <t>RJN68</t>
  </si>
  <si>
    <t>KNUTSFORD &amp; DISTRICT COMMUNITY HOSPITAL</t>
  </si>
  <si>
    <t>RJN63</t>
  </si>
  <si>
    <t>CONGLETON WAR MEMORIAL HOSPITAL</t>
  </si>
  <si>
    <t>RJN71</t>
  </si>
  <si>
    <t>MACCLESFIELD DISTRICT GENERAL HOSPITAL</t>
  </si>
  <si>
    <t>RJR05</t>
  </si>
  <si>
    <t>COUNTESS OF CHESTER HOSPITAL</t>
  </si>
  <si>
    <t>RJZ01</t>
  </si>
  <si>
    <t>KINGS COLLEGE HOSPITAL</t>
  </si>
  <si>
    <t>RK5HP</t>
  </si>
  <si>
    <t>NEWARK HOSPITAL</t>
  </si>
  <si>
    <t>RK5BC</t>
  </si>
  <si>
    <t>KINGS MILL HOSPITAL</t>
  </si>
  <si>
    <t>RK953</t>
  </si>
  <si>
    <t>ROYAL EYE INFIRMARY</t>
  </si>
  <si>
    <t>RK950</t>
  </si>
  <si>
    <t>DERRIFORD HOSPITAL</t>
  </si>
  <si>
    <t>RKB03</t>
  </si>
  <si>
    <t>HOSPITAL OF ST CROSS</t>
  </si>
  <si>
    <t>RKB01</t>
  </si>
  <si>
    <t>WALSGRAVE HOSPITAL</t>
  </si>
  <si>
    <t>RKEQ4</t>
  </si>
  <si>
    <t>THE WHITTINGTON HOSPITAL</t>
  </si>
  <si>
    <t>RL131</t>
  </si>
  <si>
    <t>ROBERT JONES &amp; AGNES HUNT ORTHOPAEDIC HOSPITAL</t>
  </si>
  <si>
    <t>RL403</t>
  </si>
  <si>
    <t>NEW CROSS HOSPITAL</t>
  </si>
  <si>
    <t>RLNGM</t>
  </si>
  <si>
    <t>SUNDERLAND EYE INFIRMARY</t>
  </si>
  <si>
    <t>RLNGL</t>
  </si>
  <si>
    <t>SUNDERLAND ROYAL HOSPITAL</t>
  </si>
  <si>
    <t>HEREFORD HOSPITALS NHS TRUST</t>
  </si>
  <si>
    <t>RLQ01</t>
  </si>
  <si>
    <t>COUNTY HOSPITAL</t>
  </si>
  <si>
    <t>RLT99</t>
  </si>
  <si>
    <t>RLU01</t>
  </si>
  <si>
    <t>BIRMINGHAM WOMENS</t>
  </si>
  <si>
    <t>RLY15</t>
  </si>
  <si>
    <t>BRADWELL HOSPITAL (RLY)</t>
  </si>
  <si>
    <t>RLY09</t>
  </si>
  <si>
    <t>BUCKNALL HOSPITAL</t>
  </si>
  <si>
    <t>RLY88</t>
  </si>
  <si>
    <t>HARPLANDS HOSPITAL</t>
  </si>
  <si>
    <t>RM102</t>
  </si>
  <si>
    <t>NORFOLK &amp; NORWICH UNIVERSITY HOSPITAL</t>
  </si>
  <si>
    <t>RM202</t>
  </si>
  <si>
    <t>WYTHENSHAWE HOSPITAL</t>
  </si>
  <si>
    <t>RM301</t>
  </si>
  <si>
    <t>SALFORD ROYAL</t>
  </si>
  <si>
    <t>TRAFFORD HEALTHCARE NHS TRUST</t>
  </si>
  <si>
    <t>RM401</t>
  </si>
  <si>
    <t>TRAFFORD GENERAL HOSPITAL</t>
  </si>
  <si>
    <t>RMC01</t>
  </si>
  <si>
    <t>ROYAL BOLTON HOSPITAL</t>
  </si>
  <si>
    <t>RMP01</t>
  </si>
  <si>
    <t>TAMESIDE GENERAL HOSPITAL (RMP)</t>
  </si>
  <si>
    <t>WINCHESTER AND EASTLEIGH HEALTHCARE NHS TRUST</t>
  </si>
  <si>
    <t>Merged April 2010 - are you sure MFF was never adjusted?!</t>
  </si>
  <si>
    <t>WHIPPS CROSS UNIVERSITY HOSPITAL</t>
  </si>
  <si>
    <t>RGM21</t>
  </si>
  <si>
    <t>PAPWORTH HOSPITAL</t>
  </si>
  <si>
    <t>RGN49</t>
  </si>
  <si>
    <t>STAMFORD &amp; RUTLAND HOSPITAL</t>
  </si>
  <si>
    <t>RGN44</t>
  </si>
  <si>
    <t>PETERBOROUGH MATERNITY UNIT</t>
  </si>
  <si>
    <t>RGN66</t>
  </si>
  <si>
    <t>EDITH CAVELL HOSPITAL</t>
  </si>
  <si>
    <t>RGN42</t>
  </si>
  <si>
    <t>PETERBOROUGH DISTRICT HOSPITAL</t>
  </si>
  <si>
    <t>RGP72</t>
  </si>
  <si>
    <t>LOWESTOFT HOSPITAL</t>
  </si>
  <si>
    <t>RGP75</t>
  </si>
  <si>
    <t>JAMES PAGET HOSPITAL</t>
  </si>
  <si>
    <t>RGQ02</t>
  </si>
  <si>
    <t>IPSWICH HOSPITAL</t>
  </si>
  <si>
    <t>RGR01</t>
  </si>
  <si>
    <t>WEST SUFFOLK HOSPITALS</t>
  </si>
  <si>
    <t>RGT01</t>
  </si>
  <si>
    <t>ADDENBROOKE'S HOSPITAL SITE</t>
  </si>
  <si>
    <t>QUEEN MARY'S SIDCUP NHS TRUST</t>
  </si>
  <si>
    <t>RGZ01</t>
  </si>
  <si>
    <t>QUEEN MARY'S HOSPITAL (RGZ)</t>
  </si>
  <si>
    <t>RH805</t>
  </si>
  <si>
    <t>HONEYLANDS CHILDREN'S CENTRE</t>
  </si>
  <si>
    <t>RH868</t>
  </si>
  <si>
    <t>MARDON HOUSE</t>
  </si>
  <si>
    <t>RH801</t>
  </si>
  <si>
    <t>ROYAL DEVON &amp; EXETER HOSPITAL (WONFORD)</t>
  </si>
  <si>
    <t>RHM01</t>
  </si>
  <si>
    <t>SOUTHAMPTON GENERAL HOSPITAL</t>
  </si>
  <si>
    <t>RHQWP</t>
  </si>
  <si>
    <t>WESTON PARK HOSPITAL</t>
  </si>
  <si>
    <t>RHQHH</t>
  </si>
  <si>
    <t>ROYAL HALLAMSHIRE HOSPITAL</t>
  </si>
  <si>
    <t>RHQNG</t>
  </si>
  <si>
    <t>NORTHERN GENERAL HOSPITAL</t>
  </si>
  <si>
    <t>RHU02</t>
  </si>
  <si>
    <t>ST MARY'S HOSPITAL</t>
  </si>
  <si>
    <t>RHU03</t>
  </si>
  <si>
    <t>QUEEN ALEXANDRA HOSPITAL</t>
  </si>
  <si>
    <t>RHW01</t>
  </si>
  <si>
    <t>ROYAL BERKSHIRE HOSPITAL</t>
  </si>
  <si>
    <t>RJ121</t>
  </si>
  <si>
    <t>GUY'S HOSPITAL</t>
  </si>
  <si>
    <t>RJ122</t>
  </si>
  <si>
    <t>NB - note that the two Hertfordshire trusts have merged, but provider MFFs are still calculated based on old PCTs</t>
  </si>
  <si>
    <t>Published index in 2012-13</t>
  </si>
  <si>
    <t>Comments</t>
  </si>
  <si>
    <t>Payment Index Value for 2013-14</t>
  </si>
  <si>
    <t>Target MFF for 2013-14</t>
  </si>
  <si>
    <t>LU40</t>
  </si>
  <si>
    <t>YO24 1HD</t>
  </si>
  <si>
    <t>YO241</t>
  </si>
  <si>
    <t>YO31 8JR</t>
  </si>
  <si>
    <t>YO318</t>
  </si>
  <si>
    <t>YO31 8HE</t>
  </si>
  <si>
    <t>YO16 4QP</t>
  </si>
  <si>
    <t>YO164</t>
  </si>
  <si>
    <t>YO12 6QL</t>
  </si>
  <si>
    <t>YO126</t>
  </si>
  <si>
    <t>HG2 7SX</t>
  </si>
  <si>
    <t>HG27</t>
  </si>
  <si>
    <t>BD20 6TD</t>
  </si>
  <si>
    <t>BD206</t>
  </si>
  <si>
    <t>S10 5DD</t>
  </si>
  <si>
    <t>S105</t>
  </si>
  <si>
    <t>S5 7AU</t>
  </si>
  <si>
    <t>S57</t>
  </si>
  <si>
    <t>S10 2TH</t>
  </si>
  <si>
    <t>S102</t>
  </si>
  <si>
    <t>PE30 4ET</t>
  </si>
  <si>
    <t>PE304</t>
  </si>
  <si>
    <t>BA1 3NG</t>
  </si>
  <si>
    <t>BA13</t>
  </si>
  <si>
    <t>BH15 2JB</t>
  </si>
  <si>
    <t>BH152</t>
  </si>
  <si>
    <t>SL5 8AA</t>
  </si>
  <si>
    <t>SL58</t>
  </si>
  <si>
    <t>SL2 4HL</t>
  </si>
  <si>
    <t>SL24</t>
  </si>
  <si>
    <t>MK6 5LD</t>
  </si>
  <si>
    <t>MK65</t>
  </si>
  <si>
    <t>SS16 5NL</t>
  </si>
  <si>
    <t>SS165</t>
  </si>
  <si>
    <t>CO3 3NB</t>
  </si>
  <si>
    <t>CO33</t>
  </si>
  <si>
    <t>CO4 5JL</t>
  </si>
  <si>
    <t>CO45</t>
  </si>
  <si>
    <t>GU16 7UJ</t>
  </si>
  <si>
    <t>GU167</t>
  </si>
  <si>
    <t>BH23 2JX</t>
  </si>
  <si>
    <t>BH232</t>
  </si>
  <si>
    <t>BH7 7DW</t>
  </si>
  <si>
    <t>BH77</t>
  </si>
  <si>
    <t>NE32 5HA</t>
  </si>
  <si>
    <t>NE325</t>
  </si>
  <si>
    <t>NE32 3UX</t>
  </si>
  <si>
    <t>NE323</t>
  </si>
  <si>
    <t>NE34 0PL</t>
  </si>
  <si>
    <t>NE340</t>
  </si>
  <si>
    <t>TR27 4JA</t>
  </si>
  <si>
    <t>TR274</t>
  </si>
  <si>
    <t>TR18 2PF</t>
  </si>
  <si>
    <t>TR182</t>
  </si>
  <si>
    <t>TR1 3LJ</t>
  </si>
  <si>
    <t>TR13</t>
  </si>
  <si>
    <t>L9 7AL</t>
  </si>
  <si>
    <t>L97</t>
  </si>
  <si>
    <t>L8 7SS</t>
  </si>
  <si>
    <t>L87</t>
  </si>
  <si>
    <t>L9 7LJ</t>
  </si>
  <si>
    <t>IG3 8YB</t>
  </si>
  <si>
    <t>IG38</t>
  </si>
  <si>
    <t>RM7 0AG</t>
  </si>
  <si>
    <t>RM70</t>
  </si>
  <si>
    <t>S75 2EP</t>
  </si>
  <si>
    <t>S752</t>
  </si>
  <si>
    <t>S60 2UD</t>
  </si>
  <si>
    <t>S602</t>
  </si>
  <si>
    <t>S44 5BL</t>
  </si>
  <si>
    <t>S445</t>
  </si>
  <si>
    <t>TW7 6AF</t>
  </si>
  <si>
    <t>TW76</t>
  </si>
  <si>
    <t>SE18 4QH</t>
  </si>
  <si>
    <t>SE184</t>
  </si>
  <si>
    <t>BR6 9JU</t>
  </si>
  <si>
    <t>BR69</t>
  </si>
  <si>
    <t>BR6 8ND</t>
  </si>
  <si>
    <t>BR68</t>
  </si>
  <si>
    <t>E11 1NR</t>
  </si>
  <si>
    <t>E111</t>
  </si>
  <si>
    <t>CB23 3RE</t>
  </si>
  <si>
    <t>CB233</t>
  </si>
  <si>
    <t>PE9 1UA</t>
  </si>
  <si>
    <t>PE91</t>
  </si>
  <si>
    <t>PE3 6BP</t>
  </si>
  <si>
    <t>PE36</t>
  </si>
  <si>
    <t>PE3 9GZ</t>
  </si>
  <si>
    <t>PE39</t>
  </si>
  <si>
    <t>PE3 6DA</t>
  </si>
  <si>
    <t>NR32 1PT</t>
  </si>
  <si>
    <t>NR321</t>
  </si>
  <si>
    <t>NR31 6LA</t>
  </si>
  <si>
    <t>NR316</t>
  </si>
  <si>
    <t>IP4 5PD</t>
  </si>
  <si>
    <t>IP45</t>
  </si>
  <si>
    <t>IP33 2QZ</t>
  </si>
  <si>
    <t>IP332</t>
  </si>
  <si>
    <t>CB2 0QQ</t>
  </si>
  <si>
    <t>CB20</t>
  </si>
  <si>
    <t>DA14 6LT</t>
  </si>
  <si>
    <t>DA146</t>
  </si>
  <si>
    <t>EX4 8AD</t>
  </si>
  <si>
    <t>EX48</t>
  </si>
  <si>
    <t>EX2 4UD</t>
  </si>
  <si>
    <t>EX24</t>
  </si>
  <si>
    <t>EX2 5DW</t>
  </si>
  <si>
    <t>EX25</t>
  </si>
  <si>
    <t>SO16 6YD</t>
  </si>
  <si>
    <t>SO166</t>
  </si>
  <si>
    <t>S10 2SJ</t>
  </si>
  <si>
    <t>S10 2JF</t>
  </si>
  <si>
    <t>PO3 6AD</t>
  </si>
  <si>
    <t>PO36</t>
  </si>
  <si>
    <t>PO6 3LY</t>
  </si>
  <si>
    <t>PO63</t>
  </si>
  <si>
    <t>RG1 5AN</t>
  </si>
  <si>
    <t>RG15</t>
  </si>
  <si>
    <t>SE1 9RT</t>
  </si>
  <si>
    <t>SE19</t>
  </si>
  <si>
    <t>SE1 7EH</t>
  </si>
  <si>
    <t>SE17</t>
  </si>
  <si>
    <t>SE13 6LH</t>
  </si>
  <si>
    <t>SE136</t>
  </si>
  <si>
    <t>CR7 7YE</t>
  </si>
  <si>
    <t>CR77</t>
  </si>
  <si>
    <t>SW20 0NQ</t>
  </si>
  <si>
    <t>SW200</t>
  </si>
  <si>
    <t>SW17 0QT</t>
  </si>
  <si>
    <t>SW170</t>
  </si>
  <si>
    <t>PL26 6AD</t>
  </si>
  <si>
    <t>PL266</t>
  </si>
  <si>
    <t>PL31 2QT</t>
  </si>
  <si>
    <t>PL312</t>
  </si>
  <si>
    <t>CV34 5BW</t>
  </si>
  <si>
    <t>CV345</t>
  </si>
  <si>
    <t>WS11 5XY</t>
  </si>
  <si>
    <t>WS115</t>
  </si>
  <si>
    <t>ST16 3SA</t>
  </si>
  <si>
    <t>ST163</t>
  </si>
  <si>
    <t>ST4 7LN</t>
  </si>
  <si>
    <t>ST47</t>
  </si>
  <si>
    <t>ST4 6QG</t>
  </si>
  <si>
    <t>ST46</t>
  </si>
  <si>
    <t>DE13 0RB</t>
  </si>
  <si>
    <t>DE130</t>
  </si>
  <si>
    <t>DN14 6RX</t>
  </si>
  <si>
    <t>DN146</t>
  </si>
  <si>
    <t>DN15 7BH</t>
  </si>
  <si>
    <t>DN157</t>
  </si>
  <si>
    <t>DN33 2BA</t>
  </si>
  <si>
    <t>DN332</t>
  </si>
  <si>
    <t>WA16 0BT</t>
  </si>
  <si>
    <t>WA160</t>
  </si>
  <si>
    <t>CW12 3AR</t>
  </si>
  <si>
    <t>CW123</t>
  </si>
  <si>
    <t>SK10 3BL</t>
  </si>
  <si>
    <t>SK103</t>
  </si>
  <si>
    <t>CH2 1UL</t>
  </si>
  <si>
    <t>CH21</t>
  </si>
  <si>
    <t>SE5 9RS</t>
  </si>
  <si>
    <t>SE59</t>
  </si>
  <si>
    <t>NG24 4DE</t>
  </si>
  <si>
    <t>NG244</t>
  </si>
  <si>
    <t>NG17 4JL</t>
  </si>
  <si>
    <t>NG174</t>
  </si>
  <si>
    <t>PL4 6PL</t>
  </si>
  <si>
    <t>PL46</t>
  </si>
  <si>
    <t>PL6 8DH</t>
  </si>
  <si>
    <t>PL68</t>
  </si>
  <si>
    <t>CV22 5PX</t>
  </si>
  <si>
    <t>CV225</t>
  </si>
  <si>
    <t>CV2 2DX</t>
  </si>
  <si>
    <t>CV22</t>
  </si>
  <si>
    <t>N19 5NF</t>
  </si>
  <si>
    <t>N195</t>
  </si>
  <si>
    <t>SY10 7AG</t>
  </si>
  <si>
    <t>SY107</t>
  </si>
  <si>
    <t>WV10 0QP</t>
  </si>
  <si>
    <t>WV100</t>
  </si>
  <si>
    <t>SR2 9HP</t>
  </si>
  <si>
    <t>SR29</t>
  </si>
  <si>
    <t>SR4 7TP</t>
  </si>
  <si>
    <t>SR47</t>
  </si>
  <si>
    <t>HR1 2ER</t>
  </si>
  <si>
    <t>HR12</t>
  </si>
  <si>
    <t>CV10 7DJ</t>
  </si>
  <si>
    <t>CV107</t>
  </si>
  <si>
    <t>B15 2TG</t>
  </si>
  <si>
    <t>B152</t>
  </si>
  <si>
    <t>ST5 7NJ</t>
  </si>
  <si>
    <t>ST57</t>
  </si>
  <si>
    <t>ST2 8LD</t>
  </si>
  <si>
    <t>ST28</t>
  </si>
  <si>
    <t>ST4 6RR</t>
  </si>
  <si>
    <t>NR4 7UY</t>
  </si>
  <si>
    <t>TA15</t>
  </si>
  <si>
    <t>BA1 1RL</t>
  </si>
  <si>
    <t>BA11</t>
  </si>
  <si>
    <t>DT1 2JY</t>
  </si>
  <si>
    <t>DT12</t>
  </si>
  <si>
    <t>OX3 7LD</t>
  </si>
  <si>
    <t>OX37</t>
  </si>
  <si>
    <t>WS2 9PS</t>
  </si>
  <si>
    <t>WS29</t>
  </si>
  <si>
    <t>CH63 4JY</t>
  </si>
  <si>
    <t>CH634</t>
  </si>
  <si>
    <t>CH49 5PE</t>
  </si>
  <si>
    <t>CH495</t>
  </si>
  <si>
    <t>WA9 3DA</t>
  </si>
  <si>
    <t>WA93</t>
  </si>
  <si>
    <t>L35 5DR</t>
  </si>
  <si>
    <t>L355</t>
  </si>
  <si>
    <t>L14 3PE</t>
  </si>
  <si>
    <t>L143</t>
  </si>
  <si>
    <t>L12 2AP</t>
  </si>
  <si>
    <t>L122</t>
  </si>
  <si>
    <t>CW8 1AW</t>
  </si>
  <si>
    <t>CW81</t>
  </si>
  <si>
    <t>CW1 4QJ</t>
  </si>
  <si>
    <t>CW14</t>
  </si>
  <si>
    <t>M20 4BX</t>
  </si>
  <si>
    <t>M204</t>
  </si>
  <si>
    <t>EX34 8JF</t>
  </si>
  <si>
    <t>EX348</t>
  </si>
  <si>
    <t>EX38 7BJ</t>
  </si>
  <si>
    <t>EX387</t>
  </si>
  <si>
    <t>EX22 6JQ</t>
  </si>
  <si>
    <t>EX226</t>
  </si>
  <si>
    <t>EX36 4DP</t>
  </si>
  <si>
    <t>EX364</t>
  </si>
  <si>
    <t>EX39 3AG</t>
  </si>
  <si>
    <t>EX393</t>
  </si>
  <si>
    <t>EX31 4JB</t>
  </si>
  <si>
    <t>EX314</t>
  </si>
  <si>
    <t>MK42 9DJ</t>
  </si>
  <si>
    <t>MK429</t>
  </si>
  <si>
    <t>UB1 3HW</t>
  </si>
  <si>
    <t>UB13</t>
  </si>
  <si>
    <t>LU4 0DZ</t>
  </si>
  <si>
    <t>Payment index value for 2011-12</t>
  </si>
  <si>
    <t>Outside London</t>
  </si>
  <si>
    <t>In London</t>
  </si>
  <si>
    <t>population projection * staff MFF</t>
  </si>
  <si>
    <t>population projection * building MFF</t>
  </si>
  <si>
    <t>Community trust</t>
  </si>
  <si>
    <t>Additional land from CHT data collection</t>
  </si>
  <si>
    <t>5MV</t>
  </si>
  <si>
    <t>Sandwell and West Birmingham Hospitals NHS Trust</t>
  </si>
  <si>
    <t>Sandwell Mental Health and Social Care NHS Foundation Trust</t>
  </si>
  <si>
    <t>5PF</t>
  </si>
  <si>
    <t>Shrewsbury and Telford Hospital NHS Trust</t>
  </si>
  <si>
    <t>South Staffordshire Healthcare NHS Foundation Trust</t>
  </si>
  <si>
    <t>South Warwickshire NHS Foundation Trust</t>
  </si>
  <si>
    <t>The Dudley Group of Hospitals NHS Foundation Trust</t>
  </si>
  <si>
    <t>University Hospital Birmingham NHS Foundation Trust</t>
  </si>
  <si>
    <t>University Hospital of North Staffordshire Hospital NHS Trust</t>
  </si>
  <si>
    <t>University Hospitals Coventry and Warwickshire NHS Trust</t>
  </si>
  <si>
    <t>Walsall Hospitals NHS Trust</t>
  </si>
  <si>
    <t>5M3</t>
  </si>
  <si>
    <t>West Midlands Ambulance Service NHS Trust</t>
  </si>
  <si>
    <t>Worcestershire Acute Hospitals NHS Trust</t>
  </si>
  <si>
    <t>5PL</t>
  </si>
  <si>
    <t>Worcestershire Mental Health Partnership NHS Trust</t>
  </si>
  <si>
    <t>Q35</t>
  </si>
  <si>
    <t>Basildon and Thurrock Univ Hosp NHS Foundation Trust</t>
  </si>
  <si>
    <t>5PY</t>
  </si>
  <si>
    <t>Bedford Hospital NHS Trust</t>
  </si>
  <si>
    <t>5P2</t>
  </si>
  <si>
    <t>Cambridge Univ Hosp NHS Foundation Trust</t>
  </si>
  <si>
    <t>5PP</t>
  </si>
  <si>
    <t>Cambridgeshire and Peterborough NHS Foundation Trust</t>
  </si>
  <si>
    <t>Colchester Hospital University NHS Foundation Trust</t>
  </si>
  <si>
    <t>5PW</t>
  </si>
  <si>
    <t>East and North Hertfordshire NHS Trust</t>
  </si>
  <si>
    <t>5P3</t>
  </si>
  <si>
    <t>East of England Ambulance Service NHS Trust</t>
  </si>
  <si>
    <t>5PQ</t>
  </si>
  <si>
    <t>Hertfordshire Partnership NHS Foundation Trust</t>
  </si>
  <si>
    <t>5P4</t>
  </si>
  <si>
    <t>Hinchingbrooke Healthcare NHS Trust</t>
  </si>
  <si>
    <t>Ipswich Hospital NHS Trust</t>
  </si>
  <si>
    <t>5PT</t>
  </si>
  <si>
    <t>James Paget University Hospitals NHS Foundation Trust</t>
  </si>
  <si>
    <t>5PR</t>
  </si>
  <si>
    <t>Luton and Dunstable Hospital NHS Foundation Trust</t>
  </si>
  <si>
    <t>5GC</t>
  </si>
  <si>
    <t>Mid Essex Hospital Services NHS Trust</t>
  </si>
  <si>
    <t>5PX</t>
  </si>
  <si>
    <t>Norfolk and Norwich University Hospitals NHS Foundation Trust</t>
  </si>
  <si>
    <t>Norfolk and Waveney MH NHS Foundation Trust</t>
  </si>
  <si>
    <t>North Essex Partnership NHS Foundation Trust</t>
  </si>
  <si>
    <t>Papworth Hospital NHS Foundation Trust</t>
  </si>
  <si>
    <t>Peterborough &amp; Stamford Hospitals NHS Foundation Trust</t>
  </si>
  <si>
    <t>5PN</t>
  </si>
  <si>
    <t>Princess Alexandra Hospital NHS Trust</t>
  </si>
  <si>
    <t>5PV</t>
  </si>
  <si>
    <t>Queen Elizabeth Hospital Kings Lynn NHS Trust</t>
  </si>
  <si>
    <t>South Essex Partnership NHS Foundation Trust</t>
  </si>
  <si>
    <t>Bedfordshire and Luton Mental Health and Social Care Partnership NHS Trust</t>
  </si>
  <si>
    <t>Southend University Hospitals NHS Foundation Trust</t>
  </si>
  <si>
    <t>5P1</t>
  </si>
  <si>
    <t>West Hertfordshire Hospitals NHS Trust</t>
  </si>
  <si>
    <t>West Suffolk Hospital NHS Trust</t>
  </si>
  <si>
    <t>Q36</t>
  </si>
  <si>
    <t>Barking, Havering and Redbridge University Hospitals NHS Trust</t>
  </si>
  <si>
    <t>5A4</t>
  </si>
  <si>
    <t>Barnet and Chase Farm Hospitals NHS Trust</t>
  </si>
  <si>
    <t>5A9</t>
  </si>
  <si>
    <t>Barnet, Enfield and Haringey Mental Health NHS Trust</t>
  </si>
  <si>
    <t>5C9</t>
  </si>
  <si>
    <t>Barts and the London NHS Trust</t>
  </si>
  <si>
    <t>5C4</t>
  </si>
  <si>
    <t>-</t>
  </si>
  <si>
    <t>TORBAY AND SOUTHERN DEVON HEALTH AND CARE NHS TRUST</t>
  </si>
  <si>
    <t>NORTHWICK PARK &amp; ST MARK'S HOSPITALS</t>
  </si>
  <si>
    <t>RVL01</t>
  </si>
  <si>
    <t>BARNET GENERAL HOSPITAL</t>
  </si>
  <si>
    <t>RVLC7</t>
  </si>
  <si>
    <t>CHASE FARM HOSPITAL</t>
  </si>
  <si>
    <t>RVR50</t>
  </si>
  <si>
    <t>EPSOM GENERAL HOSPITAL</t>
  </si>
  <si>
    <t>RVR05</t>
  </si>
  <si>
    <t>ST HELIER HOSPITAL</t>
  </si>
  <si>
    <t>RVVKC</t>
  </si>
  <si>
    <t>KENT AND CANTERBURY HOSPITAL</t>
  </si>
  <si>
    <t>RVV09</t>
  </si>
  <si>
    <t>QUEEN ELIZABETH THE QUEEN MOTHER HOSPITAL</t>
  </si>
  <si>
    <t>RVV01</t>
  </si>
  <si>
    <t>WILLIAM HARVEY HOSPITAL</t>
  </si>
  <si>
    <t>RVWAA</t>
  </si>
  <si>
    <t>UNIVERSITY HOSPITAL OF HARTLEPOOL</t>
  </si>
  <si>
    <t>RVWAE</t>
  </si>
  <si>
    <t>UNIVERSITY HOSPITAL OF NORTH TEES</t>
  </si>
  <si>
    <t>RVY02</t>
  </si>
  <si>
    <t>ORMSKIRK AND DISTRICT GENERAL HOSPITAL</t>
  </si>
  <si>
    <t>RVY01</t>
  </si>
  <si>
    <t>SOUTHPORT AND FORMBY DISTRICT GENERAL HOSPITAL</t>
  </si>
  <si>
    <t>HAMPSHIRE PARTNERSHIP NHS TRUST</t>
  </si>
  <si>
    <t>RW1AN</t>
  </si>
  <si>
    <t>HOLLYBANK</t>
  </si>
  <si>
    <t>RW1A2</t>
  </si>
  <si>
    <t>BLUEBIRD HOUSE</t>
  </si>
  <si>
    <t>RW102</t>
  </si>
  <si>
    <t>BECTON CENTRE</t>
  </si>
  <si>
    <t>RW121</t>
  </si>
  <si>
    <t>LEIGH HOUSE</t>
  </si>
  <si>
    <t>RW1AR</t>
  </si>
  <si>
    <t>SOUTHFIELDS</t>
  </si>
  <si>
    <t>RW184</t>
  </si>
  <si>
    <t>THE MEADOWS</t>
  </si>
  <si>
    <t>RW1AM</t>
  </si>
  <si>
    <t>ELMLEIGH</t>
  </si>
  <si>
    <t>RW190</t>
  </si>
  <si>
    <t>WOODHAVEN</t>
  </si>
  <si>
    <t>RW119</t>
  </si>
  <si>
    <t>MELBURY LODGE</t>
  </si>
  <si>
    <t>RW145</t>
  </si>
  <si>
    <t>DEPARTMENT OF PSYCHIATRY (RW1)</t>
  </si>
  <si>
    <t>RW1AC</t>
  </si>
  <si>
    <t>PARKLANDS HOSPITAL</t>
  </si>
  <si>
    <t>RW148</t>
  </si>
  <si>
    <t>RAVENSWOOD</t>
  </si>
  <si>
    <t>RW3BH</t>
  </si>
  <si>
    <t>BOOTH HALL HOSPITAL</t>
  </si>
  <si>
    <t>RW3RM</t>
  </si>
  <si>
    <t>ROYAL MANCHESTER CHILDRENS HOSPITAL</t>
  </si>
  <si>
    <t>RW301</t>
  </si>
  <si>
    <t>ISLAND SITE</t>
  </si>
  <si>
    <t>RW605</t>
  </si>
  <si>
    <t>BIRCH HILL HOSPITAL</t>
  </si>
  <si>
    <t>RW604</t>
  </si>
  <si>
    <t>ROCHDALE INFIRMARY</t>
  </si>
  <si>
    <t>RW601</t>
  </si>
  <si>
    <t>FAIRFIELD GENERAL HOSPITAL</t>
  </si>
  <si>
    <t>RW603</t>
  </si>
  <si>
    <t>THE ROYAL OLDHAM HOSPITAL</t>
  </si>
  <si>
    <t>RW602</t>
  </si>
  <si>
    <t>NORTH MANCHESTER</t>
  </si>
  <si>
    <t>RWA16</t>
  </si>
  <si>
    <t>CASTLE HILL HOSPITAL</t>
  </si>
  <si>
    <t>RWA01</t>
  </si>
  <si>
    <t>HULL ROYAL INFIRMARY</t>
  </si>
  <si>
    <t>RWDAA</t>
  </si>
  <si>
    <t>LOUTH COUNTY HOSPITAL</t>
  </si>
  <si>
    <t>RWDLP</t>
  </si>
  <si>
    <t>GRANTHAM HOSPITAL</t>
  </si>
  <si>
    <t>RWDLA</t>
  </si>
  <si>
    <t>PILGRIM HOSPITAL</t>
  </si>
  <si>
    <t>RWDDA</t>
  </si>
  <si>
    <t>LINCOLN COUNTY HOSPITAL</t>
  </si>
  <si>
    <t>RWEAE</t>
  </si>
  <si>
    <t>GLENFIELD HOSPITAL</t>
  </si>
  <si>
    <t>RWEAK</t>
  </si>
  <si>
    <t>LEICESTER GENERAL HOSPITAL</t>
  </si>
  <si>
    <t>RWEAA</t>
  </si>
  <si>
    <t>LEICESTER ROYAL INFIRMARY</t>
  </si>
  <si>
    <t>RWF01</t>
  </si>
  <si>
    <t>PEMBURY HOSPITAL</t>
  </si>
  <si>
    <t>RWF02</t>
  </si>
  <si>
    <t>KENT &amp; SUSSEX HOSPITAL</t>
  </si>
  <si>
    <t>RWF03</t>
  </si>
  <si>
    <t>MAIDSTONE GENERAL HOSPITAL</t>
  </si>
  <si>
    <t>RWG03</t>
  </si>
  <si>
    <t>ST. ALBANS CITY HOSPITAL</t>
  </si>
  <si>
    <t>RWG08</t>
  </si>
  <si>
    <t>HEMEL HEMPSTEAD GENERAL HOSPITAL</t>
  </si>
  <si>
    <t>RWG02</t>
  </si>
  <si>
    <t>WATFORD GENERAL HOSPITAL</t>
  </si>
  <si>
    <t>RWH20</t>
  </si>
  <si>
    <t>QEII HOSPITAL</t>
  </si>
  <si>
    <t>RWH01</t>
  </si>
  <si>
    <t>LISTER HOSPITAL</t>
  </si>
  <si>
    <t>RWJ03</t>
  </si>
  <si>
    <t>CHERRY TREE HOSPITAL</t>
  </si>
  <si>
    <t>RWJ09</t>
  </si>
  <si>
    <t>STEPPING HILL HOSPITAL</t>
  </si>
  <si>
    <t>RWP31</t>
  </si>
  <si>
    <t>KIDDERMINSTER HOSPITAL</t>
  </si>
  <si>
    <t>RWP01</t>
  </si>
  <si>
    <t>THE ALEXANDRA HOSPITAL</t>
  </si>
  <si>
    <t>RWP50</t>
  </si>
  <si>
    <t>WORCESTERSHIRE ROYAL HOSPITAL</t>
  </si>
  <si>
    <t>RWWHG</t>
  </si>
  <si>
    <t>HALTON GEN HOSPITAL</t>
  </si>
  <si>
    <t>WALSALL HEALTHCARE NHS TRUST</t>
  </si>
  <si>
    <t>YORK TEACHING HOSPITAL NHS FOUNDATION TRUST</t>
  </si>
  <si>
    <t>AIREDALE NHS FOUNDATION TRUST</t>
  </si>
  <si>
    <t>THE QUEEN ELIZABETH HOSPITAL, KING'S LYNN, NHS FOUNDATION TRUST</t>
  </si>
  <si>
    <t>DORSET HEALTHCARE UNIVERSITY NHS FOUNDATION TRUST</t>
  </si>
  <si>
    <t>THE CLATTERBRIDGE CANCER CENTRE NHS FOUNDATION TRUST</t>
  </si>
  <si>
    <t>Discrepancy between calculated and published figures - needs to be corrected in 13/14</t>
  </si>
  <si>
    <t>LEEDS AND YORK PARTNERSHIP NHS FOUNDATION TRUST</t>
  </si>
  <si>
    <t>WEST SUFFOLK NHS FOUNDATION TRUST</t>
  </si>
  <si>
    <t>UNIVERSITY HOSPITAL SOUTHAMPTON NHS FOUNDATION TRUST</t>
  </si>
  <si>
    <t>LEWISHAM HEALTHCARE NHS TRUST</t>
  </si>
  <si>
    <t>CROYDON HEALTH SERVICES NHS TRUST</t>
  </si>
  <si>
    <t>CORNWALL PARTNERSHIP NHS FOUNDATION TRUST</t>
  </si>
  <si>
    <t>SOUTH WARWICKSHIRE NHS FOUNDATION TRUST</t>
  </si>
  <si>
    <t>ROBERT JONES AND AGNES HUNT ORTHOPAEDIC HOSPITAL NHS FOUNDATION TRUST</t>
  </si>
  <si>
    <t>BOLTON NHS FOUNDATION TRUST</t>
  </si>
  <si>
    <t>NORFOLK AND SUFFOLK NHS FOUNDATION TRUST</t>
  </si>
  <si>
    <t>THE DUDLEY GROUP NHS FOUNDATION TRUST</t>
  </si>
  <si>
    <t>OXFORD HEALTH NHS FOUNDATION TRUST</t>
  </si>
  <si>
    <t>GREAT ORMOND STREET HOSPITAL FOR CHILDREN NHS FOUNDATION TRUST</t>
  </si>
  <si>
    <t>ASHFORD AND ST PETER'S HOSPITALS NHS FOUNDATION TRUST</t>
  </si>
  <si>
    <t>UNIVERSITY HOSPITALS OF MORECAMBE BAY NHS FOUNDATION TRUST</t>
  </si>
  <si>
    <t>SOUTHERN HEALTH NHS FOUNDATION TRUST</t>
  </si>
  <si>
    <t>5 BOROUGHS PARTNERSHIP NHS FOUNDATION TRUST</t>
  </si>
  <si>
    <t>EAST SUSSEX HEALTHCARE NHS TRUST</t>
  </si>
  <si>
    <t>BLACKPOOL TEACHING HOSPITALS NHS FOUNDATION TRUST</t>
  </si>
  <si>
    <t>DERBYSHIRE HEALTHCARE NHS FOUNDATION TRUST</t>
  </si>
  <si>
    <t>BUCKINGHAMSHIRE HEALTHCARE NHS TRUST</t>
  </si>
  <si>
    <t>ROTHERHAM, DONCASTER AND SOUTH HUMBER NHS FOUNDATION TRUST</t>
  </si>
  <si>
    <t>WYE VALLEY NHS TRUST</t>
  </si>
  <si>
    <t>RY4</t>
  </si>
  <si>
    <t>HERTFORDSHIRE COMMUNITY NHS TRUST</t>
  </si>
  <si>
    <t>RWR</t>
  </si>
  <si>
    <t>HERTFORDSHIRE PARTNERSHIP NHS FOUNDATION TRUST</t>
  </si>
  <si>
    <t>RQQ</t>
  </si>
  <si>
    <t>HINCHINGBROOKE HEALTH CARE NHS TRUST</t>
  </si>
  <si>
    <t>RQX</t>
  </si>
  <si>
    <t>HOMERTON UNIVERSITY HOSPITAL NHS FOUNDATION TRUST</t>
  </si>
  <si>
    <t>RY9</t>
  </si>
  <si>
    <t>HOUNSLOW AND RICHMOND COMMUNITY HEALTHCARE NHS TRUST</t>
  </si>
  <si>
    <t>RWA</t>
  </si>
  <si>
    <t>HULL AND EAST YORKSHIRE HOSPITALS NHS TRUST</t>
  </si>
  <si>
    <t>RV9</t>
  </si>
  <si>
    <t>HUMBER NHS FOUNDATION TRUST</t>
  </si>
  <si>
    <t>RYJ</t>
  </si>
  <si>
    <t>IMPERIAL COLLEGE HEALTHCARE NHS TRUST</t>
  </si>
  <si>
    <t>RGQ</t>
  </si>
  <si>
    <t>IPSWICH HOSPITAL NHS TRUST</t>
  </si>
  <si>
    <t>RGP</t>
  </si>
  <si>
    <t>JAMES PAGET UNIVERSITY HOSPITALS NHS FOUNDATION TRUST</t>
  </si>
  <si>
    <t>RXY</t>
  </si>
  <si>
    <t>KENT AND MEDWAY NHS AND SOCIAL CARE PARTNERSHIP TRUST</t>
  </si>
  <si>
    <t>RYY</t>
  </si>
  <si>
    <t>RNQ</t>
  </si>
  <si>
    <t>NORTHUMBERLAND, TYNE AND WEAR NHS TRUST</t>
  </si>
  <si>
    <t>RX468</t>
  </si>
  <si>
    <t>PRUDHOE HOSPITAL</t>
  </si>
  <si>
    <t>RX4W4</t>
  </si>
  <si>
    <t>WALKERGATE PARK HOSPITAL</t>
  </si>
  <si>
    <t>RX4K2</t>
  </si>
  <si>
    <t>MONKWEARMOUTH HOSPITAL</t>
  </si>
  <si>
    <t>RX464</t>
  </si>
  <si>
    <t>CHERRY KNOWLE HOSPITAL</t>
  </si>
  <si>
    <t>RX4E4</t>
  </si>
  <si>
    <t>ST NICHOLAS HOSPITAL, GOSFORTH</t>
  </si>
  <si>
    <t>RX467</t>
  </si>
  <si>
    <t>NORTHGATE HOSPITAL</t>
  </si>
  <si>
    <t>RX4E2</t>
  </si>
  <si>
    <t>ST GEORGES HOSPITAL, MORPETH</t>
  </si>
  <si>
    <t>RXC01</t>
  </si>
  <si>
    <t>CONQUEST HOSPITAL</t>
  </si>
  <si>
    <t>RXC02</t>
  </si>
  <si>
    <t>EASTBOURNE DISTRICT GENERAL HOSPITAL</t>
  </si>
  <si>
    <t>RXF10</t>
  </si>
  <si>
    <t>DEWSBURY &amp; DISTRICT HOSPITAL</t>
  </si>
  <si>
    <t>RXF03</t>
  </si>
  <si>
    <t>PONTEFRACT GENERAL INFIRMARY</t>
  </si>
  <si>
    <t>RXF05</t>
  </si>
  <si>
    <t>PINDERFIELDS GENERAL HOSPITAL</t>
  </si>
  <si>
    <t>RXH07</t>
  </si>
  <si>
    <t>THE SUSSEX EYE HOSPITAL</t>
  </si>
  <si>
    <t>RXH06</t>
  </si>
  <si>
    <t>THE ROYAL ALEXANDRA HOSPITAL FOR SICK CHILDREN</t>
  </si>
  <si>
    <t>RXH09</t>
  </si>
  <si>
    <t>THE PRINCESS ROYAL HOSPITAL</t>
  </si>
  <si>
    <t>RXH01</t>
  </si>
  <si>
    <t>THE ROYAL SUSSEX COUNTY HOSPITAL</t>
  </si>
  <si>
    <t>RXK10</t>
  </si>
  <si>
    <t>ROWLEY REGIS HOSPITAL</t>
  </si>
  <si>
    <t>RXK01</t>
  </si>
  <si>
    <t>SANDWELL GENERAL HOSPITAL</t>
  </si>
  <si>
    <t>RXK02</t>
  </si>
  <si>
    <t>CITY HOSPITAL</t>
  </si>
  <si>
    <t>RXL07</t>
  </si>
  <si>
    <t>WESHAM REHABILITATION UNIT</t>
  </si>
  <si>
    <t>RXL08</t>
  </si>
  <si>
    <t>BISPHAM REHABILITATION UNIT</t>
  </si>
  <si>
    <t>RXL09</t>
  </si>
  <si>
    <t>ROSSALL REHABILITATION UNIT</t>
  </si>
  <si>
    <t>RXL06</t>
  </si>
  <si>
    <t>CLIFTON HOSPITAL</t>
  </si>
  <si>
    <t>RXL01</t>
  </si>
  <si>
    <t>BLACKPOOL VICTORIA HOSPITAL</t>
  </si>
  <si>
    <t>RXNA4</t>
  </si>
  <si>
    <t>NEURO REHAB UNIT</t>
  </si>
  <si>
    <t>RXN01</t>
  </si>
  <si>
    <t>CHORLEY AND SOUTH RIBBLE DISTRICT GENERAL HOSPITAL</t>
  </si>
  <si>
    <t>RXN02</t>
  </si>
  <si>
    <t>ROYAL PRESTON HOSPITAL</t>
  </si>
  <si>
    <t>RXPCW</t>
  </si>
  <si>
    <t>North Staffordshire PCT</t>
  </si>
  <si>
    <t>Sandwell PCT</t>
  </si>
  <si>
    <t>Shropshire County PCT</t>
  </si>
  <si>
    <t>TAM</t>
  </si>
  <si>
    <t>Solihull Care Trust</t>
  </si>
  <si>
    <t>South Birmingham PCT</t>
  </si>
  <si>
    <t>South Staffordshire PCT</t>
  </si>
  <si>
    <t>Stoke On Trent PCT</t>
  </si>
  <si>
    <t>5MK</t>
  </si>
  <si>
    <t>Telford and Wrekin PCT</t>
  </si>
  <si>
    <t>Walsall Teaching PCT</t>
  </si>
  <si>
    <t>Warwickshire PCT</t>
  </si>
  <si>
    <t>Wolverhampton City PCT</t>
  </si>
  <si>
    <t>Worcestershire PCT</t>
  </si>
  <si>
    <t>Bedfordshire PCT</t>
  </si>
  <si>
    <t>Cambridgeshire PCT</t>
  </si>
  <si>
    <t>Great Yarmouth and Waveney PCT</t>
  </si>
  <si>
    <t>Luton PCT</t>
  </si>
  <si>
    <t>Mid Essex PCT</t>
  </si>
  <si>
    <t>Norfolk PCT</t>
  </si>
  <si>
    <t>EN26</t>
  </si>
  <si>
    <t>NW9 5HG</t>
  </si>
  <si>
    <t>NW95</t>
  </si>
  <si>
    <t>HA8 0AD</t>
  </si>
  <si>
    <t>HA80</t>
  </si>
  <si>
    <t>N15 3TH</t>
  </si>
  <si>
    <t>N153</t>
  </si>
  <si>
    <t>CB21 5EF</t>
  </si>
  <si>
    <t>CB215</t>
  </si>
  <si>
    <t>CB1 5EF</t>
  </si>
  <si>
    <t>CB15</t>
  </si>
  <si>
    <t>CB1 5EE</t>
  </si>
  <si>
    <t>PE2 7JU</t>
  </si>
  <si>
    <t>PE27</t>
  </si>
  <si>
    <t>PE3 6JG</t>
  </si>
  <si>
    <t>OL6 7SR</t>
  </si>
  <si>
    <t>OL67</t>
  </si>
  <si>
    <t>OL1 2PN</t>
  </si>
  <si>
    <t>SK13 7BQ</t>
  </si>
  <si>
    <t>SK137</t>
  </si>
  <si>
    <t>SK2 5EQ</t>
  </si>
  <si>
    <t>SK25</t>
  </si>
  <si>
    <t>SK2 6RA</t>
  </si>
  <si>
    <t>SK26</t>
  </si>
  <si>
    <t>OL16 5PX</t>
  </si>
  <si>
    <t>OL165</t>
  </si>
  <si>
    <t>LE5 0TD</t>
  </si>
  <si>
    <t>LE3 9QF</t>
  </si>
  <si>
    <t>LE3 9EJ</t>
  </si>
  <si>
    <t>LE5 4QF</t>
  </si>
  <si>
    <t>IP3 8LU</t>
  </si>
  <si>
    <t>IP38</t>
  </si>
  <si>
    <t>IP3 8LS</t>
  </si>
  <si>
    <t>GL1 1LY</t>
  </si>
  <si>
    <t>GL11</t>
  </si>
  <si>
    <t>GL53 9DZ</t>
  </si>
  <si>
    <t>GL1 3PX</t>
  </si>
  <si>
    <t>WA2 8WA</t>
  </si>
  <si>
    <t>WA28</t>
  </si>
  <si>
    <t>WA3 4TH</t>
  </si>
  <si>
    <t>WA34</t>
  </si>
  <si>
    <t>L35 2YZ</t>
  </si>
  <si>
    <t>L352</t>
  </si>
  <si>
    <t>NW1 7QY</t>
  </si>
  <si>
    <t>NW17</t>
  </si>
  <si>
    <t>W10 6DZ</t>
  </si>
  <si>
    <t>W106</t>
  </si>
  <si>
    <t>SW10 9NG</t>
  </si>
  <si>
    <t>SW1V 2RH</t>
  </si>
  <si>
    <t>SW1V2</t>
  </si>
  <si>
    <t>SW1V 2RW</t>
  </si>
  <si>
    <t>KT19 7HA</t>
  </si>
  <si>
    <t>KT197</t>
  </si>
  <si>
    <t>W9 2BA</t>
  </si>
  <si>
    <t>W92</t>
  </si>
  <si>
    <t>NW9 9QY</t>
  </si>
  <si>
    <t>NW99</t>
  </si>
  <si>
    <t>HU10 6ED</t>
  </si>
  <si>
    <t>HU106</t>
  </si>
  <si>
    <t>HU13 9NW</t>
  </si>
  <si>
    <t>HU139</t>
  </si>
  <si>
    <t>HU6 8QG</t>
  </si>
  <si>
    <t>HU68</t>
  </si>
  <si>
    <t>HU6 8QA</t>
  </si>
  <si>
    <t>HU3 5QE</t>
  </si>
  <si>
    <t>HU35</t>
  </si>
  <si>
    <t>HU9 2BH</t>
  </si>
  <si>
    <t>HU92</t>
  </si>
  <si>
    <t>HU8 0RB</t>
  </si>
  <si>
    <t>HU80</t>
  </si>
  <si>
    <t>HU17 7BZ</t>
  </si>
  <si>
    <t>HU177</t>
  </si>
  <si>
    <t>DN14 6AL</t>
  </si>
  <si>
    <t>HU3 2RT</t>
  </si>
  <si>
    <t>HU3 3SW</t>
  </si>
  <si>
    <t>HU33</t>
  </si>
  <si>
    <t>BS10 5NB</t>
  </si>
  <si>
    <t>BS105</t>
  </si>
  <si>
    <t>BS20 0HH</t>
  </si>
  <si>
    <t>BS200</t>
  </si>
  <si>
    <t>BS35 1DN</t>
  </si>
  <si>
    <t>BS351</t>
  </si>
  <si>
    <t>BS16 1LE</t>
  </si>
  <si>
    <t>BS161</t>
  </si>
  <si>
    <t>BS16 2EW</t>
  </si>
  <si>
    <t>BS162</t>
  </si>
  <si>
    <t>SN15 1GG</t>
  </si>
  <si>
    <t>SN151</t>
  </si>
  <si>
    <t>SN10 5DS</t>
  </si>
  <si>
    <t>SN105</t>
  </si>
  <si>
    <t>BA14 8LS</t>
  </si>
  <si>
    <t>BA148</t>
  </si>
  <si>
    <t>SN3 4WF</t>
  </si>
  <si>
    <t>SN34</t>
  </si>
  <si>
    <t>SN1 4HZ</t>
  </si>
  <si>
    <t>SN14</t>
  </si>
  <si>
    <t>SP2 7EP</t>
  </si>
  <si>
    <t>SP27</t>
  </si>
  <si>
    <t>BS4 5BJ</t>
  </si>
  <si>
    <t>BS45</t>
  </si>
  <si>
    <t>L3 1DL</t>
  </si>
  <si>
    <t>L31</t>
  </si>
  <si>
    <t>L13 4AW</t>
  </si>
  <si>
    <t>L134</t>
  </si>
  <si>
    <t>PR9 0LT</t>
  </si>
  <si>
    <t>PR90</t>
  </si>
  <si>
    <t>L31 1HW</t>
  </si>
  <si>
    <t>L311</t>
  </si>
  <si>
    <t>L14 3PJ</t>
  </si>
  <si>
    <t>L18 8BU</t>
  </si>
  <si>
    <t>L188</t>
  </si>
  <si>
    <t>L8 7LF</t>
  </si>
  <si>
    <t>L15 2HE</t>
  </si>
  <si>
    <t>L152</t>
  </si>
  <si>
    <t>WA9 5BD</t>
  </si>
  <si>
    <t>WA95</t>
  </si>
  <si>
    <t>PR5 6AW</t>
  </si>
  <si>
    <t>PR56</t>
  </si>
  <si>
    <t>PR3 2JH</t>
  </si>
  <si>
    <t>PR32</t>
  </si>
  <si>
    <t>PR2 6LS</t>
  </si>
  <si>
    <t>PR26</t>
  </si>
  <si>
    <t>FY3 8PW</t>
  </si>
  <si>
    <t>FY7 6BE</t>
  </si>
  <si>
    <t>FY76</t>
  </si>
  <si>
    <t>FY8 5EE</t>
  </si>
  <si>
    <t>FY85</t>
  </si>
  <si>
    <t>LA1 3JT</t>
  </si>
  <si>
    <t>LA13</t>
  </si>
  <si>
    <t>LA4 4RR</t>
  </si>
  <si>
    <t>LA44</t>
  </si>
  <si>
    <t>E1 6LP</t>
  </si>
  <si>
    <t>E16</t>
  </si>
  <si>
    <t>E9 6AT</t>
  </si>
  <si>
    <t>E2 9NJ</t>
  </si>
  <si>
    <t>E13 8SH</t>
  </si>
  <si>
    <t>E9 5TD</t>
  </si>
  <si>
    <t>E95</t>
  </si>
  <si>
    <t>E1 4DG</t>
  </si>
  <si>
    <t>E14</t>
  </si>
  <si>
    <t>SS11 7XX</t>
  </si>
  <si>
    <t>SS117</t>
  </si>
  <si>
    <t>SS4 1RB</t>
  </si>
  <si>
    <t>SS41</t>
  </si>
  <si>
    <t>RM16 2PX</t>
  </si>
  <si>
    <t>RM162</t>
  </si>
  <si>
    <t>WR4 9RW</t>
  </si>
  <si>
    <t>WR49</t>
  </si>
  <si>
    <t>WR5 1JG</t>
  </si>
  <si>
    <t>B98 7WG</t>
  </si>
  <si>
    <t>AL3 5TL</t>
  </si>
  <si>
    <t>AL3 5JF</t>
  </si>
  <si>
    <t>WD5 0HT</t>
  </si>
  <si>
    <t>WD50</t>
  </si>
  <si>
    <t>WD17 3XE</t>
  </si>
  <si>
    <t>WD173</t>
  </si>
  <si>
    <t>SG13 7HX</t>
  </si>
  <si>
    <t>SG137</t>
  </si>
  <si>
    <t>WD6 4AL</t>
  </si>
  <si>
    <t>WD64</t>
  </si>
  <si>
    <t>WD7 9HQ</t>
  </si>
  <si>
    <t>WD79</t>
  </si>
  <si>
    <t>NR13 5EW</t>
  </si>
  <si>
    <t>NR135</t>
  </si>
  <si>
    <t>EX2 5AF</t>
  </si>
  <si>
    <t>TQ12 6AA</t>
  </si>
  <si>
    <t>TQ126</t>
  </si>
  <si>
    <t>EX8 4DD</t>
  </si>
  <si>
    <t>EX84</t>
  </si>
  <si>
    <t>EX7 0NR</t>
  </si>
  <si>
    <t>EX70</t>
  </si>
  <si>
    <t>EX2 9HS</t>
  </si>
  <si>
    <t>EX29</t>
  </si>
  <si>
    <t>RG12 1LD</t>
  </si>
  <si>
    <t>RG121</t>
  </si>
  <si>
    <t>RG30 4EJ</t>
  </si>
  <si>
    <t>BN13 3EP</t>
  </si>
  <si>
    <t>BN133</t>
  </si>
  <si>
    <t>BN3 7HY</t>
  </si>
  <si>
    <t>BN37</t>
  </si>
  <si>
    <t>BN3 7JW</t>
  </si>
  <si>
    <t>PO19 6GS</t>
  </si>
  <si>
    <t>PO19 6AU</t>
  </si>
  <si>
    <t>BN27 4HU</t>
  </si>
  <si>
    <t>BN274</t>
  </si>
  <si>
    <t>TN37 7PT</t>
  </si>
  <si>
    <t>RH11 7SE</t>
  </si>
  <si>
    <t>RH117</t>
  </si>
  <si>
    <t>TS6 0SZ</t>
  </si>
  <si>
    <t>TS60</t>
  </si>
  <si>
    <t>DH1 4ST</t>
  </si>
  <si>
    <t>DH14</t>
  </si>
  <si>
    <t>DL14 6AE</t>
  </si>
  <si>
    <t>DH1 5RD</t>
  </si>
  <si>
    <t>TS4 3AF</t>
  </si>
  <si>
    <t>TS6 0NP</t>
  </si>
  <si>
    <t>TS5 4EE</t>
  </si>
  <si>
    <t>TS54</t>
  </si>
  <si>
    <t>YO12 6DN</t>
  </si>
  <si>
    <t>DL2 2TS</t>
  </si>
  <si>
    <t>DL22</t>
  </si>
  <si>
    <t>CH2 1BQ</t>
  </si>
  <si>
    <t>CH43 5SR</t>
  </si>
  <si>
    <t>CH435</t>
  </si>
  <si>
    <t>SK10 4UJ</t>
  </si>
  <si>
    <t>SK104</t>
  </si>
  <si>
    <t>S26 4TH</t>
  </si>
  <si>
    <t>S264</t>
  </si>
  <si>
    <t>DN16 2JX</t>
  </si>
  <si>
    <t>DN162</t>
  </si>
  <si>
    <t>WF1 3SP</t>
  </si>
  <si>
    <t>WF13</t>
  </si>
  <si>
    <t>WF10 5LT</t>
  </si>
  <si>
    <t>WF105</t>
  </si>
  <si>
    <t>HD4 5RQ</t>
  </si>
  <si>
    <t>HD45</t>
  </si>
  <si>
    <t>DE22 3LZ</t>
  </si>
  <si>
    <t>DE55 7AL</t>
  </si>
  <si>
    <t>DE557</t>
  </si>
  <si>
    <t>DE1 1FT</t>
  </si>
  <si>
    <t>DE11</t>
  </si>
  <si>
    <t>M25 3BL</t>
  </si>
  <si>
    <t>M253</t>
  </si>
  <si>
    <t>M28 0FE</t>
  </si>
  <si>
    <t>M280</t>
  </si>
  <si>
    <t>CV2 2TE</t>
  </si>
  <si>
    <t>CV11 5HX</t>
  </si>
  <si>
    <t>CV115</t>
  </si>
  <si>
    <t>CV34 5QW</t>
  </si>
  <si>
    <t>B37 7HL</t>
  </si>
  <si>
    <t>B377</t>
  </si>
  <si>
    <t>WS3 2JJ</t>
  </si>
  <si>
    <t>WS32</t>
  </si>
  <si>
    <t>WS2 9XH</t>
  </si>
  <si>
    <t>DY1 2LZ</t>
  </si>
  <si>
    <t>BD18 3LA</t>
  </si>
  <si>
    <t>BD183</t>
  </si>
  <si>
    <t>LS29 7AJ</t>
  </si>
  <si>
    <t>LS297</t>
  </si>
  <si>
    <t>BD9 6RL</t>
  </si>
  <si>
    <t>BD9 6DP</t>
  </si>
  <si>
    <t>BD20 6TA</t>
  </si>
  <si>
    <t>NW1 0PE</t>
  </si>
  <si>
    <t>NW10</t>
  </si>
  <si>
    <t>N10 3HU</t>
  </si>
  <si>
    <t>N103</t>
  </si>
  <si>
    <t>N19 5JG</t>
  </si>
  <si>
    <t>S10 3TH</t>
  </si>
  <si>
    <t>RNU75</t>
  </si>
  <si>
    <t>FULBROOK CENTRE</t>
  </si>
  <si>
    <t>RNU92</t>
  </si>
  <si>
    <t>MARLBOROUGH HOUSE, EAGLESTONE</t>
  </si>
  <si>
    <t>RNU95</t>
  </si>
  <si>
    <t>MANOR HOUSE, AYLESBURY</t>
  </si>
  <si>
    <t>RNU96</t>
  </si>
  <si>
    <t>TINDAL CENTRE, AYLESBURY</t>
  </si>
  <si>
    <t>RNU99</t>
  </si>
  <si>
    <t>MANDALAY HOUSE, AYLESBURY</t>
  </si>
  <si>
    <t>RP7CG</t>
  </si>
  <si>
    <t>WITHAM COURT</t>
  </si>
  <si>
    <t>RP7EV</t>
  </si>
  <si>
    <t>PETER HODGKINSON CENTRE</t>
  </si>
  <si>
    <t>RP7FK</t>
  </si>
  <si>
    <t>FRANCIS WILLIS UNIT</t>
  </si>
  <si>
    <t>RP7FQ</t>
  </si>
  <si>
    <t>ST. GEORGE'S HOSPITAL SITE</t>
  </si>
  <si>
    <t>RP7LA</t>
  </si>
  <si>
    <t>PILGRIM HOSPITAL SITE</t>
  </si>
  <si>
    <t>RP7LP</t>
  </si>
  <si>
    <t>MANTHORPE CENTRE</t>
  </si>
  <si>
    <t>RP7MB</t>
  </si>
  <si>
    <t>BEACONFIELD SITE</t>
  </si>
  <si>
    <t>RQY01</t>
  </si>
  <si>
    <t>SPRINGFIELD UNIVERSITY HOSPITAL</t>
  </si>
  <si>
    <t>RQY03</t>
  </si>
  <si>
    <t>SUTTON HOSPITAL (RQY)</t>
  </si>
  <si>
    <t>RQY05</t>
  </si>
  <si>
    <t>BARNES HOSPITAL</t>
  </si>
  <si>
    <t>RQY06</t>
  </si>
  <si>
    <t>HENDERSON HOSPITAL</t>
  </si>
  <si>
    <t>RQY07</t>
  </si>
  <si>
    <t>QUEEN MARY'S HOSPITAL (RQY)</t>
  </si>
  <si>
    <t>RQY08</t>
  </si>
  <si>
    <t>TOLWORTH HOSPITAL</t>
  </si>
  <si>
    <t>RQY12</t>
  </si>
  <si>
    <t>OLD CHURCH</t>
  </si>
  <si>
    <t>RQYSJ</t>
  </si>
  <si>
    <t>ST. JOHN'S HOSPITAL AND AMYAND HOUSE</t>
  </si>
  <si>
    <t>RRDAH</t>
  </si>
  <si>
    <t>LINDEN CENTRE</t>
  </si>
  <si>
    <t>RRDB7</t>
  </si>
  <si>
    <t>LANDERMERE CENTRE</t>
  </si>
  <si>
    <t>RRDD7</t>
  </si>
  <si>
    <t>KING'S WOOD CENTRE</t>
  </si>
  <si>
    <t>RRDE0</t>
  </si>
  <si>
    <t>SEVERALLS HOSPITAL</t>
  </si>
  <si>
    <t>RRDE1</t>
  </si>
  <si>
    <t>THE LAKES</t>
  </si>
  <si>
    <t>RRDE2</t>
  </si>
  <si>
    <t>CLACTON &amp; DISTRICT HOSPITAL</t>
  </si>
  <si>
    <t>RRDE3</t>
  </si>
  <si>
    <t>LONGVIEW</t>
  </si>
  <si>
    <t>RRDHD</t>
  </si>
  <si>
    <t>ST MARGARET'S HOSPITAL, EPPING</t>
  </si>
  <si>
    <t>RRDPA</t>
  </si>
  <si>
    <t>DERWENT CENTRE, HARLOW</t>
  </si>
  <si>
    <t>RRE03</t>
  </si>
  <si>
    <t>MARGARET STANHOPE CENTRE - BURTON DGH SITE</t>
  </si>
  <si>
    <t>RRE06</t>
  </si>
  <si>
    <t>BURTON HOUSE</t>
  </si>
  <si>
    <t>RRE07</t>
  </si>
  <si>
    <t>WHITE LODGE COMMUNITY UNIT</t>
  </si>
  <si>
    <t>RRE11</t>
  </si>
  <si>
    <t>ST.GEORGES HOSPITAL (RRE)</t>
  </si>
  <si>
    <t>RRE58</t>
  </si>
  <si>
    <t>GEORGE BRYAN CENTRE</t>
  </si>
  <si>
    <t>RRED9</t>
  </si>
  <si>
    <t>SHELTON HOSPITAL, SHREWSBURY</t>
  </si>
  <si>
    <t>RREDG</t>
  </si>
  <si>
    <t>300 HOLYHEAD ROAD, WELLINGTON, TELFORD</t>
  </si>
  <si>
    <t>RREEC</t>
  </si>
  <si>
    <t>THE ELMS HOSTEL OUTPATIENTS, BELVIDERE AVENUE, SHREWSBURY</t>
  </si>
  <si>
    <t>RREEH</t>
  </si>
  <si>
    <t>MYTTON OAK COMMUNITY UNIT, SHREWSBURY</t>
  </si>
  <si>
    <t>RREG4</t>
  </si>
  <si>
    <t>CASTLE LODGE, DAWLEY, TELFORD</t>
  </si>
  <si>
    <t>RRP09</t>
  </si>
  <si>
    <t>RRP10</t>
  </si>
  <si>
    <t>BAY TREE HOUSE</t>
  </si>
  <si>
    <t>RRP16</t>
  </si>
  <si>
    <t>RRP17</t>
  </si>
  <si>
    <t>COLINDALE HOSPITAL</t>
  </si>
  <si>
    <t>RRP23</t>
  </si>
  <si>
    <t>EDGWARE COMMUNITY HOSPITAL</t>
  </si>
  <si>
    <t>RRP46</t>
  </si>
  <si>
    <t>ST. ANN'S HOSPITAL</t>
  </si>
  <si>
    <t>RT113</t>
  </si>
  <si>
    <t>FULBOURN HOSPITAL</t>
  </si>
  <si>
    <t>RT115</t>
  </si>
  <si>
    <t>IDA DARWIN HOSPITAL</t>
  </si>
  <si>
    <t>RT118</t>
  </si>
  <si>
    <t>GLOUCESTER CENTRE</t>
  </si>
  <si>
    <t>RT1GE</t>
  </si>
  <si>
    <t>PETERBOROUGH DISTRICT HOSPITAL WEST SITE</t>
  </si>
  <si>
    <t>RT201</t>
  </si>
  <si>
    <t>RT202</t>
  </si>
  <si>
    <t>TAMESIDE GENERAL HOSPITAL</t>
  </si>
  <si>
    <t>RT203</t>
  </si>
  <si>
    <t>ROYAL OLDHAM HOSPITAL</t>
  </si>
  <si>
    <t>RT204</t>
  </si>
  <si>
    <t>RT205</t>
  </si>
  <si>
    <t>RT206</t>
  </si>
  <si>
    <t>WOODS HOSPITAL</t>
  </si>
  <si>
    <t>RT208</t>
  </si>
  <si>
    <t>THE MEADOWS (OLD AGE PSYCHIATRY UNIT)</t>
  </si>
  <si>
    <t>RT210</t>
  </si>
  <si>
    <t>HEATHFIELD HOUSE</t>
  </si>
  <si>
    <t>RT243</t>
  </si>
  <si>
    <t>SOUTH DEVON HEALTH CARE NHS FOUNDATION TRUST</t>
  </si>
  <si>
    <t>RA901</t>
  </si>
  <si>
    <t>TORBAY DISTRICT GENERAL HOSPITAL</t>
  </si>
  <si>
    <t>RAE05</t>
  </si>
  <si>
    <t>ST. LUKE'S HOSPITAL (RAE)</t>
  </si>
  <si>
    <t>RAE01</t>
  </si>
  <si>
    <t>BRADFORD ROYAL INFIRMARY</t>
  </si>
  <si>
    <t>RAJ01</t>
  </si>
  <si>
    <t>SOUTHEND HOSPITAL</t>
  </si>
  <si>
    <t>RAL16</t>
  </si>
  <si>
    <t>ROYAL NATIONAL THROAT, NOSE &amp; EAR HOSPITAL</t>
  </si>
  <si>
    <t>RAL01</t>
  </si>
  <si>
    <t>ROYAL FREE HOSPITAL</t>
  </si>
  <si>
    <t>RAN01</t>
  </si>
  <si>
    <t>THE ROYAL NATIONAL ORTHOPAEDIC HOSPITAL (STANMORE)</t>
  </si>
  <si>
    <t>RAPNM</t>
  </si>
  <si>
    <t>NORTH MIDDLESEX HOSPITAL</t>
  </si>
  <si>
    <t>RAS02</t>
  </si>
  <si>
    <t>MOUNT VERNON HOSPITAL</t>
  </si>
  <si>
    <t>RAS01</t>
  </si>
  <si>
    <t>THE HILLINGDON HOSPITAL</t>
  </si>
  <si>
    <t>RAX01</t>
  </si>
  <si>
    <t>KINGSTON HOSPITAL</t>
  </si>
  <si>
    <t>RBA11</t>
  </si>
  <si>
    <t>MUSGROVE PARK HOSPITAL</t>
  </si>
  <si>
    <t>RBB01</t>
  </si>
  <si>
    <t>ROYAL NATIONAL HOSPITAL FOR RHEUMATIC DISEASES</t>
  </si>
  <si>
    <t>RBD01</t>
  </si>
  <si>
    <t>DORSET COUNTY HOSPITAL</t>
  </si>
  <si>
    <t>NUFFIELD ORTHOPAEDIC CENTRE NHS TRUST</t>
  </si>
  <si>
    <t>RBF03</t>
  </si>
  <si>
    <t>NUFFIELD ORTHOPAEDIC CENTRE</t>
  </si>
  <si>
    <t>RBK02</t>
  </si>
  <si>
    <t>MANOR HOSPITAL</t>
  </si>
  <si>
    <t>RBL20</t>
  </si>
  <si>
    <t>CLATTERBRIDGE HOSPITAL</t>
  </si>
  <si>
    <t>RBL14</t>
  </si>
  <si>
    <t>ARROWE PARK HOSPITAL</t>
  </si>
  <si>
    <t>RBN02</t>
  </si>
  <si>
    <t>ST HELENS HOSPITAL (EXCLUDING PLEASLEY CROSS)</t>
  </si>
  <si>
    <t>RBN01</t>
  </si>
  <si>
    <t>WHISTON HOSPITAL</t>
  </si>
  <si>
    <t>LIVERPOOL HEART AND CHEST HOSPITAL NHS TRUST</t>
  </si>
  <si>
    <t>RBQHQ</t>
  </si>
  <si>
    <t>THE CARDIOTHORACIC CENTRE</t>
  </si>
  <si>
    <t>ALDER HEY CHILDRENS NHS FOUNDATION TRUST</t>
  </si>
  <si>
    <t>RBS25</t>
  </si>
  <si>
    <t>ALDER HEY HOSPITAL</t>
  </si>
  <si>
    <t>THE MID CHESHIRE HOSPITALS NHS FOUNDATION TRUST</t>
  </si>
  <si>
    <t>RBT21</t>
  </si>
  <si>
    <t>VICTORIA INFIRMARY NORTHWICH</t>
  </si>
  <si>
    <t>RBT20</t>
  </si>
  <si>
    <t>LEIGHTON HOSPITAL</t>
  </si>
  <si>
    <t>CHRISTIE HOSPITAL NHS FOUNDATION TRUST</t>
  </si>
  <si>
    <t>RBV01</t>
  </si>
  <si>
    <t>CHRISTIE HOSPITAL</t>
  </si>
  <si>
    <t>RBZ91</t>
  </si>
  <si>
    <t>ILFRACOMBE &amp; DISTRICT TYRRELL HOSPITAL</t>
  </si>
  <si>
    <t>RBZ98</t>
  </si>
  <si>
    <t>TORRINGTON HOSPITAL</t>
  </si>
  <si>
    <t>RBZ92</t>
  </si>
  <si>
    <t>HOLSWORTHY HOSPITAL</t>
  </si>
  <si>
    <t>RBZ99</t>
  </si>
  <si>
    <t>SOUTH MOLTON HOSPITAL</t>
  </si>
  <si>
    <t>RBZ95</t>
  </si>
  <si>
    <t>BIDEFORD HOSPITAL</t>
  </si>
  <si>
    <t>RBZ12</t>
  </si>
  <si>
    <t>NORTH DEVON DISTRICT HOSPITAL</t>
  </si>
  <si>
    <t>RC110</t>
  </si>
  <si>
    <t>BEDFORD HOSPITAL SOUTH WING</t>
  </si>
  <si>
    <t>RC399</t>
  </si>
  <si>
    <t>RC971</t>
  </si>
  <si>
    <t>LUTON AND DUNSTABLE HOSPITAL</t>
  </si>
  <si>
    <t>RCBTV</t>
  </si>
  <si>
    <t>ST HELEN'S CRUE</t>
  </si>
  <si>
    <t>RCBP9</t>
  </si>
  <si>
    <t>WHITECROSS CRUE</t>
  </si>
  <si>
    <t>RCB55</t>
  </si>
  <si>
    <t>YORK DISTRICT HOSPITAL</t>
  </si>
  <si>
    <t>RCC27</t>
  </si>
  <si>
    <t>BRIDLINGTON HOSPITAL</t>
  </si>
  <si>
    <t>RCC25</t>
  </si>
  <si>
    <t>SCARBOROUGH HOSPITAL</t>
  </si>
  <si>
    <t>RCD01</t>
  </si>
  <si>
    <t>HARROGATE DISTRICT HOSPITAL.</t>
  </si>
  <si>
    <t>RCF22</t>
  </si>
  <si>
    <t>AIREDALE GENERAL HOSPITAL (RCF)</t>
  </si>
  <si>
    <t>SHEFFIELD CHILDRENS NHS FOUNDATION TRUST</t>
  </si>
  <si>
    <t>RCU02</t>
  </si>
  <si>
    <t>RYEGATE CHILDREN'S CENTRE RCU02</t>
  </si>
  <si>
    <t>RCU55</t>
  </si>
  <si>
    <t>OAKWOOD YOUNG PEOPLES CENTRE RCU55</t>
  </si>
  <si>
    <t>RCUEF</t>
  </si>
  <si>
    <t>MAIN SITE WESTERN BANK &amp; ADJOINING PROPERTIES RCUEF</t>
  </si>
  <si>
    <t>RCX70</t>
  </si>
  <si>
    <t>THE QUEEN ELIZABETH HOSPITAL</t>
  </si>
  <si>
    <t>RD130</t>
  </si>
  <si>
    <t>ROYAL UNITED HOSPITAL</t>
  </si>
  <si>
    <t>RD304</t>
  </si>
  <si>
    <t>POOLE HOSPITAL</t>
  </si>
  <si>
    <t>RD752</t>
  </si>
  <si>
    <t>HEATHERWOOD HOSPITAL</t>
  </si>
  <si>
    <t>RD750</t>
  </si>
  <si>
    <t>WEXHAM PARK HOSPITAL</t>
  </si>
  <si>
    <t>RD899</t>
  </si>
  <si>
    <t>MILTON KEYNES GENERAL NHS TRUST</t>
  </si>
  <si>
    <t>RDDH0</t>
  </si>
  <si>
    <t>BASILDON HOSPITAL</t>
  </si>
  <si>
    <t>RDEEB</t>
  </si>
  <si>
    <t>ESSEX COUNTY HOSPITAL</t>
  </si>
  <si>
    <t>RDEE4</t>
  </si>
  <si>
    <t>COLCHESTER GENERAL HOSPITAL</t>
  </si>
  <si>
    <t>RDU01</t>
  </si>
  <si>
    <t>FRIMLEY PARK</t>
  </si>
  <si>
    <t>RDZ05</t>
  </si>
  <si>
    <t>CHRISTCHURCH HOSPITAL</t>
  </si>
  <si>
    <t>RDZ20</t>
  </si>
  <si>
    <t>ROYAL BOURNEMOUTH HOSPITAL</t>
  </si>
  <si>
    <t>RE9GC</t>
  </si>
  <si>
    <t>PRIMROSE HILL HOSPITAL</t>
  </si>
  <si>
    <t>RE9GF</t>
  </si>
  <si>
    <t>PALMER COMMUNITY HOSPITAL</t>
  </si>
  <si>
    <t>RE9GA</t>
  </si>
  <si>
    <t>SOUTH TYNESIDE DISTRICT HOSPITAL</t>
  </si>
  <si>
    <t>REF02</t>
  </si>
  <si>
    <t>ST MICHAELS HOSPITAL</t>
  </si>
  <si>
    <t>REF01</t>
  </si>
  <si>
    <t>WEST CORNWALL HOSPITAL</t>
  </si>
  <si>
    <t>REF12</t>
  </si>
  <si>
    <t>ROYAL CORNWALL HOSPITAL</t>
  </si>
  <si>
    <t>REM21</t>
  </si>
  <si>
    <t>UNIVERSITY HOSPITAL AINTREE</t>
  </si>
  <si>
    <t>REN20</t>
  </si>
  <si>
    <t>CLATTERBRIDGE CENTRE FOR ONCOLOGY</t>
  </si>
  <si>
    <t>REP01</t>
  </si>
  <si>
    <t>LIVERPOOL WOMENS HOSPITAL</t>
  </si>
  <si>
    <t>WALTON CENTRE FOR NEUROLOGY AND NEUROSURGERY NHS TRUST</t>
  </si>
  <si>
    <t>RET20</t>
  </si>
  <si>
    <t>WALTON CENTRE FOR NEUROLOGY &amp; NEUROSURGERY</t>
  </si>
  <si>
    <t>RF4DG</t>
  </si>
  <si>
    <t>KING GEORGE HOSPITAL</t>
  </si>
  <si>
    <t>RF4QH</t>
  </si>
  <si>
    <t>QUEEN'S HOSPITAL</t>
  </si>
  <si>
    <t>RFF99</t>
  </si>
  <si>
    <t>BARNSLEY DISTRICT GENERAL HOSPITAL NHS TRUST</t>
  </si>
  <si>
    <t>RFRPA</t>
  </si>
  <si>
    <t>ROTHERHAM DISTRICT GENERAL HOSPITAL</t>
  </si>
  <si>
    <t>RFSDA</t>
  </si>
  <si>
    <t>CHESTERFIELD AND NORTH DERBYSHIRE ROYAL HOSPITAL</t>
  </si>
  <si>
    <t>RFW99</t>
  </si>
  <si>
    <t>QUEEN ELIZABETH HOSPITAL NHS TRUST</t>
  </si>
  <si>
    <t>RG222</t>
  </si>
  <si>
    <t>QUEEN ELIZABETH HOSPITAL</t>
  </si>
  <si>
    <t>BROMLEY HOSPITALS NHS TRUST</t>
  </si>
  <si>
    <t>RG304</t>
  </si>
  <si>
    <t>ORPINGTON HOSPITAL</t>
  </si>
  <si>
    <t>RG303</t>
  </si>
  <si>
    <t>PRINCESS ROYAL UNIV. HOSPITAL</t>
  </si>
  <si>
    <t>RGCKH</t>
  </si>
  <si>
    <t>Merged with Bedfordshire and Luton in April 2010</t>
  </si>
  <si>
    <t>RX214</t>
  </si>
  <si>
    <t>NEVILL HOSPITAL</t>
  </si>
  <si>
    <t>RX236</t>
  </si>
  <si>
    <t>CENTURION MENTAL HEALTH CENTRE, CHICHESTER</t>
  </si>
  <si>
    <t>RX240</t>
  </si>
  <si>
    <t>THE HAROLD KIDD UNIT, CHICHESTER</t>
  </si>
  <si>
    <t>RX277</t>
  </si>
  <si>
    <t>MEADOWFIELD</t>
  </si>
  <si>
    <t>RX2E7</t>
  </si>
  <si>
    <t>DEPARTMENT OF PSYCHIATRY</t>
  </si>
  <si>
    <t>RX2F3</t>
  </si>
  <si>
    <t>AMBERSTONE HOSPITAL</t>
  </si>
  <si>
    <t>RX2K3</t>
  </si>
  <si>
    <t>ST ANNE'S CENTRE &amp; EMI WARDS, ST. LEONARDS-ON-SEA</t>
  </si>
  <si>
    <t>RX2L6</t>
  </si>
  <si>
    <t>WOODLANDS, ST. LEONARDS-ON-SEA</t>
  </si>
  <si>
    <t>RX2P0</t>
  </si>
  <si>
    <t>LANGLEY GREEN HOSPITAL</t>
  </si>
  <si>
    <t>RX3AA</t>
  </si>
  <si>
    <t>RX3AC</t>
  </si>
  <si>
    <t>SHOTLEY BRIDGE DERWENT CLINIC</t>
  </si>
  <si>
    <t>RX3AT</t>
  </si>
  <si>
    <t>AUCKLAND PARK HOSPITAL</t>
  </si>
  <si>
    <t>RX3CL</t>
  </si>
  <si>
    <t>EARLS HOUSE</t>
  </si>
  <si>
    <t>RX3CN</t>
  </si>
  <si>
    <t>EARLS HOUSE BOWES LYON UNIT</t>
  </si>
  <si>
    <t>RX3FL</t>
  </si>
  <si>
    <t>ST LUKE'S HOSPITAL</t>
  </si>
  <si>
    <t>RX3JD</t>
  </si>
  <si>
    <t>BANKFIELDS COURT STEPHEN KNOX</t>
  </si>
  <si>
    <t>RX3LF</t>
  </si>
  <si>
    <t>WEST LANE HOSPITAL</t>
  </si>
  <si>
    <t>RX3LK</t>
  </si>
  <si>
    <t>CROSS LANE HOSPITAL</t>
  </si>
  <si>
    <t>RX3MM</t>
  </si>
  <si>
    <t>RXA20</t>
  </si>
  <si>
    <t>RXA54</t>
  </si>
  <si>
    <t>RXA55</t>
  </si>
  <si>
    <t>ASHTON HOUSE HOSPITAL</t>
  </si>
  <si>
    <t>RXA56</t>
  </si>
  <si>
    <t>WEST CHESHIRE HOSPITAL</t>
  </si>
  <si>
    <t>RXA71</t>
  </si>
  <si>
    <t>MACCLESFIELD MENTAL HEALTH VICTORIA ROAD</t>
  </si>
  <si>
    <t>RXA72</t>
  </si>
  <si>
    <t>MARY DENDY UNIT (SOSS MOSS)</t>
  </si>
  <si>
    <t>RXE12</t>
  </si>
  <si>
    <t>SWALLOWNEST COURT</t>
  </si>
  <si>
    <t>RXE21</t>
  </si>
  <si>
    <t>ST. CATHERINES</t>
  </si>
  <si>
    <t>RXE80</t>
  </si>
  <si>
    <t>TICKHILL ROAD HOSPITAL</t>
  </si>
  <si>
    <t>RXE92</t>
  </si>
  <si>
    <t>GREAT OAKS INPATIENT UNIT</t>
  </si>
  <si>
    <t>SOUTH WEST YORKSHIRE MENTAL HEALTH NHS TRUST</t>
  </si>
  <si>
    <t>RXG10</t>
  </si>
  <si>
    <t>FIELDHEAD HOSPITAL</t>
  </si>
  <si>
    <t>RXG11</t>
  </si>
  <si>
    <t>NEWTON LODGE</t>
  </si>
  <si>
    <t>RXG18</t>
  </si>
  <si>
    <t>CASTLEFORD &amp; NORMANTON DISTRICT HOSPITAL</t>
  </si>
  <si>
    <t>RXG41</t>
  </si>
  <si>
    <t>CALDERDALE HOSPITAL (DALES)</t>
  </si>
  <si>
    <t>RXGDD</t>
  </si>
  <si>
    <t>DEWSBURY DISTRICT HOSPITAL (PRIESTLEY UNIT)</t>
  </si>
  <si>
    <t>RXGHH</t>
  </si>
  <si>
    <t>ST. LUKE'S HOSPITAL (RXG)</t>
  </si>
  <si>
    <t>RXM02</t>
  </si>
  <si>
    <t>BINGHAM HOUSE</t>
  </si>
  <si>
    <t>RXM14</t>
  </si>
  <si>
    <t>KINGSWAY HOSPITAL</t>
  </si>
  <si>
    <t>RXM16</t>
  </si>
  <si>
    <t>AUDREY HOUSE</t>
  </si>
  <si>
    <t>RXM51</t>
  </si>
  <si>
    <t>THE HARTINGTON UNIT</t>
  </si>
  <si>
    <t>RXM54</t>
  </si>
  <si>
    <t>THE RADBOURNE UNIT - FORMERLY PSYCHIATRIC UNIT</t>
  </si>
  <si>
    <t>RXV06</t>
  </si>
  <si>
    <t>PRESTWICH HOSPITAL</t>
  </si>
  <si>
    <t>RXV15</t>
  </si>
  <si>
    <t>WOODLANDS HOSPITAL</t>
  </si>
  <si>
    <t>RXV17</t>
  </si>
  <si>
    <t>MEADOWBROOK (MANCHESTER)</t>
  </si>
  <si>
    <t>RXV18</t>
  </si>
  <si>
    <t>DEPARTMENT OF PSYCHIATRY OF LATER LIFE</t>
  </si>
  <si>
    <t>RXV60</t>
  </si>
  <si>
    <t>THE ROYAL BOLTON HOSPITAL</t>
  </si>
  <si>
    <t>RXV80</t>
  </si>
  <si>
    <t>TRAFFORD HOSPITAL SITE</t>
  </si>
  <si>
    <t>RYG12</t>
  </si>
  <si>
    <t>THE MANOR HOSPITAL</t>
  </si>
  <si>
    <t>RYG58</t>
  </si>
  <si>
    <t>THE CALUDON CENTRE, COVENTRY</t>
  </si>
  <si>
    <t>RYG79</t>
  </si>
  <si>
    <t>ST MICHAEL'S HOSPITAL</t>
  </si>
  <si>
    <t>RYG96</t>
  </si>
  <si>
    <t>BROOKLANDS HOSPITAL</t>
  </si>
  <si>
    <t>RYK01</t>
  </si>
  <si>
    <t>BLOXWICH HOSPITAL (MENTAL ILLNESS)</t>
  </si>
  <si>
    <t>RYK10</t>
  </si>
  <si>
    <t>DOROTHY PATTISON HOSPITAL</t>
  </si>
  <si>
    <t>RYK34</t>
  </si>
  <si>
    <t>BUSHEY FIELDS HOSPITAL</t>
  </si>
  <si>
    <t>TAD01</t>
  </si>
  <si>
    <t>MOOR LANE CENTRE</t>
  </si>
  <si>
    <t>TAD15</t>
  </si>
  <si>
    <t>DAISY BANK</t>
  </si>
  <si>
    <t>TAD17</t>
  </si>
  <si>
    <t>LYNFIELD MOUNT HOSPITAL</t>
  </si>
  <si>
    <t>TAD54</t>
  </si>
  <si>
    <t>AIREDALE GENERAL HOSPITAL (TAD)</t>
  </si>
  <si>
    <t>TAE01</t>
  </si>
  <si>
    <t>RAWNSLEY BUILDING, MANCHESTER ROYAL INFIRMARY</t>
  </si>
  <si>
    <t>TAE02</t>
  </si>
  <si>
    <t>LAUREATE HOUSE, WYTHENSHAWE HOSPITAL</t>
  </si>
  <si>
    <t>TAE03</t>
  </si>
  <si>
    <t>PARK HOUSE - NORTH MANCHESTER GENERAL HOSPITAL</t>
  </si>
  <si>
    <t>CAMDEN AND ISLINGTON NHS FOUNDATION TRUST</t>
  </si>
  <si>
    <t>TAF02</t>
  </si>
  <si>
    <t>ST LUKES HOSPITAL (TAF)</t>
  </si>
  <si>
    <t>TAF72</t>
  </si>
  <si>
    <t>HIGHGATE HOSPITAL</t>
  </si>
  <si>
    <t>TAHCC</t>
  </si>
  <si>
    <t>LONGLEY CENTRE</t>
  </si>
  <si>
    <t>TAHCN</t>
  </si>
  <si>
    <t>BEIGHTON COMMUNITY HOSPITAL</t>
  </si>
  <si>
    <t>TAHFC</t>
  </si>
  <si>
    <t>MICHAEL CARLISLE CENTRE</t>
  </si>
  <si>
    <t>TAHXM</t>
  </si>
  <si>
    <t>FOREST CLOSE (TAH)</t>
  </si>
  <si>
    <t>TAHXP</t>
  </si>
  <si>
    <t>GRENOSIDE GRANGE</t>
  </si>
  <si>
    <t>TAJ07</t>
  </si>
  <si>
    <t>EDWARD STREET HOSPITAL</t>
  </si>
  <si>
    <t>TAJ11</t>
  </si>
  <si>
    <t>HEATH LANE HOSPITAL</t>
  </si>
  <si>
    <t>TAJ20</t>
  </si>
  <si>
    <t>HALLAM STREET HOSPITAL</t>
  </si>
  <si>
    <t>TQ5 9HW</t>
  </si>
  <si>
    <t>TQ59</t>
  </si>
  <si>
    <t>TQ3 3AG</t>
  </si>
  <si>
    <t>TQ33</t>
  </si>
  <si>
    <t>GU2 7XX</t>
  </si>
  <si>
    <t>GU27</t>
  </si>
  <si>
    <t>BS23 4TQ</t>
  </si>
  <si>
    <t>BS234</t>
  </si>
  <si>
    <t>BA21 4AT</t>
  </si>
  <si>
    <t>BA214</t>
  </si>
  <si>
    <t>BS1 2LX</t>
  </si>
  <si>
    <t>BS12</t>
  </si>
  <si>
    <t>BS2 8ED</t>
  </si>
  <si>
    <t>BS28</t>
  </si>
  <si>
    <t>BS1 6SY</t>
  </si>
  <si>
    <t>BS16</t>
  </si>
  <si>
    <t>BS2 8BJ</t>
  </si>
  <si>
    <t>BS2 8EG</t>
  </si>
  <si>
    <t>BS2 8HW</t>
  </si>
  <si>
    <t>TQ2 7AA</t>
  </si>
  <si>
    <t>TQ27</t>
  </si>
  <si>
    <t>BD5 0NA</t>
  </si>
  <si>
    <t>BD50</t>
  </si>
  <si>
    <t>BD9 6RJ</t>
  </si>
  <si>
    <t>BD96</t>
  </si>
  <si>
    <t>SS0 0RY</t>
  </si>
  <si>
    <t>SS00</t>
  </si>
  <si>
    <t>WC1X 8DA</t>
  </si>
  <si>
    <t>WC1X8</t>
  </si>
  <si>
    <t>NW3 2QG</t>
  </si>
  <si>
    <t>NW32</t>
  </si>
  <si>
    <t>HA7 4LP</t>
  </si>
  <si>
    <t>HA74</t>
  </si>
  <si>
    <t>N18 1QX</t>
  </si>
  <si>
    <t>N181</t>
  </si>
  <si>
    <t>HA6 2RN</t>
  </si>
  <si>
    <t>HA62</t>
  </si>
  <si>
    <t>UB8 3NN</t>
  </si>
  <si>
    <t>UB83</t>
  </si>
  <si>
    <t>KT2 7QB</t>
  </si>
  <si>
    <t>KT27</t>
  </si>
  <si>
    <t>TA1 5DA</t>
  </si>
  <si>
    <t>Took on 2 hospitals from Scarborough</t>
  </si>
  <si>
    <t>East Midlands Ambulance Service NHS Trust</t>
  </si>
  <si>
    <t>5EM</t>
  </si>
  <si>
    <t>Kettering General Hospital NHS Foundation Trust</t>
  </si>
  <si>
    <t>5PD</t>
  </si>
  <si>
    <t>Leicestershire Partnership NHS Trust</t>
  </si>
  <si>
    <t>5PC</t>
  </si>
  <si>
    <t>Lincolnshire Partnership NHS Foundation Trust</t>
  </si>
  <si>
    <t>5N9</t>
  </si>
  <si>
    <t>Northampton General Hospital NHS Trust</t>
  </si>
  <si>
    <t>Northamptonshire Healthcare NHS Foundation Trust</t>
  </si>
  <si>
    <t>Nottingham University Hospitals NHS Trust</t>
  </si>
  <si>
    <t>Nottinghamshire Healthcare NHS Trust</t>
  </si>
  <si>
    <t>Sherwood Forest Hospitals NHS Foundation Trust</t>
  </si>
  <si>
    <t>5N8</t>
  </si>
  <si>
    <t>United Lincolnshire Hospitals NHS Trust</t>
  </si>
  <si>
    <t>University Hospitals of Leicester NHS Trust</t>
  </si>
  <si>
    <t>Q34</t>
  </si>
  <si>
    <t>Birmingham and Solihull Mental Health NHS Foundation Trust</t>
  </si>
  <si>
    <t>5MX</t>
  </si>
  <si>
    <t>Birmingham Children's Hospital NHS Foundation Trust</t>
  </si>
  <si>
    <t>Birmingham Women's NHS Foundation Trust</t>
  </si>
  <si>
    <t>5M1</t>
  </si>
  <si>
    <t>Burton Hospitals NHS Foundation Trust</t>
  </si>
  <si>
    <t>5PK</t>
  </si>
  <si>
    <t>Coventry and Warwickshire Partnership NHS Trust</t>
  </si>
  <si>
    <t>5MD</t>
  </si>
  <si>
    <t>Dudley and Walsall Mental Health Partnership NHS Trust</t>
  </si>
  <si>
    <t>5PE</t>
  </si>
  <si>
    <t>George Eliot Hospital NHS Trust</t>
  </si>
  <si>
    <t>5PM</t>
  </si>
  <si>
    <t>Heart of England NHS Foundation Trust</t>
  </si>
  <si>
    <t>5PG</t>
  </si>
  <si>
    <t>5CN</t>
  </si>
  <si>
    <t>Mid Staffordshire NHS Foundation Trust</t>
  </si>
  <si>
    <t>North Staffordshire Combined Healthcare NHS Trust</t>
  </si>
  <si>
    <t>5PJ</t>
  </si>
  <si>
    <t>Robert Jones and Agnes Hunt Orthopaedic NHS Trust</t>
  </si>
  <si>
    <t>5M2</t>
  </si>
  <si>
    <t>Royal Orthopaedic Hospital NHS Foundation Trust</t>
  </si>
  <si>
    <t>Royal Wolverhampton Hospital NHS Trust</t>
  </si>
  <si>
    <t>population projection * land MFF</t>
  </si>
  <si>
    <t>ROYAL BROMPTON AND HAREFIELD NHS TRUST</t>
  </si>
  <si>
    <t>RT301</t>
  </si>
  <si>
    <t>RT302</t>
  </si>
  <si>
    <t>ROYAL BROMPTON HOSPITAL</t>
  </si>
  <si>
    <t>RTD05</t>
  </si>
  <si>
    <t>WALKERGATE HOSPITAL</t>
  </si>
  <si>
    <t>RTD03</t>
  </si>
  <si>
    <t>NEWCASTLE GENERAL HOSPITAL</t>
  </si>
  <si>
    <t>RTD01</t>
  </si>
  <si>
    <t>FREEMAN HOSPITAL</t>
  </si>
  <si>
    <t>RTD02</t>
  </si>
  <si>
    <t>ROYAL VICTORIA INFIRMARY</t>
  </si>
  <si>
    <t>RTE02</t>
  </si>
  <si>
    <t>DELANCEY HOSPITAL</t>
  </si>
  <si>
    <t>RTE01</t>
  </si>
  <si>
    <t>CHELTENHAM GENERAL HOSPITAL</t>
  </si>
  <si>
    <t>RTE03</t>
  </si>
  <si>
    <t>GLOUCESTER ROYAL HOSPITAL</t>
  </si>
  <si>
    <t>RTFEF</t>
  </si>
  <si>
    <t>ROTHBURY COMMUNITY HOSPITAL</t>
  </si>
  <si>
    <t>RTFDU</t>
  </si>
  <si>
    <t>HALTWHISTLE WAR MEMORIAL HOSPITAL</t>
  </si>
  <si>
    <t>RTFDM</t>
  </si>
  <si>
    <t>MORPETH COTTAGE HOSPITAL</t>
  </si>
  <si>
    <t>RTFDH</t>
  </si>
  <si>
    <t>BERWICK INFIRMARY</t>
  </si>
  <si>
    <t>RTFDJ</t>
  </si>
  <si>
    <t>ALNWICK INFIRMARY</t>
  </si>
  <si>
    <t>RTFDX</t>
  </si>
  <si>
    <t>BLYTH COMMUNITY HOSPITAL</t>
  </si>
  <si>
    <t>RTFDR</t>
  </si>
  <si>
    <t>HEXHAM GENERAL HOSPITAL</t>
  </si>
  <si>
    <t>RTFED</t>
  </si>
  <si>
    <t>WANSBECK GENERAL HOSPITAL</t>
  </si>
  <si>
    <t>RTFFS</t>
  </si>
  <si>
    <t>NORTH TYNESIDE GENERAL HOSPITAL</t>
  </si>
  <si>
    <t>RTGFG</t>
  </si>
  <si>
    <t>ROYAL DERBY HOSPITAL</t>
  </si>
  <si>
    <t>RTGFA</t>
  </si>
  <si>
    <t>LONDON ROAD COMMUNITY HOSPITAL</t>
  </si>
  <si>
    <t>OXFORD RADCLIFFE HOSPITALS NHS TRUST</t>
  </si>
  <si>
    <t>RTH02</t>
  </si>
  <si>
    <t>THE CHURCHILL HOSPITAL</t>
  </si>
  <si>
    <t>RTH05</t>
  </si>
  <si>
    <t>THE HORTON HOSPITAL</t>
  </si>
  <si>
    <t>RTH08</t>
  </si>
  <si>
    <t>THE JOHN RADCLIFFE HOSPITAL</t>
  </si>
  <si>
    <t>RTK02</t>
  </si>
  <si>
    <t>ASHFORD HOSPITAL</t>
  </si>
  <si>
    <t>RTK01</t>
  </si>
  <si>
    <t>ST PETER'S HOSPITAL</t>
  </si>
  <si>
    <t>RTP04</t>
  </si>
  <si>
    <t>EAST SURREY HOSPITAL</t>
  </si>
  <si>
    <t>SOUTH TEES HOSPITALS NHS TRUST</t>
  </si>
  <si>
    <t>RTR45</t>
  </si>
  <si>
    <t>FRIARAGE HOSPITAL</t>
  </si>
  <si>
    <t>RTRAT</t>
  </si>
  <si>
    <t>JAMES COOK UNIVERSITY HOSPITAL</t>
  </si>
  <si>
    <t>RTXBW</t>
  </si>
  <si>
    <t>WESTMORLAND GENERAL HOSPITAL</t>
  </si>
  <si>
    <t>RTXBU</t>
  </si>
  <si>
    <t>FURNESS GENERAL HOSPITAL</t>
  </si>
  <si>
    <t>RTX02</t>
  </si>
  <si>
    <t>ROYAL LANCASTER INFIRMARY (RTX)</t>
  </si>
  <si>
    <t>RV5M5</t>
  </si>
  <si>
    <t>108A LANDOR ROAD</t>
  </si>
  <si>
    <t>RV506</t>
  </si>
  <si>
    <t>WESTWAYS RESOURCE CENTRE</t>
  </si>
  <si>
    <t>RV579</t>
  </si>
  <si>
    <t>WOODLANDS NURSING HOME</t>
  </si>
  <si>
    <t>RV581</t>
  </si>
  <si>
    <t>1-5 HEATHER CLOSE</t>
  </si>
  <si>
    <t>RV5C5</t>
  </si>
  <si>
    <t>GREENVALE NURSING HOME</t>
  </si>
  <si>
    <t>RV502</t>
  </si>
  <si>
    <t>LAMBETH HOSPITAL</t>
  </si>
  <si>
    <t>RV504</t>
  </si>
  <si>
    <t>MAUDSLEY HOSPITAL</t>
  </si>
  <si>
    <t>RV505</t>
  </si>
  <si>
    <t>BETHLEM ROYAL HOSPITAL</t>
  </si>
  <si>
    <t>BEDFORDSHIRE &amp; LUTON MENTAL HEALTH AND SOCIAL CARE PARTNERSHIP NHS TRUST</t>
  </si>
  <si>
    <t>RV76J</t>
  </si>
  <si>
    <t>105 LONDON RD</t>
  </si>
  <si>
    <t>RV76F</t>
  </si>
  <si>
    <t>LIME TREES</t>
  </si>
  <si>
    <t>RV76P</t>
  </si>
  <si>
    <t>WHICHELLOS WHARF</t>
  </si>
  <si>
    <t>RV77B</t>
  </si>
  <si>
    <t>ORCHARD UNIT 2</t>
  </si>
  <si>
    <t>RV77F</t>
  </si>
  <si>
    <t>POPLARS</t>
  </si>
  <si>
    <t>RV78V</t>
  </si>
  <si>
    <t>CEDAR HOUSE, 3 KIMBOLTON ROAD, BEDFORD</t>
  </si>
  <si>
    <t>RV77A</t>
  </si>
  <si>
    <t>ORCHARD UNIT 1</t>
  </si>
  <si>
    <t>RV76K</t>
  </si>
  <si>
    <t>TOWNSEND COURT</t>
  </si>
  <si>
    <t>RV76T</t>
  </si>
  <si>
    <t>FOUNTAINS COURT</t>
  </si>
  <si>
    <t>RV76M</t>
  </si>
  <si>
    <t>OAKLEY COURT</t>
  </si>
  <si>
    <t>RV831</t>
  </si>
  <si>
    <t>CENTRAL MIDDLESEX HOSPITAL</t>
  </si>
  <si>
    <t>RV820</t>
  </si>
  <si>
    <t>BARNET AND CHASE FARM HOSPITALS NHS TRUST</t>
  </si>
  <si>
    <t>RRP</t>
  </si>
  <si>
    <t>BARNET, ENFIELD AND HARINGEY MENTAL HEALTH NHS TRUST</t>
  </si>
  <si>
    <t>RFF</t>
  </si>
  <si>
    <t>BARNSLEY HOSPITAL NHS FOUNDATION TRUST</t>
  </si>
  <si>
    <t>RNJ</t>
  </si>
  <si>
    <t>BARTS AND THE LONDON NHS TRUST</t>
  </si>
  <si>
    <t>RDD</t>
  </si>
  <si>
    <t>BASILDON AND THURROCK UNIVERSITY HOSPITALS NHS FOUNDATION TRUST</t>
  </si>
  <si>
    <t>RC1</t>
  </si>
  <si>
    <t>BEDFORD HOSPITAL NHS TRUST</t>
  </si>
  <si>
    <t>RV7</t>
  </si>
  <si>
    <t>BEDFORDSHIRE AND LUTON MENTAL HEALTH AND SOCIAL CARE PARTNERSHIP NHS TRUST</t>
  </si>
  <si>
    <t>RWX</t>
  </si>
  <si>
    <t>BERKSHIRE HEALTHCARE NHS FOUNDATION TRUST</t>
  </si>
  <si>
    <t>RXT</t>
  </si>
  <si>
    <t>BIRMINGHAM AND SOLIHULL MENTAL HEALTH NHS FOUNDATION TRUST</t>
  </si>
  <si>
    <t>RQ3</t>
  </si>
  <si>
    <t>BIRMINGHAM CHILDREN'S HOSPITAL NHS FOUNDATION TRUST</t>
  </si>
  <si>
    <t>RYW</t>
  </si>
  <si>
    <t>BIRMINGHAM COMMUNITY HEALTHCARE NHS TRUST</t>
  </si>
  <si>
    <t>RLU</t>
  </si>
  <si>
    <t>BIRMINGHAM WOMEN'S NHS FOUNDATION TRUST</t>
  </si>
  <si>
    <t>RXL</t>
  </si>
  <si>
    <t>BLACKPOOL, FYLDE AND WYRE HOSPITALS NHS FOUNDATION TRUST</t>
  </si>
  <si>
    <t>TAD</t>
  </si>
  <si>
    <t>BRADFORD DISTRICT CARE TRUST</t>
  </si>
  <si>
    <t>RAE</t>
  </si>
  <si>
    <t>BRADFORD TEACHING HOSPITALS NHS FOUNDATION TRUST</t>
  </si>
  <si>
    <t>RY2</t>
  </si>
  <si>
    <t>RXH</t>
  </si>
  <si>
    <t>BRIGHTON AND SUSSEX UNIVERSITY HOSPITALS NHS TRUST</t>
  </si>
  <si>
    <t>RXQ</t>
  </si>
  <si>
    <t>BUCKINGHAMSHIRE HOSPITALS NHS TRUST</t>
  </si>
  <si>
    <t>RJF</t>
  </si>
  <si>
    <t>BURTON HOSPITALS NHS FOUNDATION TRUST</t>
  </si>
  <si>
    <t>RWY</t>
  </si>
  <si>
    <t>CALDERDALE AND HUDDERSFIELD NHS FOUNDATION TRUST</t>
  </si>
  <si>
    <t>RJX</t>
  </si>
  <si>
    <t>CALDERSTONES PARTNERSHIP NHS FOUNDATION TRUST</t>
  </si>
  <si>
    <t>RGT</t>
  </si>
  <si>
    <t>CAMBRIDGE UNIVERSITY HOSPITALS NHS FOUNDATION TRUST</t>
  </si>
  <si>
    <t>RT1</t>
  </si>
  <si>
    <t>CAMBRIDGESHIRE AND PETERBOROUGH NHS FOUNDATION TRUST</t>
  </si>
  <si>
    <t>RYV</t>
  </si>
  <si>
    <t>CAMBRIDGESHIRE COMMUNITY SERVICES NHS TRUST</t>
  </si>
  <si>
    <t>TAF</t>
  </si>
  <si>
    <t>CAMDEN AND ISLINGTON MENTAL HEALTH AND SOCIAL CARE TRUST</t>
  </si>
  <si>
    <t>RV3</t>
  </si>
  <si>
    <t>CENTRAL AND NORTH WEST LONDON NHS FOUNDATION TRUST</t>
  </si>
  <si>
    <t>RYX</t>
  </si>
  <si>
    <t>CENTRAL LONDON COMMUNITY HEALTHCARE NHS TRUST</t>
  </si>
  <si>
    <t>RW3</t>
  </si>
  <si>
    <t>CENTRAL MANCHESTER UNIVERSITY HOSPITALS NHS FOUNDATION TRUST</t>
  </si>
  <si>
    <t>RQM</t>
  </si>
  <si>
    <t>CHELSEA AND WESTMINSTER HOSPITAL NHS FOUNDATION TRUST</t>
  </si>
  <si>
    <t>RXA</t>
  </si>
  <si>
    <t>CHESHIRE AND WIRRAL PARTNERSHIP NHS FOUNDATION TRUST</t>
  </si>
  <si>
    <t>RFS</t>
  </si>
  <si>
    <t>CHESTERFIELD ROYAL HOSPITAL NHS FOUNDATION TRUST</t>
  </si>
  <si>
    <t>RLN</t>
  </si>
  <si>
    <t>CITY HOSPITALS SUNDERLAND NHS FOUNDATION TRUST</t>
  </si>
  <si>
    <t>REN</t>
  </si>
  <si>
    <t>CLATTERBRIDGE CENTRE FOR ONCOLOGY NHS FOUNDATION TRUST</t>
  </si>
  <si>
    <t>RDE</t>
  </si>
  <si>
    <t>SUSSEX COMMUNITY NHS TRUST</t>
  </si>
  <si>
    <t>DARTFORD AND GRAVESHAM NHS TRUST</t>
  </si>
  <si>
    <t>RTG</t>
  </si>
  <si>
    <t>DERBY HOSPITALS NHS FOUNDATION TRUST</t>
  </si>
  <si>
    <t>RY8</t>
  </si>
  <si>
    <t>DERBYSHIRE COMMUNITY HEALTH SERVICES NHS TRUST</t>
  </si>
  <si>
    <t>RXM</t>
  </si>
  <si>
    <t>DERBYSHIRE MENTAL HEALTH SERVICES NHS TRUST</t>
  </si>
  <si>
    <t>RWV</t>
  </si>
  <si>
    <t>DEVON PARTNERSHIP NHS TRUST</t>
  </si>
  <si>
    <t>RP5</t>
  </si>
  <si>
    <t>DONCASTER AND BASSETLAW HOSPITALS NHS FOUNDATION TRUST</t>
  </si>
  <si>
    <t>RBD</t>
  </si>
  <si>
    <t>DORSET COUNTY HOSPITAL NHS FOUNDATION TRUST</t>
  </si>
  <si>
    <t>RDY</t>
  </si>
  <si>
    <t>DORSET HEALTHCARE NHS FOUNDATION TRUST</t>
  </si>
  <si>
    <t>RYK</t>
  </si>
  <si>
    <t>DUDLEY AND WALSALL MENTAL HEALTH PARTNERSHIP NHS TRUST</t>
  </si>
  <si>
    <t>RC3</t>
  </si>
  <si>
    <t>EALING HOSPITAL NHS TRUST</t>
  </si>
  <si>
    <t>RWH</t>
  </si>
  <si>
    <t>EAST AND NORTH HERTFORDSHIRE NHS TRUST</t>
  </si>
  <si>
    <t>RJN</t>
  </si>
  <si>
    <t>EAST CHESHIRE NHS TRUST</t>
  </si>
  <si>
    <t>RVV</t>
  </si>
  <si>
    <t>EAST KENT HOSPITALS UNIVERSITY NHS FOUNDATION TRUST</t>
  </si>
  <si>
    <t>RXR</t>
  </si>
  <si>
    <t>EAST LANCASHIRE HOSPITALS NHS TRUST</t>
  </si>
  <si>
    <t>RWK</t>
  </si>
  <si>
    <t>EAST LONDON NHS FOUNDATION TRUST</t>
  </si>
  <si>
    <t>RX9</t>
  </si>
  <si>
    <t>EAST MIDLANDS AMBULANCE SERVICE NHS TRUST</t>
  </si>
  <si>
    <t>RYC</t>
  </si>
  <si>
    <t>EAST OF ENGLAND AMBULANCE SERVICE NHS TRUST</t>
  </si>
  <si>
    <t>RXC</t>
  </si>
  <si>
    <t>EAST SUSSEX HOSPITALS NHS TRUST</t>
  </si>
  <si>
    <t>RVR</t>
  </si>
  <si>
    <t>EPSOM AND ST HELIER UNIVERSITY HOSPITALS NHS TRUST</t>
  </si>
  <si>
    <t>RDU</t>
  </si>
  <si>
    <t>FRIMLEY PARK HOSPITAL NHS FOUNDATION TRUST</t>
  </si>
  <si>
    <t>RR7</t>
  </si>
  <si>
    <t>GATESHEAD HEALTH NHS FOUNDATION TRUST</t>
  </si>
  <si>
    <t>RLT</t>
  </si>
  <si>
    <t>GEORGE ELIOT HOSPITAL NHS TRUST</t>
  </si>
  <si>
    <t>RTE</t>
  </si>
  <si>
    <t>GLOUCESTERSHIRE HOSPITALS NHS FOUNDATION TRUST</t>
  </si>
  <si>
    <t>RP4</t>
  </si>
  <si>
    <t>GREAT ORMOND STREET HOSPITAL FOR CHILDREN NHS TRUST</t>
  </si>
  <si>
    <t>RX5</t>
  </si>
  <si>
    <t>GREAT WESTERN AMBULANCE SERVICE NHS TRUST</t>
  </si>
  <si>
    <t>RN3</t>
  </si>
  <si>
    <t>GREAT WESTERN HOSPITALS NHS FOUNDATION TRUST</t>
  </si>
  <si>
    <t>RXV</t>
  </si>
  <si>
    <t>GREATER MANCHESTER WEST MENTAL HEALTH NHS FOUNDATION TRUST</t>
  </si>
  <si>
    <t>RJ1</t>
  </si>
  <si>
    <t>GUY'S AND ST THOMAS' NHS FOUNDATION TRUST</t>
  </si>
  <si>
    <t>RN5</t>
  </si>
  <si>
    <t>HAMPSHIRE HOSPITALS NHS FOUNDATION TRUST</t>
  </si>
  <si>
    <t>RW1</t>
  </si>
  <si>
    <t>HAMPSHIRE PARTNERSHIP NHS FOUNDATION TRUST</t>
  </si>
  <si>
    <t>RCD</t>
  </si>
  <si>
    <t>HARROGATE AND DISTRICT NHS FOUNDATION TRUST</t>
  </si>
  <si>
    <t>RR1</t>
  </si>
  <si>
    <t>HEART OF ENGLAND NHS FOUNDATION TRUST</t>
  </si>
  <si>
    <t>RD7</t>
  </si>
  <si>
    <t>HEATHERWOOD AND WEXHAM PARK HOSPITALS NHS FOUNDATION TRUST</t>
  </si>
  <si>
    <t>RLQ</t>
  </si>
  <si>
    <t>BLACK COUNTRY PARTNERSHIP NHS FOUNDATION TRUST</t>
  </si>
  <si>
    <t>SHEFFIELD HEALTH AND SOCIAL CARE NHS FOUNDATION TRUST</t>
  </si>
  <si>
    <t>NE61 3BP</t>
  </si>
  <si>
    <t>NE613</t>
  </si>
  <si>
    <t>NE61 2NU</t>
  </si>
  <si>
    <t>TN37 7RD</t>
  </si>
  <si>
    <t>TN377</t>
  </si>
  <si>
    <t>BN21 2UD</t>
  </si>
  <si>
    <t>BN212</t>
  </si>
  <si>
    <t>WF13 4HS</t>
  </si>
  <si>
    <t>WF134</t>
  </si>
  <si>
    <t>WF8 1PL</t>
  </si>
  <si>
    <t>WF81</t>
  </si>
  <si>
    <t>WF1 4DG</t>
  </si>
  <si>
    <t>WF14</t>
  </si>
  <si>
    <t>BN2 5BF</t>
  </si>
  <si>
    <t>BN25</t>
  </si>
  <si>
    <t>BN2 5BE</t>
  </si>
  <si>
    <t>RH16 4EX</t>
  </si>
  <si>
    <t>RH164</t>
  </si>
  <si>
    <t>B65 8DA</t>
  </si>
  <si>
    <t>B658</t>
  </si>
  <si>
    <t>B71 4HJ</t>
  </si>
  <si>
    <t>B714</t>
  </si>
  <si>
    <t>B18 7QH</t>
  </si>
  <si>
    <t>B187</t>
  </si>
  <si>
    <t>PR4 3HA</t>
  </si>
  <si>
    <t>PR43</t>
  </si>
  <si>
    <t>FY2 0FN</t>
  </si>
  <si>
    <t>FY20</t>
  </si>
  <si>
    <t>FY7 8JH</t>
  </si>
  <si>
    <t>FY78</t>
  </si>
  <si>
    <t>FY8 1PB</t>
  </si>
  <si>
    <t>FY81</t>
  </si>
  <si>
    <t>FY3 8NR</t>
  </si>
  <si>
    <t>FY38</t>
  </si>
  <si>
    <t>PR2 9HT</t>
  </si>
  <si>
    <t>PR29</t>
  </si>
  <si>
    <t>PR7 1PP</t>
  </si>
  <si>
    <t>PR71</t>
  </si>
  <si>
    <t>DH8 0NB</t>
  </si>
  <si>
    <t>DH80</t>
  </si>
  <si>
    <t>DH3 3AT</t>
  </si>
  <si>
    <t>DH33</t>
  </si>
  <si>
    <t>DL14 6AD</t>
  </si>
  <si>
    <t>DL146</t>
  </si>
  <si>
    <t>DL3 6HX</t>
  </si>
  <si>
    <t>DL36</t>
  </si>
  <si>
    <t>DH1 5TW</t>
  </si>
  <si>
    <t>DH15</t>
  </si>
  <si>
    <t>HP7 0JD</t>
  </si>
  <si>
    <t>HP70</t>
  </si>
  <si>
    <t>HP11 2TT</t>
  </si>
  <si>
    <t>HP112</t>
  </si>
  <si>
    <t>HP21 8AL</t>
  </si>
  <si>
    <t>HP218</t>
  </si>
  <si>
    <t>BB9 9SZ</t>
  </si>
  <si>
    <t>BB99</t>
  </si>
  <si>
    <t>BB10 2PQ</t>
  </si>
  <si>
    <t>BB102</t>
  </si>
  <si>
    <t>BB2 3HH</t>
  </si>
  <si>
    <t>BB23</t>
  </si>
  <si>
    <t>B10 0PG</t>
  </si>
  <si>
    <t>B100</t>
  </si>
  <si>
    <t>B10 9JH</t>
  </si>
  <si>
    <t>B109</t>
  </si>
  <si>
    <t>B23 6DJ</t>
  </si>
  <si>
    <t>B236</t>
  </si>
  <si>
    <t>B11 4HN</t>
  </si>
  <si>
    <t>B114</t>
  </si>
  <si>
    <t>B15 2SG</t>
  </si>
  <si>
    <t>B18 5SD</t>
  </si>
  <si>
    <t>B185</t>
  </si>
  <si>
    <t>B24 9SA</t>
  </si>
  <si>
    <t>B249</t>
  </si>
  <si>
    <t>B15 2SY</t>
  </si>
  <si>
    <t>B45 9BE</t>
  </si>
  <si>
    <t>B459</t>
  </si>
  <si>
    <t>B1 3RB</t>
  </si>
  <si>
    <t>B13</t>
  </si>
  <si>
    <t>TF1 6TF</t>
  </si>
  <si>
    <t>TF16</t>
  </si>
  <si>
    <t>SY3 8XQ</t>
  </si>
  <si>
    <t>SY38</t>
  </si>
  <si>
    <t>KT19 8PB</t>
  </si>
  <si>
    <t>KT198</t>
  </si>
  <si>
    <t>GU16 9QE</t>
  </si>
  <si>
    <t>GU169</t>
  </si>
  <si>
    <t>CR3 5YA</t>
  </si>
  <si>
    <t>CR35</t>
  </si>
  <si>
    <t>KT19 8QJ</t>
  </si>
  <si>
    <t>GU2 7LX</t>
  </si>
  <si>
    <t>KT16 0AE</t>
  </si>
  <si>
    <t>KT22 7AD</t>
  </si>
  <si>
    <t>KT227</t>
  </si>
  <si>
    <t>TN13 3PG</t>
  </si>
  <si>
    <t>TN133</t>
  </si>
  <si>
    <t>TN1 2JN</t>
  </si>
  <si>
    <t>TN12</t>
  </si>
  <si>
    <t>CT9 4BF</t>
  </si>
  <si>
    <t>CT1 1AZ</t>
  </si>
  <si>
    <t>CT11</t>
  </si>
  <si>
    <t>DA2 6PB</t>
  </si>
  <si>
    <t>DA26</t>
  </si>
  <si>
    <t>ME19 4AX</t>
  </si>
  <si>
    <t>ME194</t>
  </si>
  <si>
    <t>NW1 5QH</t>
  </si>
  <si>
    <t>NW15</t>
  </si>
  <si>
    <t>W12 0HS</t>
  </si>
  <si>
    <t>W120</t>
  </si>
  <si>
    <t>W2 1NY</t>
  </si>
  <si>
    <t>W21</t>
  </si>
  <si>
    <t>W6 8RF</t>
  </si>
  <si>
    <t>W68</t>
  </si>
  <si>
    <t>IG3 8XJ</t>
  </si>
  <si>
    <t>E4 6PF</t>
  </si>
  <si>
    <t>E46</t>
  </si>
  <si>
    <t>CM14 5HQ</t>
  </si>
  <si>
    <t>CM145</t>
  </si>
  <si>
    <t>E4 9JQ</t>
  </si>
  <si>
    <t>E49</t>
  </si>
  <si>
    <t>IG3 8XQ</t>
  </si>
  <si>
    <t>E17 3HP</t>
  </si>
  <si>
    <t>E173</t>
  </si>
  <si>
    <t>IG6 2QS</t>
  </si>
  <si>
    <t>IG62</t>
  </si>
  <si>
    <t>E11 1NU</t>
  </si>
  <si>
    <t>BN2 3EW</t>
  </si>
  <si>
    <t>BN23</t>
  </si>
  <si>
    <t>BN8 4JN</t>
  </si>
  <si>
    <t>BN84</t>
  </si>
  <si>
    <t>BH1 4JQ</t>
  </si>
  <si>
    <t>BH14</t>
  </si>
  <si>
    <t>BH7 6JF</t>
  </si>
  <si>
    <t>BH76</t>
  </si>
  <si>
    <t>SHOTLEY BRIDGE COMMUNITY HOSPITAL</t>
  </si>
  <si>
    <t>RXPCC</t>
  </si>
  <si>
    <t>CHESTER LE STREET COMMUNITY HOSPITAL</t>
  </si>
  <si>
    <t>RXPBA</t>
  </si>
  <si>
    <t>BISHOP AUCKLAND GENERAL HOSPITAL</t>
  </si>
  <si>
    <t>RXPDA</t>
  </si>
  <si>
    <t>DARLINGTON MEMORIAL HOSPITAL (RXP)</t>
  </si>
  <si>
    <t>RXPCP</t>
  </si>
  <si>
    <t>UNIVERSITY HOSPITAL NORTH DURHAM</t>
  </si>
  <si>
    <t>RXQ01</t>
  </si>
  <si>
    <t>AMERSHAM HOSPITAL</t>
  </si>
  <si>
    <t>RXQ50</t>
  </si>
  <si>
    <t>WYCOMBE HOSPITAL</t>
  </si>
  <si>
    <t>RXQ02</t>
  </si>
  <si>
    <t>STOKE MANDEVILLE HOSPITAL</t>
  </si>
  <si>
    <t>RXR50</t>
  </si>
  <si>
    <t>PENDLE COMMUNITY HOSPITAL</t>
  </si>
  <si>
    <t>RXR10</t>
  </si>
  <si>
    <t>BURNLEY GENERAL HOSPITAL</t>
  </si>
  <si>
    <t>RXR20</t>
  </si>
  <si>
    <t>ROYAL BLACKBURN HOSPITAL</t>
  </si>
  <si>
    <t>RXT73</t>
  </si>
  <si>
    <t>SMALL HEATH HEALTH CENTRE</t>
  </si>
  <si>
    <t>RXT51</t>
  </si>
  <si>
    <t>NEWBRIDGE HOUSE</t>
  </si>
  <si>
    <t>RXT37</t>
  </si>
  <si>
    <t>LITTLE BROMWICH</t>
  </si>
  <si>
    <t>RXT65</t>
  </si>
  <si>
    <t>RESERVOIR COURT</t>
  </si>
  <si>
    <t>RXTD2</t>
  </si>
  <si>
    <t>THE ZINNIA CENTRE</t>
  </si>
  <si>
    <t>RXTD3</t>
  </si>
  <si>
    <t>THE BARBERRY CENTRE</t>
  </si>
  <si>
    <t>RXT47</t>
  </si>
  <si>
    <t>MARY SEACOLE HOUSE</t>
  </si>
  <si>
    <t>RXT05</t>
  </si>
  <si>
    <t>ARDENLEIGH</t>
  </si>
  <si>
    <t>RXTD4</t>
  </si>
  <si>
    <t>THE OLEASTER CENTRE</t>
  </si>
  <si>
    <t>RXT64</t>
  </si>
  <si>
    <t>REASIDE CLINIC</t>
  </si>
  <si>
    <t>RXWAT</t>
  </si>
  <si>
    <t>PRINCESS ROYAL HOSPITAL</t>
  </si>
  <si>
    <t>RXWAS</t>
  </si>
  <si>
    <t>ROYAL SHREWSBURY HOSPITAL</t>
  </si>
  <si>
    <t>RXX92</t>
  </si>
  <si>
    <t>WEST PARK HOSPITAL</t>
  </si>
  <si>
    <t>RXX20</t>
  </si>
  <si>
    <t>RIDGEWOOD CENTRE</t>
  </si>
  <si>
    <t>RXXED</t>
  </si>
  <si>
    <t>OAKLANDS HOUSE</t>
  </si>
  <si>
    <t>RXXFR</t>
  </si>
  <si>
    <t>ST EBBA'S HOSPITAL</t>
  </si>
  <si>
    <t>RXX22</t>
  </si>
  <si>
    <t>FARNHAM ROAD HOSPITAL</t>
  </si>
  <si>
    <t>RXX10</t>
  </si>
  <si>
    <t>ABRAHAM COWLEY UNIT</t>
  </si>
  <si>
    <t>RXYD2</t>
  </si>
  <si>
    <t>DARENT HOUSE, SEVENOAKS</t>
  </si>
  <si>
    <t>RXYH4</t>
  </si>
  <si>
    <t>HIGHLANDS HOUSE, TUNBRIDGE WELLS</t>
  </si>
  <si>
    <t>RXYT1</t>
  </si>
  <si>
    <t>THANET MENTAL HEALTH UNIT, 164 RAMSGATE ROAD, MARGATE</t>
  </si>
  <si>
    <t>RXYA4</t>
  </si>
  <si>
    <t>ARUNDEL UNIT, WILLIAM HARVEY HOSPITAL</t>
  </si>
  <si>
    <t>RXY03</t>
  </si>
  <si>
    <t>ST MARTINS HOSPITAL</t>
  </si>
  <si>
    <t>RXYTR</t>
  </si>
  <si>
    <t>TREVOR GIBBENS UNIT, MAIDSTONE</t>
  </si>
  <si>
    <t>RXYG4</t>
  </si>
  <si>
    <t>GREENACRES, BOW ARROW LANE, DARTFORD</t>
  </si>
  <si>
    <t>RYJ07</t>
  </si>
  <si>
    <t>WESTERN EYE HOSPITAL</t>
  </si>
  <si>
    <t>RYJ04</t>
  </si>
  <si>
    <t>QUEEN CHARLOTTE'S HOSPITAL</t>
  </si>
  <si>
    <t>RYJ03</t>
  </si>
  <si>
    <t>HAMMERSMITH HOSPITAL</t>
  </si>
  <si>
    <t>RYJ01</t>
  </si>
  <si>
    <t>RYJ02</t>
  </si>
  <si>
    <t>CHARING CROSS HOSPITAL</t>
  </si>
  <si>
    <t>RATGM</t>
  </si>
  <si>
    <t>GOODMAYES HOSPITAL</t>
  </si>
  <si>
    <t>RATGY</t>
  </si>
  <si>
    <t>CHAPTERS HOUSE AKA GOODMAYES HOSPITAL</t>
  </si>
  <si>
    <t>RATHC</t>
  </si>
  <si>
    <t>HAWKWELL COURT</t>
  </si>
  <si>
    <t>RATMP</t>
  </si>
  <si>
    <t>MASCALLS PARK</t>
  </si>
  <si>
    <t>RATNC</t>
  </si>
  <si>
    <t>NASEBERRY COURT</t>
  </si>
  <si>
    <t>RATRK</t>
  </si>
  <si>
    <t>BROOKSIDE</t>
  </si>
  <si>
    <t>RATTH</t>
  </si>
  <si>
    <t>THORPE COOMBE HOSPITAL</t>
  </si>
  <si>
    <t>RATTW</t>
  </si>
  <si>
    <t>TOMSWOOD CLOSE</t>
  </si>
  <si>
    <t>RATWD</t>
  </si>
  <si>
    <t>WOODBURY UNIT</t>
  </si>
  <si>
    <t>RDR08</t>
  </si>
  <si>
    <t>CHAILEY WESTFIELD (CHIS &amp; REHAB)</t>
  </si>
  <si>
    <t>RDY02</t>
  </si>
  <si>
    <t>KINGS PARK HOSPITAL</t>
  </si>
  <si>
    <t>RDY10</t>
  </si>
  <si>
    <t>ST ANNS HOSPITAL</t>
  </si>
  <si>
    <t>RDY12</t>
  </si>
  <si>
    <t>HERBERT HOSPITAL</t>
  </si>
  <si>
    <t>RDY22</t>
  </si>
  <si>
    <t>ALDERNEY HOSPITAL</t>
  </si>
  <si>
    <t>RDY24</t>
  </si>
  <si>
    <t>DOUGLAS HOUSE</t>
  </si>
  <si>
    <t>RDY25</t>
  </si>
  <si>
    <t>HILLCREST</t>
  </si>
  <si>
    <t>RDY27</t>
  </si>
  <si>
    <t>CEDARS</t>
  </si>
  <si>
    <t>RGD17</t>
  </si>
  <si>
    <t>ST. MARY'S HOSPITAL (RGD)</t>
  </si>
  <si>
    <t>RH502</t>
  </si>
  <si>
    <t>ST ANDREWS (RH5)</t>
  </si>
  <si>
    <t>RH503</t>
  </si>
  <si>
    <t>PHOENIX HOUSE</t>
  </si>
  <si>
    <t>RH508</t>
  </si>
  <si>
    <t>MAGNOLIA HOUSE</t>
  </si>
  <si>
    <t>RH563</t>
  </si>
  <si>
    <t>PYRLAND HOUSE</t>
  </si>
  <si>
    <t>RH571</t>
  </si>
  <si>
    <t>BEECH COURT AND WYVERN COURT</t>
  </si>
  <si>
    <t>RH572</t>
  </si>
  <si>
    <t>ROWAN, HOLLY AND ACACIA</t>
  </si>
  <si>
    <t>RH576</t>
  </si>
  <si>
    <t>HOLFORD HOUSE &amp; RYDON HOUSE</t>
  </si>
  <si>
    <t>RH577</t>
  </si>
  <si>
    <t>ORCHARD LODGE</t>
  </si>
  <si>
    <t>RHA04</t>
  </si>
  <si>
    <t>RAMPTON HOSPITAL</t>
  </si>
  <si>
    <t>RHAAR</t>
  </si>
  <si>
    <t>ARNOLD LODGE</t>
  </si>
  <si>
    <t>RHABW</t>
  </si>
  <si>
    <t>MILLBROOK UNIT</t>
  </si>
  <si>
    <t>RHANA</t>
  </si>
  <si>
    <t>THE WELLS ROAD CENTRE</t>
  </si>
  <si>
    <t>RHANM</t>
  </si>
  <si>
    <t>HIGHBURY HOSPITAL</t>
  </si>
  <si>
    <t>RHAPB</t>
  </si>
  <si>
    <t>THORNEYWOOD UNIT</t>
  </si>
  <si>
    <t>RHAPK</t>
  </si>
  <si>
    <t>BROOMHILL HOUSE</t>
  </si>
  <si>
    <t>RHARY</t>
  </si>
  <si>
    <t>WATHWOOD HOSPITAL</t>
  </si>
  <si>
    <t>RHATM</t>
  </si>
  <si>
    <t>PEASE HILL CENTRE</t>
  </si>
  <si>
    <t>RHATZ</t>
  </si>
  <si>
    <t>DOVECOTE CENTRE</t>
  </si>
  <si>
    <t>RHX06</t>
  </si>
  <si>
    <t>STEPDOWN, HORSPATH DRIFTWAY, HEADINGTON, OXFORD</t>
  </si>
  <si>
    <t>RHX08</t>
  </si>
  <si>
    <t>43 SAXON WAY, HEADINGTON, OXFORD</t>
  </si>
  <si>
    <t>RHX12</t>
  </si>
  <si>
    <t>CRESSEX HOUSE, 309 CRESSEX ROAD, HIGH WYCOMBE</t>
  </si>
  <si>
    <t>RHX66</t>
  </si>
  <si>
    <t>STATT (SLADE SITE)</t>
  </si>
  <si>
    <t>RHX80</t>
  </si>
  <si>
    <t>JOHN SHARICH HOUSE SLADE SITE</t>
  </si>
  <si>
    <t>RHX90</t>
  </si>
  <si>
    <t>POSTERN HOUSE</t>
  </si>
  <si>
    <t>RHX91</t>
  </si>
  <si>
    <t>LANTERNS</t>
  </si>
  <si>
    <t>RHX92</t>
  </si>
  <si>
    <t>NORTHVIEW</t>
  </si>
  <si>
    <t>RHX93</t>
  </si>
  <si>
    <t>SELBROOK</t>
  </si>
  <si>
    <t>CALDERSTONES NHS TRUST</t>
  </si>
  <si>
    <t>RJX04</t>
  </si>
  <si>
    <t>CALDERSTONES</t>
  </si>
  <si>
    <t>RJX05</t>
  </si>
  <si>
    <t>SCOTT HOUSE</t>
  </si>
  <si>
    <t>RJX51</t>
  </si>
  <si>
    <t>GISBURN LODGE</t>
  </si>
  <si>
    <t>RKL14</t>
  </si>
  <si>
    <t>LAKESIDE UNIT</t>
  </si>
  <si>
    <t>S103</t>
  </si>
  <si>
    <t>S5 7JT</t>
  </si>
  <si>
    <t>S20 1NZ</t>
  </si>
  <si>
    <t>S201</t>
  </si>
  <si>
    <t>S11 9BF</t>
  </si>
  <si>
    <t>S119</t>
  </si>
  <si>
    <t>S35 0JW</t>
  </si>
  <si>
    <t>S350</t>
  </si>
  <si>
    <t>S35 8QS</t>
  </si>
  <si>
    <t>S358</t>
  </si>
  <si>
    <t>B70 9PL</t>
  </si>
  <si>
    <t>B709</t>
  </si>
  <si>
    <t>B70 8NL</t>
  </si>
  <si>
    <t>B708</t>
  </si>
  <si>
    <t>B71 2BG</t>
  </si>
  <si>
    <t>B712</t>
  </si>
  <si>
    <t>B71 4NH</t>
  </si>
  <si>
    <t>Org Code</t>
  </si>
  <si>
    <t>Land Area</t>
  </si>
  <si>
    <t>Birmingham Communtiy Healthcare NHS Trust</t>
  </si>
  <si>
    <t>Staff Index</t>
  </si>
  <si>
    <t>Land Index</t>
  </si>
  <si>
    <t>Building Index</t>
  </si>
  <si>
    <t>London borough/County (for trusts based on PCT code looked up from Postcode)</t>
  </si>
  <si>
    <t>BED WEIGHTED AVERAGE</t>
  </si>
  <si>
    <t>Land</t>
  </si>
  <si>
    <t>Staff</t>
  </si>
  <si>
    <t>M&amp;D</t>
  </si>
  <si>
    <t>Average 2008-09 paybill for hospital doctors</t>
  </si>
  <si>
    <t>2008-09 London weighting</t>
  </si>
  <si>
    <t>Average 2008-09 paybill excluding London weighting</t>
  </si>
  <si>
    <t>Index</t>
  </si>
  <si>
    <t>London</t>
  </si>
  <si>
    <t>Fringe</t>
  </si>
  <si>
    <t>2008-09 paybill £</t>
  </si>
  <si>
    <t>workforce at 30 September 2008</t>
  </si>
  <si>
    <t>Consultants</t>
  </si>
  <si>
    <t>Other Career Grades</t>
  </si>
  <si>
    <t>Registrars and Senior Registrars</t>
  </si>
  <si>
    <t>SHOs and Hos</t>
  </si>
  <si>
    <t>Other Hospital Medical Grades</t>
  </si>
  <si>
    <t>Total</t>
  </si>
  <si>
    <t>M&amp;D Index</t>
  </si>
  <si>
    <t>Number of beds</t>
  </si>
  <si>
    <t>rw3</t>
  </si>
  <si>
    <t>Building</t>
  </si>
  <si>
    <t>SHA code</t>
  </si>
  <si>
    <t>Organisation Name</t>
  </si>
  <si>
    <t>Site Code</t>
  </si>
  <si>
    <t>Site Name</t>
  </si>
  <si>
    <t>Unit postcode</t>
  </si>
  <si>
    <t>Postcode sector</t>
  </si>
  <si>
    <t>PCT by site postcode</t>
  </si>
  <si>
    <t>AvailBeds</t>
  </si>
  <si>
    <t>Site beds as % of all beds</t>
  </si>
  <si>
    <t>Interpolated MFF: site value from HERU</t>
  </si>
  <si>
    <t>Interpolated MFF: sector value from HERU</t>
  </si>
  <si>
    <t>Interpolated MFF: preferred</t>
  </si>
  <si>
    <t>Interpolated MFF: centred</t>
  </si>
  <si>
    <t>Staff MFF * bed weight</t>
  </si>
  <si>
    <t>Building MFF * bed weight</t>
  </si>
  <si>
    <t>SANDWELL AND WEST BIRMINGHAM HOSPITALS NHS TRUST</t>
  </si>
  <si>
    <t>TAJ</t>
  </si>
  <si>
    <t>SANDWELL MENTAL HEALTH NHS AND SOCIAL CARE TRUST</t>
  </si>
  <si>
    <t>RCC</t>
  </si>
  <si>
    <t>SCARBOROUGH AND NORTH EAST YORKSHIRE HEALTH CARE NHS TRUST</t>
  </si>
  <si>
    <t>TAH</t>
  </si>
  <si>
    <t>SHEFFIELD CARE TRUST</t>
  </si>
  <si>
    <t>RCU</t>
  </si>
  <si>
    <t>SHEFFIELD CHILDREN'S NHS FOUNDATION TRUST</t>
  </si>
  <si>
    <t>RHQ</t>
  </si>
  <si>
    <t>SHEFFIELD TEACHING HOSPITALS NHS FOUNDATION TRUST</t>
  </si>
  <si>
    <t>RK5</t>
  </si>
  <si>
    <t>SHERWOOD FOREST HOSPITALS NHS FOUNDATION TRUST</t>
  </si>
  <si>
    <t>RXW</t>
  </si>
  <si>
    <t>SHREWSBURY AND TELFORD HOSPITAL NHS TRUST</t>
  </si>
  <si>
    <t>R1D</t>
  </si>
  <si>
    <t>R1C</t>
  </si>
  <si>
    <t>SOLENT NHS TRUST</t>
  </si>
  <si>
    <t>RH5</t>
  </si>
  <si>
    <t>SOMERSET PARTNERSHIP NHS FOUNDATION TRUST</t>
  </si>
  <si>
    <t>RYE</t>
  </si>
  <si>
    <t>RA9</t>
  </si>
  <si>
    <t>SOUTH DEVON HEALTHCARE NHS FOUNDATION TRUST</t>
  </si>
  <si>
    <t>STANSFIELD PLACE</t>
  </si>
  <si>
    <t>RT5AP</t>
  </si>
  <si>
    <t>BRANDON MENTAL HEALTH UNIT</t>
  </si>
  <si>
    <t>RT5BP</t>
  </si>
  <si>
    <t>GLENFRITH UNIT / LEICESTER FRITH HOSPITAL</t>
  </si>
  <si>
    <t>RT5KF</t>
  </si>
  <si>
    <t>BRADGATE/BELVOIR UNITS</t>
  </si>
  <si>
    <t>RT5KT</t>
  </si>
  <si>
    <t>EVINGTON CENTRE</t>
  </si>
  <si>
    <t>SUFFOLK MENTAL HEALTH PARTNERSHIP NHS TRUST</t>
  </si>
  <si>
    <t>RT624</t>
  </si>
  <si>
    <t>ST.CLEMENTS HOSPITAL</t>
  </si>
  <si>
    <t>RTQ01</t>
  </si>
  <si>
    <t>CHARLTON LANE</t>
  </si>
  <si>
    <t>RTQ02</t>
  </si>
  <si>
    <t>WOTTON LAWN</t>
  </si>
  <si>
    <t>RTV14</t>
  </si>
  <si>
    <t>BROOKER CENTRE</t>
  </si>
  <si>
    <t>RTV33</t>
  </si>
  <si>
    <t>HOLLINS PARK</t>
  </si>
  <si>
    <t>RTV47</t>
  </si>
  <si>
    <t>OAKDENE UNIT</t>
  </si>
  <si>
    <t>RTV51</t>
  </si>
  <si>
    <t>SHERDLEY UNIT</t>
  </si>
  <si>
    <t>RTV59</t>
  </si>
  <si>
    <t>WILLIS HOUSE</t>
  </si>
  <si>
    <t>RTV68</t>
  </si>
  <si>
    <t>PEASLEY CROSS - INC HOPE AND RECOVERY CENTRE</t>
  </si>
  <si>
    <t>RTV79</t>
  </si>
  <si>
    <t>LEIGH MENTAL HEALTH UNIT</t>
  </si>
  <si>
    <t>RTVAB</t>
  </si>
  <si>
    <t>FAIRHAVEN</t>
  </si>
  <si>
    <t>RV312</t>
  </si>
  <si>
    <t>PARK ROYAL CENTRE FOR MENTAL HEALTH</t>
  </si>
  <si>
    <t>RV320</t>
  </si>
  <si>
    <t>ST CHARLES MHU</t>
  </si>
  <si>
    <t>RV332</t>
  </si>
  <si>
    <t>SOUTH KENSINGTON &amp; CHELSEA MHC</t>
  </si>
  <si>
    <t>RV346</t>
  </si>
  <si>
    <t>GORDON HOSPITAL</t>
  </si>
  <si>
    <t>RV347</t>
  </si>
  <si>
    <t>HOPKINSON HOUSE</t>
  </si>
  <si>
    <t>RV351</t>
  </si>
  <si>
    <t>HORTON HAVEN</t>
  </si>
  <si>
    <t>RV383</t>
  </si>
  <si>
    <t>NORTHWICK PARK MENTAL HEALTH CENTRE</t>
  </si>
  <si>
    <t>RV396</t>
  </si>
  <si>
    <t>7A WOODFIELD ROAD</t>
  </si>
  <si>
    <t>RV3AN</t>
  </si>
  <si>
    <t>HILLINGDON HOSPITAL MHU</t>
  </si>
  <si>
    <t>RV3CA</t>
  </si>
  <si>
    <t>KINGSBURY HOSPITAL</t>
  </si>
  <si>
    <t>HUMBER MENTAL HEALTH TEACHING NHS TRUST</t>
  </si>
  <si>
    <t>RV912</t>
  </si>
  <si>
    <t>WEST END ADOLESCENT UNIT</t>
  </si>
  <si>
    <t>RV915</t>
  </si>
  <si>
    <t>TOWNEND COURT</t>
  </si>
  <si>
    <t>RV932</t>
  </si>
  <si>
    <t>AYSGARTH HOUSE, HULL</t>
  </si>
  <si>
    <t>RV933</t>
  </si>
  <si>
    <t>WESTLANDS</t>
  </si>
  <si>
    <t>RV934</t>
  </si>
  <si>
    <t>NEWBRIDGES</t>
  </si>
  <si>
    <t>RV936</t>
  </si>
  <si>
    <t>HUMBER CENTRE FORENSIC UNIT</t>
  </si>
  <si>
    <t>RV938</t>
  </si>
  <si>
    <t>MAISTER LODGE</t>
  </si>
  <si>
    <t>RV941</t>
  </si>
  <si>
    <t>HAWTHORNE COURT</t>
  </si>
  <si>
    <t>RV942</t>
  </si>
  <si>
    <t>MILL VIEW COURT</t>
  </si>
  <si>
    <t>RV944</t>
  </si>
  <si>
    <t>BARTHOLOMEW HOUSE</t>
  </si>
  <si>
    <t>RV945</t>
  </si>
  <si>
    <t>MIRANDA HOUSE</t>
  </si>
  <si>
    <t>RV946</t>
  </si>
  <si>
    <t>GREENTREES LODGE</t>
  </si>
  <si>
    <t>RV980</t>
  </si>
  <si>
    <t>ST ANDREWS PLACE</t>
  </si>
  <si>
    <t>RVJ01</t>
  </si>
  <si>
    <t>SOUTHMEAD HOSPITAL</t>
  </si>
  <si>
    <t>RVJ02</t>
  </si>
  <si>
    <t>HAM GREEN ORCHARD VIEW</t>
  </si>
  <si>
    <t>RVJ05</t>
  </si>
  <si>
    <t>THORNBURY HOSPITAL</t>
  </si>
  <si>
    <t>RVJ20</t>
  </si>
  <si>
    <t>FRENCHAY HOSPITAL</t>
  </si>
  <si>
    <t>RVJ23</t>
  </si>
  <si>
    <t>BLACKBERRY HILL HOSPITAL</t>
  </si>
  <si>
    <t>RVN2A</t>
  </si>
  <si>
    <t>HILLVIEW</t>
  </si>
  <si>
    <t>BROAD OAK UNIT (BROADGREEN HOSPITAL SITE)</t>
  </si>
  <si>
    <t>RW438</t>
  </si>
  <si>
    <t>LIVERPOOL EMI (MOSSLEY HILL HOSPITAL)</t>
  </si>
  <si>
    <t>RW454</t>
  </si>
  <si>
    <t>WINDSOR HOUSE</t>
  </si>
  <si>
    <t>RW486</t>
  </si>
  <si>
    <t>SEFTON HEALTH PARK</t>
  </si>
  <si>
    <t>RW493</t>
  </si>
  <si>
    <t>SCOTT CLINIC, ST. HELENS</t>
  </si>
  <si>
    <t>RW5AA</t>
  </si>
  <si>
    <t>QUEENS PARK HOSPITAL</t>
  </si>
  <si>
    <t>RW5EA</t>
  </si>
  <si>
    <t>AVONDALE UNIT PRESTON</t>
  </si>
  <si>
    <t>RW5EC</t>
  </si>
  <si>
    <t>GUILD PARK PRESTON</t>
  </si>
  <si>
    <t>RW5EF</t>
  </si>
  <si>
    <t>RIBBLETON HOSPITAL PRESTON</t>
  </si>
  <si>
    <t>RW5FA</t>
  </si>
  <si>
    <t>RW5GA</t>
  </si>
  <si>
    <t>PARKWOOD HOSPITAL BLACKPOOL</t>
  </si>
  <si>
    <t>RW5GC</t>
  </si>
  <si>
    <t>FLEETWOOD HOSPITAL</t>
  </si>
  <si>
    <t>RW5GD</t>
  </si>
  <si>
    <t>LYTHAM HOSPITAL</t>
  </si>
  <si>
    <t>RW5LA</t>
  </si>
  <si>
    <t>RIDGE LEA HOSPITAL</t>
  </si>
  <si>
    <t>RW5LX</t>
  </si>
  <si>
    <t>ALTHAM MEADOWS</t>
  </si>
  <si>
    <t>RWK02</t>
  </si>
  <si>
    <t>HOMERTON EAST WING</t>
  </si>
  <si>
    <t>RWK06</t>
  </si>
  <si>
    <t>THE LODGE</t>
  </si>
  <si>
    <t>RWK09</t>
  </si>
  <si>
    <t>ROGER DOWLEY COURT</t>
  </si>
  <si>
    <t>RWK46</t>
  </si>
  <si>
    <t>NEWHAM CENTRE FOR MENTAL HEALTH</t>
  </si>
  <si>
    <t>RWK60</t>
  </si>
  <si>
    <t>12 KENWORTHY ROAD</t>
  </si>
  <si>
    <t>RWK61</t>
  </si>
  <si>
    <t>THE TOWER HAMLETS CENTRE FOR MENTAL HEALTH</t>
  </si>
  <si>
    <t>RWN10</t>
  </si>
  <si>
    <t>ROCHFORD HOSPITAL</t>
  </si>
  <si>
    <t>RWN20</t>
  </si>
  <si>
    <t>RUNWELL HOSPITAL</t>
  </si>
  <si>
    <t>RWN40</t>
  </si>
  <si>
    <t>BASILDON HOSPITAL M.H.U.</t>
  </si>
  <si>
    <t>RWN50</t>
  </si>
  <si>
    <t>THURROCK HOSPITAL</t>
  </si>
  <si>
    <t>RWQ01</t>
  </si>
  <si>
    <t>ACUTE MENTAL HEALTH WARDS (WRI)</t>
  </si>
  <si>
    <t>RWQ11</t>
  </si>
  <si>
    <t>HILL CREST HOSPITAL</t>
  </si>
  <si>
    <t>RWQJ6</t>
  </si>
  <si>
    <t>ELGAR UNIT (OASU) NEWTOWN (WRI)</t>
  </si>
  <si>
    <t>RWQK1</t>
  </si>
  <si>
    <t>KIDDERMINSTER GENERAL HOSPITAL D BLOCK</t>
  </si>
  <si>
    <t>RWR13</t>
  </si>
  <si>
    <t>ALBANY LODGE M.H.U</t>
  </si>
  <si>
    <t>RWR23</t>
  </si>
  <si>
    <t>ERIC SHEPHERD ADMINISTRATION</t>
  </si>
  <si>
    <t>RWR34</t>
  </si>
  <si>
    <t>MENTAL HEALTH UNIT - LISTER</t>
  </si>
  <si>
    <t>RWR35</t>
  </si>
  <si>
    <t>MENTAL HEALTH UNIT - QE2</t>
  </si>
  <si>
    <t>RWR45</t>
  </si>
  <si>
    <t>PROSPECT HOUSE E. M. I.</t>
  </si>
  <si>
    <t>RWR47</t>
  </si>
  <si>
    <t>SEWARD LODGE</t>
  </si>
  <si>
    <t>RWR48</t>
  </si>
  <si>
    <t>SHRODELLS UNIT</t>
  </si>
  <si>
    <t>RWR60</t>
  </si>
  <si>
    <t>THE MEADOWS E. M. I.</t>
  </si>
  <si>
    <t>RWR96</t>
  </si>
  <si>
    <t>HARPERBURY</t>
  </si>
  <si>
    <t>RWRF3</t>
  </si>
  <si>
    <t>LITTLE PLUMSTEAD HOSPITAL</t>
  </si>
  <si>
    <t>RWV14</t>
  </si>
  <si>
    <t>BRUNEL LODGE (WOLBOROUGH SITE)</t>
  </si>
  <si>
    <t>RWV52</t>
  </si>
  <si>
    <t>ST. JOHNS COURT</t>
  </si>
  <si>
    <t>RWV62</t>
  </si>
  <si>
    <t>WONFORD HOUSE HOSPITAL</t>
  </si>
  <si>
    <t>RWV70</t>
  </si>
  <si>
    <t>LANGDON HOSPITAL</t>
  </si>
  <si>
    <t>RWV98</t>
  </si>
  <si>
    <t>FRANKLYN HOSPITAL SITE</t>
  </si>
  <si>
    <t>RWX51</t>
  </si>
  <si>
    <t>PROSPECT PARK HOSPITAL</t>
  </si>
  <si>
    <t>RX213</t>
  </si>
  <si>
    <t>MILL VIEW HOSPITAL</t>
  </si>
  <si>
    <t>Tees, Esk and Wear Valleys NHS Foundation Trust</t>
  </si>
  <si>
    <t>5QR</t>
  </si>
  <si>
    <t>Q31</t>
  </si>
  <si>
    <t>5 Boroughs Partnership NHS Foundation Trust</t>
  </si>
  <si>
    <t>5J2</t>
  </si>
  <si>
    <t>Aintree University Hospitals NHS Foundation Trust</t>
  </si>
  <si>
    <t>5NL</t>
  </si>
  <si>
    <t>Alder Hey Childrens NHS Foundation Trust</t>
  </si>
  <si>
    <t>Blackpool Fylde and Wyre NHS Foundation Trust</t>
  </si>
  <si>
    <t>5HP</t>
  </si>
  <si>
    <t>Calderstones Partnership NHS Foundation Trust</t>
  </si>
  <si>
    <t>5NH</t>
  </si>
  <si>
    <t>Central Manchester University Hospitals NHS Foundation Trust</t>
  </si>
  <si>
    <t>5NT</t>
  </si>
  <si>
    <t>Cheshire and Wirral Partnership NHS Foundation Trust</t>
  </si>
  <si>
    <t>5NN</t>
  </si>
  <si>
    <t>Christie Hospital NHS Foundation Trust</t>
  </si>
  <si>
    <t>Clatterbridge Centre for Oncology NHS Foundation Trust</t>
  </si>
  <si>
    <t>5NK</t>
  </si>
  <si>
    <t>Countess of Chester Hospital NHS Foundation Trust</t>
  </si>
  <si>
    <t>Cumbria Partnership NHS Foundation Trust</t>
  </si>
  <si>
    <t>5NE</t>
  </si>
  <si>
    <t>East Cheshire NHS Trust</t>
  </si>
  <si>
    <t>5NP</t>
  </si>
  <si>
    <t>East Lancashire Hospitals NHS Trust</t>
  </si>
  <si>
    <t>5CC</t>
  </si>
  <si>
    <t>Greater Manchester West MH NHS Foundation Trust</t>
  </si>
  <si>
    <t>5JX</t>
  </si>
  <si>
    <t>Lancashire Care NHS Foundation Trust</t>
  </si>
  <si>
    <t>5NG</t>
  </si>
  <si>
    <t>Lancashire Teaching Hospitals NHS Foundation Trust</t>
  </si>
  <si>
    <t>Liverpool Heart and Chest NHS Foundation Trust</t>
  </si>
  <si>
    <t>Liverpool Womens Hospital NHS Foundation Trust</t>
  </si>
  <si>
    <t>Manchester Mental Health and Social Care NHS Trust</t>
  </si>
  <si>
    <t>Mersey Care NHS Trust</t>
  </si>
  <si>
    <t>North Cumbria University Hospitals NHS Trust</t>
  </si>
  <si>
    <t>North West Ambulance Service NHS Trust</t>
  </si>
  <si>
    <t>5HQ</t>
  </si>
  <si>
    <t>Pennine Acute Hospitals NHS Trust</t>
  </si>
  <si>
    <t>Pennine Care NHS Foundation Trust</t>
  </si>
  <si>
    <t>5LH</t>
  </si>
  <si>
    <t>Royal Bolton Hospital NHS Foundation Trust</t>
  </si>
  <si>
    <t>Royal Liverpool Broadgreen Hospitals NHS Trust</t>
  </si>
  <si>
    <t>Salford Royal NHS Foundation Trust</t>
  </si>
  <si>
    <t>5F5</t>
  </si>
  <si>
    <t>Southport and Ormskirk Hospital NHS Trust</t>
  </si>
  <si>
    <t>5NJ</t>
  </si>
  <si>
    <t>St Helens and Knowsley Hospitals NHS Trust</t>
  </si>
  <si>
    <t>5J4</t>
  </si>
  <si>
    <t>Stockport NHS Foundation Trust</t>
  </si>
  <si>
    <t>5F7</t>
  </si>
  <si>
    <t>Tameside Hospital NHS Foundation Trust</t>
  </si>
  <si>
    <t>The Mid Cheshire NHS Foundation Trust</t>
  </si>
  <si>
    <t>The Walton Centre NHS Foundation Trust</t>
  </si>
  <si>
    <t>5NR</t>
  </si>
  <si>
    <t>University Hospital of South Manchester NHS Foundation Trust</t>
  </si>
  <si>
    <t>University Hospitals of Morecambe Bay NHS Trust</t>
  </si>
  <si>
    <t>Warrington and Halton Hospitals NHS Foundation Trust</t>
  </si>
  <si>
    <t>Wirral University Teaching Hospital NHS Foundation Trust</t>
  </si>
  <si>
    <t>Wrightington, Wigan and Leigh NHS Foundation Trust</t>
  </si>
  <si>
    <t>5HG</t>
  </si>
  <si>
    <t>Q32</t>
  </si>
  <si>
    <t>Airedale NHS Trust</t>
  </si>
  <si>
    <t>5NY</t>
  </si>
  <si>
    <t>Barnsley Hospital NHS Foundation Trust</t>
  </si>
  <si>
    <t>5JE</t>
  </si>
  <si>
    <t>Bradford District Care NHS Trust</t>
  </si>
  <si>
    <t>Bradford Teaching Hospitals NHS Foundation Trust</t>
  </si>
  <si>
    <t>Calderdale and Huddersfield NHS Foundation Trust</t>
  </si>
  <si>
    <t>5N2</t>
  </si>
  <si>
    <t>Doncaster and Bassetlaw Hospitals NHS Foundation Trust</t>
  </si>
  <si>
    <t>5N5</t>
  </si>
  <si>
    <t>Harrogate and District NHS Foundation Trust</t>
  </si>
  <si>
    <t>5NV</t>
  </si>
  <si>
    <t>Hull and East Yorkshire Hospitals NHS Trust</t>
  </si>
  <si>
    <t>5NX</t>
  </si>
  <si>
    <t>Humber NHS Foundation Trust</t>
  </si>
  <si>
    <t>5NW</t>
  </si>
  <si>
    <t>Leeds Partnership NHS Foundation Trust</t>
  </si>
  <si>
    <t>5N1</t>
  </si>
  <si>
    <t>Leeds Teaching Hospitals NHS Trust</t>
  </si>
  <si>
    <t>Mid Yorkshire Hospitals NHS Trust</t>
  </si>
  <si>
    <t>5N3</t>
  </si>
  <si>
    <t>North Lincolnshire and Goole Hosps NHS Foundation Trust</t>
  </si>
  <si>
    <t>TAN</t>
  </si>
  <si>
    <t>Rotherham, Doncaster and South Humber MH NHS Foundation Trust</t>
  </si>
  <si>
    <t>Scarborough and North East Yorkshire NHS Trust</t>
  </si>
  <si>
    <t>Sheffield Children's NHS Foundation Trust</t>
  </si>
  <si>
    <t>5N4</t>
  </si>
  <si>
    <t>Sheffield Health and Social Care NHS Foundation Trust</t>
  </si>
  <si>
    <t>Sheffield Teaching Hospitals NHS Foundation Trust</t>
  </si>
  <si>
    <t>South West Yorkshire Partnership NHS Foundation Trust</t>
  </si>
  <si>
    <t>The Rotherham NHS Foundation Trust</t>
  </si>
  <si>
    <t>5H8</t>
  </si>
  <si>
    <t>York Hospitals NHS Foundation Trust</t>
  </si>
  <si>
    <t>Yorkshire Ambulance Service NHS Trust</t>
  </si>
  <si>
    <t>Q33</t>
  </si>
  <si>
    <t>Chesterfield Royal Hospital NHS Foundation Trust</t>
  </si>
  <si>
    <t>5N6</t>
  </si>
  <si>
    <t>Derby Hospitals NHS Foundation Trust</t>
  </si>
  <si>
    <t>5N7</t>
  </si>
  <si>
    <t>Derbyshire Mental Health Services NHS Trust</t>
  </si>
  <si>
    <t>THE ROYAL WOLVERHAMPTON NHS TRUST</t>
  </si>
  <si>
    <t>RN103</t>
  </si>
  <si>
    <t>ANDOVER WAR MEMORIAL HOSPITAL</t>
  </si>
  <si>
    <t>RN101</t>
  </si>
  <si>
    <t>ROYAL HAMPSHIRE COUNTY HOSPITAL</t>
  </si>
  <si>
    <t>RN325</t>
  </si>
  <si>
    <t>GREAT WESTERN HOSPITAL</t>
  </si>
  <si>
    <t>BASINGSTOKE AND NORTH HAMPSHIRE NHS FOUNDATION TRUST</t>
  </si>
  <si>
    <t>RN506</t>
  </si>
  <si>
    <t>NORTH HAMPSHIRE HOSPITAL</t>
  </si>
  <si>
    <t>RN707</t>
  </si>
  <si>
    <t>DARENT VALLEY</t>
  </si>
  <si>
    <t>RNA01</t>
  </si>
  <si>
    <t>RUSSELLS HALL HOSPITAL</t>
  </si>
  <si>
    <t>RNHB1</t>
  </si>
  <si>
    <t>NEWHAM GENERAL HOSPITAL</t>
  </si>
  <si>
    <t>RNJ83</t>
  </si>
  <si>
    <t>THE LONDON CHEST HOSPITAL</t>
  </si>
  <si>
    <t>RNJM0</t>
  </si>
  <si>
    <t>ST. BARTHOLOMEW'S HOSPITAL</t>
  </si>
  <si>
    <t>RNJ12</t>
  </si>
  <si>
    <t>THE ROYAL LONDON HOSPITAL, WHITECHAPEL</t>
  </si>
  <si>
    <t>NORTH CUMBRIA ACUTE HOSPITALS NHS TRUST</t>
  </si>
  <si>
    <t>RNLBX</t>
  </si>
  <si>
    <t>WEST CUMBERLAND HOSPITAL</t>
  </si>
  <si>
    <t>RNLAY</t>
  </si>
  <si>
    <t>CUMBERLAND INFIRMARY</t>
  </si>
  <si>
    <t>RNQ51</t>
  </si>
  <si>
    <t>KETTERING GENERAL HOSPITAL</t>
  </si>
  <si>
    <t>RNS01</t>
  </si>
  <si>
    <t>NORTHAMPTON GENERAL HOSPITAL</t>
  </si>
  <si>
    <t>RNZ02</t>
  </si>
  <si>
    <t>SALISBURY DISTRICT HOSPITAL</t>
  </si>
  <si>
    <t>NORTHAMPTONSHIRE HEALTHCARE NHS TRUST</t>
  </si>
  <si>
    <t>RP1V4</t>
  </si>
  <si>
    <t>BERRYWOOD HOSPITAL</t>
  </si>
  <si>
    <t>RP1M5</t>
  </si>
  <si>
    <t>PENDERED CENTRE (RP1)</t>
  </si>
  <si>
    <t>RP1H1</t>
  </si>
  <si>
    <t>PRINCESS MARINA HOSPITAL (RP1)</t>
  </si>
  <si>
    <t>RP1A1</t>
  </si>
  <si>
    <t>ST. MARY'S HOSPITAL (RP1)</t>
  </si>
  <si>
    <t>RP401</t>
  </si>
  <si>
    <t>GREAT ORMOND STREET HOSPITAL - MAIN SITE</t>
  </si>
  <si>
    <t>RP5TR</t>
  </si>
  <si>
    <t>TICKHILL ROAD HOSPITAL (RP5)</t>
  </si>
  <si>
    <t>RP5MM</t>
  </si>
  <si>
    <t>MONTAGU HOSPITAL</t>
  </si>
  <si>
    <t>RP5BA</t>
  </si>
  <si>
    <t>BASSETLAW DISTRICT GENERAL HOSPITAL</t>
  </si>
  <si>
    <t>RP5DR</t>
  </si>
  <si>
    <t>DONCASTER ROYAL INFIRMARY</t>
  </si>
  <si>
    <t>RP600</t>
  </si>
  <si>
    <t>MOORFIELDS EYE HOSPITAL NHS TRUST</t>
  </si>
  <si>
    <t>RPA02</t>
  </si>
  <si>
    <t>MEDWAY MARITIME HOSPITAL</t>
  </si>
  <si>
    <t>RPC04</t>
  </si>
  <si>
    <t>QUEEN VICTORIA HOSPITAL (RPC)</t>
  </si>
  <si>
    <t>RPGAN</t>
  </si>
  <si>
    <t>GOLDIE LEIGH</t>
  </si>
  <si>
    <t>RPGAG</t>
  </si>
  <si>
    <t>MEMORIAL HOSPITAL</t>
  </si>
  <si>
    <t>RPGAH</t>
  </si>
  <si>
    <t>WOODLANDS UNIT</t>
  </si>
  <si>
    <t>RPGAB</t>
  </si>
  <si>
    <t>BRACTON CENTRE</t>
  </si>
  <si>
    <t>RPGAD</t>
  </si>
  <si>
    <t>GREENPARKS HOUSE</t>
  </si>
  <si>
    <t>RPGAE</t>
  </si>
  <si>
    <t>OXLEAS HOUSE</t>
  </si>
  <si>
    <t>WORTHING AND SOUTHLANDS HOSPITALS NHS TRUST</t>
  </si>
  <si>
    <t>RPL03</t>
  </si>
  <si>
    <t>SOUTHLANDS</t>
  </si>
  <si>
    <t>RPL04</t>
  </si>
  <si>
    <t>WORTHING HOSPITAL</t>
  </si>
  <si>
    <t>ROYAL WEST SUSSEX NHS TRUST</t>
  </si>
  <si>
    <t>RPR01</t>
  </si>
  <si>
    <t>ST RICHARDS HOSPITAL</t>
  </si>
  <si>
    <t>RPY01</t>
  </si>
  <si>
    <t>ROYAL MARSDEN HOSPITAL, CHELSEA</t>
  </si>
  <si>
    <t>RPY02</t>
  </si>
  <si>
    <t>ROYAL MARSDEN HOSPITAL, SUTTON</t>
  </si>
  <si>
    <t>RQ330</t>
  </si>
  <si>
    <t>PARKVIEW CLINIC</t>
  </si>
  <si>
    <t>RQ301</t>
  </si>
  <si>
    <t>BIRMINGHAM CHILDRENS HOSPITAL</t>
  </si>
  <si>
    <t>RQ601</t>
  </si>
  <si>
    <t>BROADGREEN SITE</t>
  </si>
  <si>
    <t>RQ617</t>
  </si>
  <si>
    <t>ROYAL LIVERPOOL SITE</t>
  </si>
  <si>
    <t>RQ8LJ</t>
  </si>
  <si>
    <t>ST. PETER'S HOSPITAL</t>
  </si>
  <si>
    <t>RQ8LK</t>
  </si>
  <si>
    <t>WILLIAM JULIEN COURTAULD HOSPITAL (RQ8)</t>
  </si>
  <si>
    <t>RQ8LH</t>
  </si>
  <si>
    <t>ST. JOHN'S HOSPITAL</t>
  </si>
  <si>
    <t>RQ8L0</t>
  </si>
  <si>
    <t>BROOMFIELD HOSPITAL</t>
  </si>
  <si>
    <t>RQM01</t>
  </si>
  <si>
    <t>CHELSEA &amp; WESTMINSTER HOSPITAL</t>
  </si>
  <si>
    <t>RQQ31</t>
  </si>
  <si>
    <t>HINCHINGBROOKE HOSPITAL</t>
  </si>
  <si>
    <t>RQWG0</t>
  </si>
  <si>
    <t>PRINCESS ALEXANDRA HOSPITAL</t>
  </si>
  <si>
    <t>RQXAA</t>
  </si>
  <si>
    <t>MARY SEACOLE</t>
  </si>
  <si>
    <t>RQX99</t>
  </si>
  <si>
    <t>HOMERTON UNIVERSITY HOSPITAL NHS TRUST</t>
  </si>
  <si>
    <t>RR109</t>
  </si>
  <si>
    <t>SOLIHULL HOSPITAL</t>
  </si>
  <si>
    <t>RR105</t>
  </si>
  <si>
    <t>GOOD HOPE HOSPITAL</t>
  </si>
  <si>
    <t>RR101</t>
  </si>
  <si>
    <t>BIRMINGHAM HEARTLANDS HOSPITAL</t>
  </si>
  <si>
    <t>RR7ER</t>
  </si>
  <si>
    <t>DUNSTON HILL HOSPITAL</t>
  </si>
  <si>
    <t>RR7EN</t>
  </si>
  <si>
    <t>QUEEN ELIZABETH HOSPITAL (RR7)</t>
  </si>
  <si>
    <t>RR807</t>
  </si>
  <si>
    <t>WHARFEDALE GENERAL HOSPITAL</t>
  </si>
  <si>
    <t>RR819</t>
  </si>
  <si>
    <t>CHAPEL ALLERTON HOSPITAL</t>
  </si>
  <si>
    <t>RR801</t>
  </si>
  <si>
    <t>LEEDS GENERAL INFIRMARY</t>
  </si>
  <si>
    <t>RR813</t>
  </si>
  <si>
    <t>ST JAMES'S UNIVERSITY HOSPITAL</t>
  </si>
  <si>
    <t>RRF04</t>
  </si>
  <si>
    <t>WHELLEY HOSPITAL</t>
  </si>
  <si>
    <t>RRF01</t>
  </si>
  <si>
    <t>LEIGH INFIRMARY</t>
  </si>
  <si>
    <t>RRF53</t>
  </si>
  <si>
    <t>WRIGHTINGTON HOSPITAL</t>
  </si>
  <si>
    <t>RRF02</t>
  </si>
  <si>
    <t>ROYAL ALBERT EDWARD INFIRMARY</t>
  </si>
  <si>
    <t>ROYAL ORTHOPAEDIC HOSPITAL NHS FOUNDATION TRUST</t>
  </si>
  <si>
    <t>RRJ05</t>
  </si>
  <si>
    <t>THE ROYAL ORTHOPAEDIC HOSPITAL</t>
  </si>
  <si>
    <t>RRK03</t>
  </si>
  <si>
    <t>SELLY OAK HOSPITAL</t>
  </si>
  <si>
    <t>RRK02</t>
  </si>
  <si>
    <t>UNIVERSITY COLLEGE LONDON NHS FOUNDATION TRUST</t>
  </si>
  <si>
    <t>RRV11</t>
  </si>
  <si>
    <t>ELIZABETH GARRETT ANDERSON HOSPITAL</t>
  </si>
  <si>
    <t>RRV30</t>
  </si>
  <si>
    <t>THE HEART HOSPITAL</t>
  </si>
  <si>
    <t>RRVNQ</t>
  </si>
  <si>
    <t>NATIONAL HOSPITAL NEUROLOGY/NEUROSURGERY</t>
  </si>
  <si>
    <t>RRV03</t>
  </si>
  <si>
    <t>NEW UNIVERSITY COLLEGE HOSPITAL</t>
  </si>
  <si>
    <t>RVL</t>
  </si>
  <si>
    <t>Agreed not to change MFF for 12/13</t>
  </si>
  <si>
    <t>Established 1 July 2011</t>
  </si>
  <si>
    <t>NR47</t>
  </si>
  <si>
    <t>M23 9LT</t>
  </si>
  <si>
    <t>M239</t>
  </si>
  <si>
    <t>M6 8HD</t>
  </si>
  <si>
    <t>M68</t>
  </si>
  <si>
    <t>M41 5SL</t>
  </si>
  <si>
    <t>M415</t>
  </si>
  <si>
    <t>BL4 0JR</t>
  </si>
  <si>
    <t>BL40</t>
  </si>
  <si>
    <t>OL6 9RW</t>
  </si>
  <si>
    <t>OL69</t>
  </si>
  <si>
    <t>SP10 3LB</t>
  </si>
  <si>
    <t>SP103</t>
  </si>
  <si>
    <t>SO22 5DG</t>
  </si>
  <si>
    <t>SO225</t>
  </si>
  <si>
    <t>SN3 6BB</t>
  </si>
  <si>
    <t>SN36</t>
  </si>
  <si>
    <t>RG24 9NA</t>
  </si>
  <si>
    <t>RG249</t>
  </si>
  <si>
    <t>DA2 8DA</t>
  </si>
  <si>
    <t>DA28</t>
  </si>
  <si>
    <t>DY1 2HQ</t>
  </si>
  <si>
    <t>DY12</t>
  </si>
  <si>
    <t>E13 8SL</t>
  </si>
  <si>
    <t>E138</t>
  </si>
  <si>
    <t>E2 9JX</t>
  </si>
  <si>
    <t>E29</t>
  </si>
  <si>
    <t>EC1A 7BE</t>
  </si>
  <si>
    <t>EC1A7</t>
  </si>
  <si>
    <t>E1 1BB</t>
  </si>
  <si>
    <t>E11</t>
  </si>
  <si>
    <t>CA28 8JG</t>
  </si>
  <si>
    <t>CA288</t>
  </si>
  <si>
    <t>CA2 7HY</t>
  </si>
  <si>
    <t>CA27</t>
  </si>
  <si>
    <t>NN16 8UZ</t>
  </si>
  <si>
    <t>NN168</t>
  </si>
  <si>
    <t>NN1 5BD</t>
  </si>
  <si>
    <t>NN15</t>
  </si>
  <si>
    <t>SP2 8BJ</t>
  </si>
  <si>
    <t>SP28</t>
  </si>
  <si>
    <t>NN5 6UD</t>
  </si>
  <si>
    <t>NN56</t>
  </si>
  <si>
    <t>NN5 6UH</t>
  </si>
  <si>
    <t>NN15 7PW</t>
  </si>
  <si>
    <t>NN157</t>
  </si>
  <si>
    <t>WC1N 3JH</t>
  </si>
  <si>
    <t>WC1N3</t>
  </si>
  <si>
    <t>DN4 8QN</t>
  </si>
  <si>
    <t>DN48</t>
  </si>
  <si>
    <t>S64 0AZ</t>
  </si>
  <si>
    <t>S640</t>
  </si>
  <si>
    <t>S81 0BD</t>
  </si>
  <si>
    <t>S810</t>
  </si>
  <si>
    <t>DN2 5LT</t>
  </si>
  <si>
    <t>DN25</t>
  </si>
  <si>
    <t>EC1V 2PD</t>
  </si>
  <si>
    <t>EC1V2</t>
  </si>
  <si>
    <t>ME7 5NY</t>
  </si>
  <si>
    <t>ME75</t>
  </si>
  <si>
    <t>RH19 3DZ</t>
  </si>
  <si>
    <t>RH193</t>
  </si>
  <si>
    <t>SE2 0AY</t>
  </si>
  <si>
    <t>SE20</t>
  </si>
  <si>
    <t>SE18 3RG</t>
  </si>
  <si>
    <t>SE183</t>
  </si>
  <si>
    <t>DA2 7WG</t>
  </si>
  <si>
    <t>DA27</t>
  </si>
  <si>
    <t>DA2 7AF</t>
  </si>
  <si>
    <t>BR6 8NY</t>
  </si>
  <si>
    <t>BN43 6TQ</t>
  </si>
  <si>
    <t>BN436</t>
  </si>
  <si>
    <t>BN11 2DH</t>
  </si>
  <si>
    <t>BN112</t>
  </si>
  <si>
    <t>PO19 6SE</t>
  </si>
  <si>
    <t>PO196</t>
  </si>
  <si>
    <t>SW3 6JJ</t>
  </si>
  <si>
    <t>SW36</t>
  </si>
  <si>
    <t>SM2 5PT</t>
  </si>
  <si>
    <t>SM25</t>
  </si>
  <si>
    <t>B13 8QE</t>
  </si>
  <si>
    <t>B138</t>
  </si>
  <si>
    <t>B4 6NH</t>
  </si>
  <si>
    <t>B46</t>
  </si>
  <si>
    <t>L14 3LB</t>
  </si>
  <si>
    <t>L7 8XP</t>
  </si>
  <si>
    <t>L78</t>
  </si>
  <si>
    <t>CM9 6EG</t>
  </si>
  <si>
    <t>CM96</t>
  </si>
  <si>
    <t>CM7 2LJ</t>
  </si>
  <si>
    <t>CM72</t>
  </si>
  <si>
    <t>CM2 9BG</t>
  </si>
  <si>
    <t>CM29</t>
  </si>
  <si>
    <t>CM1 7ET</t>
  </si>
  <si>
    <t>CM17</t>
  </si>
  <si>
    <t>SW10 9NH</t>
  </si>
  <si>
    <t>SW109</t>
  </si>
  <si>
    <t>PE29 6NT</t>
  </si>
  <si>
    <t>PE296</t>
  </si>
  <si>
    <t>CM20 1QX</t>
  </si>
  <si>
    <t>CM201</t>
  </si>
  <si>
    <t>E9 6SR</t>
  </si>
  <si>
    <t>E96</t>
  </si>
  <si>
    <t>B91 2JL</t>
  </si>
  <si>
    <t>B912</t>
  </si>
  <si>
    <t>B75 7RR</t>
  </si>
  <si>
    <t>B757</t>
  </si>
  <si>
    <t>B9 5SS</t>
  </si>
  <si>
    <t>B95</t>
  </si>
  <si>
    <t>NE11 9QT</t>
  </si>
  <si>
    <t>NE119</t>
  </si>
  <si>
    <t>NE9 6SX</t>
  </si>
  <si>
    <t>NE96</t>
  </si>
  <si>
    <t>LS21 2LY</t>
  </si>
  <si>
    <t>LS212</t>
  </si>
  <si>
    <t>LS7 4SA</t>
  </si>
  <si>
    <t>LS74</t>
  </si>
  <si>
    <t>LS1 3EX</t>
  </si>
  <si>
    <t>LS13</t>
  </si>
  <si>
    <t>LS9 7TF</t>
  </si>
  <si>
    <t>LS97</t>
  </si>
  <si>
    <t>WN1 3XD</t>
  </si>
  <si>
    <t>WN13</t>
  </si>
  <si>
    <t>WN7 1HS</t>
  </si>
  <si>
    <t>WN71</t>
  </si>
  <si>
    <t>WN6 9EP</t>
  </si>
  <si>
    <t>WN69</t>
  </si>
  <si>
    <t>WN1 2NN</t>
  </si>
  <si>
    <t>WN12</t>
  </si>
  <si>
    <t>B31 2AP</t>
  </si>
  <si>
    <t>B312</t>
  </si>
  <si>
    <t>B29 6JD</t>
  </si>
  <si>
    <t>B296</t>
  </si>
  <si>
    <t>B15 2TH</t>
  </si>
  <si>
    <t>NW1 2BU</t>
  </si>
  <si>
    <t>NW12</t>
  </si>
  <si>
    <t>W1G 8PH</t>
  </si>
  <si>
    <t>W1G8</t>
  </si>
  <si>
    <t>WC1N 3BG</t>
  </si>
  <si>
    <t>UB9 6JH</t>
  </si>
  <si>
    <t>UB96</t>
  </si>
  <si>
    <t>Provider Code</t>
  </si>
  <si>
    <t>Provider Name</t>
  </si>
  <si>
    <t>Type</t>
  </si>
  <si>
    <t>Payment Index Value for 2012-13</t>
  </si>
  <si>
    <t>RTQ</t>
  </si>
  <si>
    <t>2GETHER NHS FOUNDATION TRUST</t>
  </si>
  <si>
    <t>R1F</t>
  </si>
  <si>
    <t>ISLE OF WIGHT NHS TRUST</t>
  </si>
  <si>
    <t>RTV</t>
  </si>
  <si>
    <t>5 BOROUGHS PARTNERSHIP NHS TRUST</t>
  </si>
  <si>
    <t>REM</t>
  </si>
  <si>
    <t>AINTREE UNIVERSITY HOSPITALS NHS FOUNDATION TRUST</t>
  </si>
  <si>
    <t>RCF</t>
  </si>
  <si>
    <t>AIREDALE NHS TRUST</t>
  </si>
  <si>
    <t>RBS</t>
  </si>
  <si>
    <t>ALDER HEY CHILDREN'S NHS FOUNDATION TRUST</t>
  </si>
  <si>
    <t>RTK</t>
  </si>
  <si>
    <t>ASHFORD AND ST PETER'S HOSPITALS NHS TRUST</t>
  </si>
  <si>
    <t>RVN</t>
  </si>
  <si>
    <t>AVON AND WILTSHIRE MENTAL HEALTH PARTNERSHIP NHS TRUST</t>
  </si>
  <si>
    <t>RF4</t>
  </si>
  <si>
    <t>BARKING, HAVERING AND REDBRIDGE UNIVERSITY HOSPITALS NHS TRUST</t>
  </si>
  <si>
    <t>Discrepancy between calculated index and published MFF</t>
  </si>
  <si>
    <t>The Royal Marsden Hospital NHS Foundation Trust</t>
  </si>
  <si>
    <t>The Royal National Orthopaedic Hospital NHS Trust</t>
  </si>
  <si>
    <t>5K6</t>
  </si>
  <si>
    <t>University College London NHS Foundation Trust</t>
  </si>
  <si>
    <t>West London Mental Health NHS Trust</t>
  </si>
  <si>
    <t>West Middlesex University NHS Trust</t>
  </si>
  <si>
    <t>5HY</t>
  </si>
  <si>
    <t>SW3 6NP</t>
  </si>
  <si>
    <t>NE6 4QD</t>
  </si>
  <si>
    <t>NE64</t>
  </si>
  <si>
    <t>NE4 6BE</t>
  </si>
  <si>
    <t>NE46</t>
  </si>
  <si>
    <t>NE7 7DN</t>
  </si>
  <si>
    <t>NE77</t>
  </si>
  <si>
    <t>NE1 4LP</t>
  </si>
  <si>
    <t>NE14</t>
  </si>
  <si>
    <t>GL53 9DT</t>
  </si>
  <si>
    <t>GL539</t>
  </si>
  <si>
    <t>GL53 7AN</t>
  </si>
  <si>
    <t>GL537</t>
  </si>
  <si>
    <t>GL1 3NN</t>
  </si>
  <si>
    <t>GL13</t>
  </si>
  <si>
    <t>NE65 7RW</t>
  </si>
  <si>
    <t>NE657</t>
  </si>
  <si>
    <t>NE49 9AJ</t>
  </si>
  <si>
    <t>NE499</t>
  </si>
  <si>
    <t>NE29 8NH</t>
  </si>
  <si>
    <t>NE298</t>
  </si>
  <si>
    <t>NE61 2BT</t>
  </si>
  <si>
    <t>NE612</t>
  </si>
  <si>
    <t>TD15 1LT</t>
  </si>
  <si>
    <t>TD151</t>
  </si>
  <si>
    <t>NE66 2NS</t>
  </si>
  <si>
    <t>NE662</t>
  </si>
  <si>
    <t>NE24 1DX</t>
  </si>
  <si>
    <t>NE241</t>
  </si>
  <si>
    <t>NE46 1QJ</t>
  </si>
  <si>
    <t>NE461</t>
  </si>
  <si>
    <t>NE63 9JJ</t>
  </si>
  <si>
    <t>NE639</t>
  </si>
  <si>
    <t>DE22 3NE</t>
  </si>
  <si>
    <t>DE223</t>
  </si>
  <si>
    <t>DE1 2QY</t>
  </si>
  <si>
    <t>DE12</t>
  </si>
  <si>
    <t>Camden and Islington NHS Foundation Trust</t>
  </si>
  <si>
    <t>5K7</t>
  </si>
  <si>
    <t>Central and North West London MH NHS Foundation Trust</t>
  </si>
  <si>
    <t>Chelsea and Westminster Hospital NHS Foundation Trust</t>
  </si>
  <si>
    <t>5LA</t>
  </si>
  <si>
    <t>Ealing Hospital NHS Trust</t>
  </si>
  <si>
    <t>5HX</t>
  </si>
  <si>
    <t>East London NHS Foundation Trust</t>
  </si>
  <si>
    <t>Epsom and St Helier University Hospitals NHS Trust</t>
  </si>
  <si>
    <t>5M7</t>
  </si>
  <si>
    <t>Great Ormond Street Hospital NHS Trust</t>
  </si>
  <si>
    <t>Guy's and St Thomas' NHS Foundation Trust</t>
  </si>
  <si>
    <t>5LE</t>
  </si>
  <si>
    <t>Homerton University Hospital NHS Foundation Trust</t>
  </si>
  <si>
    <t>5C3</t>
  </si>
  <si>
    <t>Imperial College Healthcare NHS Trust</t>
  </si>
  <si>
    <t>5LC</t>
  </si>
  <si>
    <t>King's College Hospital NHS Foundation Trust</t>
  </si>
  <si>
    <t>5LD</t>
  </si>
  <si>
    <t>Kingston Hospital NHS Trust</t>
  </si>
  <si>
    <t>5A5</t>
  </si>
  <si>
    <t>London Ambulance Service NHS Trust</t>
  </si>
  <si>
    <t>Mayday Healthcare NHS Trust</t>
  </si>
  <si>
    <t>5K9</t>
  </si>
  <si>
    <t>Moorfields Eye Hospital NHS Foundation Trust</t>
  </si>
  <si>
    <t>5K8</t>
  </si>
  <si>
    <t>Newham University Hospital NHS Trust</t>
  </si>
  <si>
    <t>5C5</t>
  </si>
  <si>
    <t>North East London NHS Foundation Trust</t>
  </si>
  <si>
    <t>5NA</t>
  </si>
  <si>
    <t>North Middlesex University Hospital NHS Trust</t>
  </si>
  <si>
    <t>5C1</t>
  </si>
  <si>
    <t>North West London Hospitals NHS Trust</t>
  </si>
  <si>
    <t>5K5</t>
  </si>
  <si>
    <t>Oxleas NHS Foundation Trust</t>
  </si>
  <si>
    <t>5P9</t>
  </si>
  <si>
    <t>Royal Brompton and Harefield NHS Foundation Trust</t>
  </si>
  <si>
    <t>Royal Free Hampstead NHS Trust</t>
  </si>
  <si>
    <t>South London and Maudsley NHS Foundation Trust</t>
  </si>
  <si>
    <t>TAK</t>
  </si>
  <si>
    <t>South West London and St George's Mental Health NHS Trust</t>
  </si>
  <si>
    <t>5LG</t>
  </si>
  <si>
    <t>St George's Healthcare NHS Trust</t>
  </si>
  <si>
    <t>Tavistock and Portman NHS Foundation Trust</t>
  </si>
  <si>
    <t>The Hillingdon Hospital NHS Trust</t>
  </si>
  <si>
    <t>5AT</t>
  </si>
  <si>
    <t>The Lewisham Hospital NHS Trust</t>
  </si>
  <si>
    <t>5LF</t>
  </si>
  <si>
    <t>RWWWH</t>
  </si>
  <si>
    <t>WARRINGTON GEN HOSPITAL</t>
  </si>
  <si>
    <t>RWY02</t>
  </si>
  <si>
    <t>CALDERDALE ROYAL HOSPITAL</t>
  </si>
  <si>
    <t>RWY01</t>
  </si>
  <si>
    <t>HUDDERSFIELD ROYAL INFIRMARY</t>
  </si>
  <si>
    <t>RX1CC</t>
  </si>
  <si>
    <t>NOTTINGHAM CITY HOSPITAL</t>
  </si>
  <si>
    <t>RX1RA</t>
  </si>
  <si>
    <t>QUEEN'S MEDICAL CENTRE</t>
  </si>
  <si>
    <t>Whipps Cross University Hospital NHS Trust</t>
  </si>
  <si>
    <t>5NC</t>
  </si>
  <si>
    <t>Whittington Hospital NHS Trust</t>
  </si>
  <si>
    <t>Q37</t>
  </si>
  <si>
    <t>Ashford and St Peter's Hospitals NHS Trust</t>
  </si>
  <si>
    <t>5P5</t>
  </si>
  <si>
    <t>Brighton and Sussex University Hospitals NHS Trust</t>
  </si>
  <si>
    <t>5LQ</t>
  </si>
  <si>
    <t>Dartford and Gravesham NHS Trust</t>
  </si>
  <si>
    <t>East Kent Hospitals University NHS Foundation Trust</t>
  </si>
  <si>
    <t>5QA</t>
  </si>
  <si>
    <t>East Sussex Hospitals NHS Trust</t>
  </si>
  <si>
    <t>5P8</t>
  </si>
  <si>
    <t>Frimley Park Hospital NHS Foundation Trust</t>
  </si>
  <si>
    <t>Kent and Medway NHS and Social Care Partnership NHS Trust</t>
  </si>
  <si>
    <t>Maidstone and Tunbridge Wells NHS Trust</t>
  </si>
  <si>
    <t>Medway NHS Foundation Trust</t>
  </si>
  <si>
    <t>5L3</t>
  </si>
  <si>
    <t>Queen Victoria Hospital NHS Foundation Trust</t>
  </si>
  <si>
    <t>5P6</t>
  </si>
  <si>
    <t>RY6</t>
  </si>
  <si>
    <t>R1G</t>
  </si>
  <si>
    <t>LEEDS COMMUNITY HEALTHCARE NHS TRUST</t>
  </si>
  <si>
    <t>R1A</t>
  </si>
  <si>
    <t>WORCESTERSHIRE HEALTH AND CARE NHS TRUST</t>
  </si>
  <si>
    <t>R1H</t>
  </si>
  <si>
    <t>BARTS HEALTH NHS TRUST</t>
  </si>
  <si>
    <t>Previous providers</t>
  </si>
  <si>
    <t>ROYAL FREE LONDON NHS FOUNDATION TRUST</t>
  </si>
  <si>
    <t>THE HILLINGDON HOSPITALS NHS FOUNDATION TRUST</t>
  </si>
  <si>
    <t>Royal Berkshire NHS Foundation Trust</t>
  </si>
  <si>
    <t>5QF</t>
  </si>
  <si>
    <t>South Central Ambulance Service NHS Trust</t>
  </si>
  <si>
    <t>Southampton University Hospitals NHS Trust</t>
  </si>
  <si>
    <t>5L1</t>
  </si>
  <si>
    <t>Q39</t>
  </si>
  <si>
    <t>2Gether NHS Foundation Trust</t>
  </si>
  <si>
    <t>5QH</t>
  </si>
  <si>
    <t>Avon and Wiltshire Mental Health Partnership NHS Trust</t>
  </si>
  <si>
    <t>5QK</t>
  </si>
  <si>
    <t>Cornwall Partnership NHS Foundation Trust</t>
  </si>
  <si>
    <t>5QP</t>
  </si>
  <si>
    <t>Devon Partnership NHS Trust</t>
  </si>
  <si>
    <t>5QQ</t>
  </si>
  <si>
    <t>Dorset County Hospital NHS Foundation Trust</t>
  </si>
  <si>
    <t>5QM</t>
  </si>
  <si>
    <t>Dorset Health Care NHS Foundation Trust</t>
  </si>
  <si>
    <t>5QN</t>
  </si>
  <si>
    <t>Gloucestershire Hospitals NHS Foundation Trust</t>
  </si>
  <si>
    <t>Great Western Ambulance Service NHS Trust</t>
  </si>
  <si>
    <t>Great Western Hospitals NHS Foundation Trust</t>
  </si>
  <si>
    <t>5K3</t>
  </si>
  <si>
    <t>North Bristol NHS Trust</t>
  </si>
  <si>
    <t>5A3</t>
  </si>
  <si>
    <t>Northern Devon Healthcare NHS Trust</t>
  </si>
  <si>
    <t>Plymouth Hospitals NHS Trust</t>
  </si>
  <si>
    <t>5F1</t>
  </si>
  <si>
    <t>Poole Hospital NHS Foundation Trust</t>
  </si>
  <si>
    <t>Royal Bournemouth and Christchurch NHS Foundation Trust</t>
  </si>
  <si>
    <t>Royal Cornwall Hospitals NHS Trust</t>
  </si>
  <si>
    <t>Royal Devon and Exeter NHS Foundation Trust</t>
  </si>
  <si>
    <t>Royal Nat Hosp Rheumatic Diseases NHS Foundation Trust</t>
  </si>
  <si>
    <t>5FL</t>
  </si>
  <si>
    <t>Royal United Hospital Bath NHS Trust</t>
  </si>
  <si>
    <t>Salisbury NHS Foundation Trust</t>
  </si>
  <si>
    <t>Somerset Partnership NHS Foundation Trust</t>
  </si>
  <si>
    <t>5QL</t>
  </si>
  <si>
    <t>South Devon Healthcare NHS Foundation Trust</t>
  </si>
  <si>
    <t>TAL</t>
  </si>
  <si>
    <t>South West Ambulance Service NHS Trust</t>
  </si>
  <si>
    <t>Taunton and Somerset NHS Foundation Trust</t>
  </si>
  <si>
    <t>University Hospitals of Bristol NHS Foundation Trust</t>
  </si>
  <si>
    <t>5QJ</t>
  </si>
  <si>
    <t>Weston Area Health NHS Trust</t>
  </si>
  <si>
    <t>5M8</t>
  </si>
  <si>
    <t>Yeovil District Hospital NHS Foundation Trust</t>
  </si>
  <si>
    <t>5QV</t>
  </si>
  <si>
    <t>Hertfordshire PCT</t>
  </si>
  <si>
    <t>PCT by HQ postcode</t>
  </si>
  <si>
    <t>SHA</t>
  </si>
  <si>
    <t>Code</t>
  </si>
  <si>
    <t>Name</t>
  </si>
  <si>
    <t>ONS 2006 based 2009 resident population projections</t>
  </si>
  <si>
    <t>HERU 2007-2009 smoothed MFF (Table B col 7)</t>
  </si>
  <si>
    <t>Staff MFF: PCT</t>
  </si>
  <si>
    <t>Ambulance trust</t>
  </si>
  <si>
    <t>5ND</t>
  </si>
  <si>
    <t>County Durham PCT</t>
  </si>
  <si>
    <t>Darlington PCT</t>
  </si>
  <si>
    <t>Gateshead PCT</t>
  </si>
  <si>
    <t>Hartlepool PCT</t>
  </si>
  <si>
    <t>Middlesbrough PCT</t>
  </si>
  <si>
    <t>Newcastle PCT</t>
  </si>
  <si>
    <t>North Tyneside PCT</t>
  </si>
  <si>
    <t>TAC</t>
  </si>
  <si>
    <t>Northumberland Care Trust</t>
  </si>
  <si>
    <t>Redcar and Cleveland PCT</t>
  </si>
  <si>
    <t>South Tyneside PCT</t>
  </si>
  <si>
    <t>5E1</t>
  </si>
  <si>
    <t>Stockton-on-Tees Teaching PCT</t>
  </si>
  <si>
    <t>Sunderland Teaching PCT</t>
  </si>
  <si>
    <t>Ashton, Leigh and Wigan PCT</t>
  </si>
  <si>
    <t>Blackburn with Darwen PCT</t>
  </si>
  <si>
    <t>Blackpool PCT</t>
  </si>
  <si>
    <t>Bolton PCT</t>
  </si>
  <si>
    <t>Bury PCT</t>
  </si>
  <si>
    <t>Central and Eastern Cheshire PCT</t>
  </si>
  <si>
    <t>Central Lancashire PCT</t>
  </si>
  <si>
    <t>Cumbria PCT</t>
  </si>
  <si>
    <t>East Lancashire PCT</t>
  </si>
  <si>
    <t>5NM</t>
  </si>
  <si>
    <t>Halton and St Helens PCT</t>
  </si>
  <si>
    <t>5NQ</t>
  </si>
  <si>
    <t>Heywood, Middleton and Rochdale PCT</t>
  </si>
  <si>
    <t>Knowsley PCT</t>
  </si>
  <si>
    <t>Liverpool PCT</t>
  </si>
  <si>
    <t>Manchester PCT</t>
  </si>
  <si>
    <t>5NF</t>
  </si>
  <si>
    <t>North Lancashire PCT</t>
  </si>
  <si>
    <t>5J5</t>
  </si>
  <si>
    <t>Oldham PCT</t>
  </si>
  <si>
    <t>Salford PCT</t>
  </si>
  <si>
    <t>Sefton PCT</t>
  </si>
  <si>
    <t>Stockport PCT</t>
  </si>
  <si>
    <t>Tameside and Glossop PCT</t>
  </si>
  <si>
    <t>Trafford PCT</t>
  </si>
  <si>
    <t>Warrington PCT</t>
  </si>
  <si>
    <t>Western Cheshire PCT</t>
  </si>
  <si>
    <t>Wirral PCT</t>
  </si>
  <si>
    <t>Barnsley PCT</t>
  </si>
  <si>
    <t>Bradford and Airedale PCT</t>
  </si>
  <si>
    <t>5J6</t>
  </si>
  <si>
    <t>Calderdale PCT</t>
  </si>
  <si>
    <t>Doncaster PCT</t>
  </si>
  <si>
    <t>East Riding Of Yorkshire PCT</t>
  </si>
  <si>
    <t>Hull PCT</t>
  </si>
  <si>
    <t>Kirklees PCT</t>
  </si>
  <si>
    <t>Leeds PCT</t>
  </si>
  <si>
    <t>North East Lincolnshire PCT</t>
  </si>
  <si>
    <t>5EF</t>
  </si>
  <si>
    <t>North Lincolnshire PCT</t>
  </si>
  <si>
    <t>North Yorkshire and York PCT</t>
  </si>
  <si>
    <t>Rotherham PCT</t>
  </si>
  <si>
    <t>Sheffield PCT</t>
  </si>
  <si>
    <t>Wakefield District PCT</t>
  </si>
  <si>
    <t>5ET</t>
  </si>
  <si>
    <t>Bassetlaw PCT</t>
  </si>
  <si>
    <t>Derby City PCT</t>
  </si>
  <si>
    <t>Derbyshire County PCT</t>
  </si>
  <si>
    <t>Leicester City PCT</t>
  </si>
  <si>
    <t>5PA</t>
  </si>
  <si>
    <t>Leicestershire County and Rutland PCT</t>
  </si>
  <si>
    <t>Lincolnshire PCT</t>
  </si>
  <si>
    <t>Northamptonshire PCT</t>
  </si>
  <si>
    <t>Nottingham City PCT</t>
  </si>
  <si>
    <t>Nottinghamshire County PCT</t>
  </si>
  <si>
    <t>Birmingham East and North PCT</t>
  </si>
  <si>
    <t>Coventry Teaching PCT</t>
  </si>
  <si>
    <t>Dudley PCT</t>
  </si>
  <si>
    <t>Heart of Birmingham Teaching PCT</t>
  </si>
  <si>
    <t>Herefordshire PCT</t>
  </si>
  <si>
    <t>5PH</t>
  </si>
  <si>
    <t>NORTH ESSEX PARTNERSHIP NHS FOUNDATION TRUST</t>
  </si>
  <si>
    <t>RAP</t>
  </si>
  <si>
    <t>NORTH MIDDLESEX UNIVERSITY HOSPITAL NHS TRUST</t>
  </si>
  <si>
    <t>RLY</t>
  </si>
  <si>
    <t>NORTH STAFFORDSHIRE COMBINED HEALTHCARE NHS TRUST</t>
  </si>
  <si>
    <t>RVW</t>
  </si>
  <si>
    <t>NORTH TEES AND HARTLEPOOL NHS FOUNDATION TRUST</t>
  </si>
  <si>
    <t>RX7</t>
  </si>
  <si>
    <t>NORTH WEST AMBULANCE SERVICE NHS TRUST</t>
  </si>
  <si>
    <t>RV8</t>
  </si>
  <si>
    <t>NORTH WEST LONDON HOSPITALS NHS TRUST</t>
  </si>
  <si>
    <t>RNS</t>
  </si>
  <si>
    <t>NORTHAMPTON GENERAL HOSPITAL NHS TRUST</t>
  </si>
  <si>
    <t>RP1</t>
  </si>
  <si>
    <t>NORTHAMPTONSHIRE HEALTHCARE NHS FOUNDATION TRUST</t>
  </si>
  <si>
    <t>RBZ</t>
  </si>
  <si>
    <t>NORTHERN DEVON HEALTHCARE NHS TRUST</t>
  </si>
  <si>
    <t>RJL</t>
  </si>
  <si>
    <t>NORTHERN LINCOLNSHIRE AND GOOLE HOSPITALS NHS FOUNDATION TRUST</t>
  </si>
  <si>
    <t>RX4</t>
  </si>
  <si>
    <t>NORTHUMBERLAND, TYNE AND WEAR NHS FOUNDATION TRUST</t>
  </si>
  <si>
    <t>RTF</t>
  </si>
  <si>
    <t>NORTHUMBRIA HEALTHCARE NHS FOUNDATION TRUST</t>
  </si>
  <si>
    <t>RX1</t>
  </si>
  <si>
    <t>NOTTINGHAM UNIVERSITY HOSPITALS NHS TRUST</t>
  </si>
  <si>
    <t>RHA</t>
  </si>
  <si>
    <t>NOTTINGHAMSHIRE HEALTHCARE NHS TRUST</t>
  </si>
  <si>
    <t>RTH</t>
  </si>
  <si>
    <t>OXFORD UNIVERSITY HOSPITALS NHS TRUST</t>
  </si>
  <si>
    <t>RNU</t>
  </si>
  <si>
    <t>OXFORDSHIRE AND BUCKINGHAMSHIRE MENTAL HEALTH NHS FOUNDATION TRUST</t>
  </si>
  <si>
    <t>RHX</t>
  </si>
  <si>
    <t>OXFORDSHIRE LEARNING DISABILITY NHS TRUST</t>
  </si>
  <si>
    <t>RPG</t>
  </si>
  <si>
    <t>OXLEAS NHS FOUNDATION TRUST</t>
  </si>
  <si>
    <t>RGM</t>
  </si>
  <si>
    <t>PAPWORTH HOSPITAL NHS FOUNDATION TRUST</t>
  </si>
  <si>
    <t>RW6</t>
  </si>
  <si>
    <t>PENNINE ACUTE HOSPITALS NHS TRUST</t>
  </si>
  <si>
    <t>RT2</t>
  </si>
  <si>
    <t>PENNINE CARE NHS FOUNDATION TRUST</t>
  </si>
  <si>
    <t>RGN</t>
  </si>
  <si>
    <t>PETERBOROUGH AND STAMFORD HOSPITALS NHS FOUNDATION TRUST</t>
  </si>
  <si>
    <t>RK9</t>
  </si>
  <si>
    <t>PLYMOUTH HOSPITALS NHS TRUST</t>
  </si>
  <si>
    <t>RD3</t>
  </si>
  <si>
    <t>POOLE HOSPITAL NHS FOUNDATION TRUST</t>
  </si>
  <si>
    <t>RHU</t>
  </si>
  <si>
    <t>PORTSMOUTH HOSPITALS NHS TRUST</t>
  </si>
  <si>
    <t>RPC</t>
  </si>
  <si>
    <t>QUEEN VICTORIA HOSPITAL NHS FOUNDATION TRUST</t>
  </si>
  <si>
    <t>RL1</t>
  </si>
  <si>
    <t>ROBERT JONES AND AGNES HUNT ORTHOPAEDIC AND DISTRICT HOSPITAL NHS TRUST</t>
  </si>
  <si>
    <t>RXE</t>
  </si>
  <si>
    <t>ROTHERHAM, DONCASTER AND SOUTH HUMBER MENTAL HEALTH NHS FOUNDATION TRUST</t>
  </si>
  <si>
    <t>RHW</t>
  </si>
  <si>
    <t>ROYAL BERKSHIRE NHS FOUNDATION TRUST</t>
  </si>
  <si>
    <t>RMC</t>
  </si>
  <si>
    <t>ROYAL BOLTON HOSPITAL NHS FOUNDATION TRUST</t>
  </si>
  <si>
    <t>RT3</t>
  </si>
  <si>
    <t>ROYAL BROMPTON AND HAREFIELD NHS FOUNDATION TRUST</t>
  </si>
  <si>
    <t>REF</t>
  </si>
  <si>
    <t>ROYAL CORNWALL HOSPITALS NHS TRUST</t>
  </si>
  <si>
    <t>RH8</t>
  </si>
  <si>
    <t>ROYAL DEVON AND EXETER NHS FOUNDATION TRUST</t>
  </si>
  <si>
    <t>RAL</t>
  </si>
  <si>
    <t>ROYAL FREE HAMPSTEAD NHS TRUST</t>
  </si>
  <si>
    <t>RQ6</t>
  </si>
  <si>
    <t>ROYAL LIVERPOOL AND BROADGREEN UNIVERSITY HOSPITALS NHS TRUST</t>
  </si>
  <si>
    <t>RBB</t>
  </si>
  <si>
    <t>ROYAL NATIONAL HOSPITAL FOR RHEUMATIC DISEASES NHS FOUNDATION TRUST</t>
  </si>
  <si>
    <t>RAN</t>
  </si>
  <si>
    <t>ROYAL NATIONAL ORTHOPAEDIC HOSPITAL NHS TRUST</t>
  </si>
  <si>
    <t>RA2</t>
  </si>
  <si>
    <t>ROYAL SURREY COUNTY HOSPITAL NHS FOUNDATION TRUST</t>
  </si>
  <si>
    <t>RD1</t>
  </si>
  <si>
    <t>ROYAL UNITED HOSPITAL BATH NHS TRUST</t>
  </si>
  <si>
    <t>RM3</t>
  </si>
  <si>
    <t>SALFORD ROYAL NHS FOUNDATION TRUST</t>
  </si>
  <si>
    <t>RNZ</t>
  </si>
  <si>
    <t>SALISBURY NHS FOUNDATION TRUST</t>
  </si>
  <si>
    <t>RXK</t>
  </si>
  <si>
    <t>RNNBX</t>
  </si>
  <si>
    <t>WEST CUMBERLAND HOSPITAL (MENTAL HEALTH)</t>
  </si>
  <si>
    <t>RNNFH</t>
  </si>
  <si>
    <t>DANEGARTH, FURNESS GENERAL HOSPITAL</t>
  </si>
  <si>
    <t>RNNMP</t>
  </si>
  <si>
    <t>GILL RISE, ULVERSTON</t>
  </si>
  <si>
    <t>RNNWG</t>
  </si>
  <si>
    <t>KENTMERE WARD, WESTMORLAND GENERAL HOSPITAL</t>
  </si>
  <si>
    <t>RNU23</t>
  </si>
  <si>
    <t>FIENNES CENTRE</t>
  </si>
  <si>
    <t>RNU30</t>
  </si>
  <si>
    <t>LITTLEMORE HOSPITAL</t>
  </si>
  <si>
    <t>RNU33</t>
  </si>
  <si>
    <t>WARNEFORD HOSPITAL</t>
  </si>
  <si>
    <t>Leicestershire</t>
  </si>
  <si>
    <t>Northamptonshire</t>
  </si>
  <si>
    <t>West Midlands</t>
  </si>
  <si>
    <t>Hereford and Worcester</t>
  </si>
  <si>
    <t>Staffordshire</t>
  </si>
  <si>
    <t>Shropshire</t>
  </si>
  <si>
    <t>Warwickshire</t>
  </si>
  <si>
    <t>Bedfordshire</t>
  </si>
  <si>
    <t>Cambridgeshire</t>
  </si>
  <si>
    <t>Hertfordshire</t>
  </si>
  <si>
    <t>Norfolk</t>
  </si>
  <si>
    <t>Essex</t>
  </si>
  <si>
    <t>Suffolk</t>
  </si>
  <si>
    <t>Barking and Dagenham</t>
  </si>
  <si>
    <t>Barnet</t>
  </si>
  <si>
    <t>Bexley</t>
  </si>
  <si>
    <t>Brent</t>
  </si>
  <si>
    <t>Bromley</t>
  </si>
  <si>
    <t>Camden</t>
  </si>
  <si>
    <t>Hackney</t>
  </si>
  <si>
    <t>Croydon</t>
  </si>
  <si>
    <t>Ealing</t>
  </si>
  <si>
    <t>Enfield</t>
  </si>
  <si>
    <t>Greenwich</t>
  </si>
  <si>
    <t>Hammersmith and Fulham</t>
  </si>
  <si>
    <t>Haringey</t>
  </si>
  <si>
    <t>Harrow</t>
  </si>
  <si>
    <t>Havering</t>
  </si>
  <si>
    <t>Hillingdon</t>
  </si>
  <si>
    <t>Hounslow</t>
  </si>
  <si>
    <t>Islington</t>
  </si>
  <si>
    <t>Kensington and Chelsea</t>
  </si>
  <si>
    <t>Kingston upon Thames</t>
  </si>
  <si>
    <t>Lambeth</t>
  </si>
  <si>
    <t>Lewisham</t>
  </si>
  <si>
    <t>Newham</t>
  </si>
  <si>
    <t>Redbridge</t>
  </si>
  <si>
    <t>Richmond upon Thames</t>
  </si>
  <si>
    <t>Southwark</t>
  </si>
  <si>
    <t>Merton</t>
  </si>
  <si>
    <t>Tower Hamlets</t>
  </si>
  <si>
    <t>Waltham Forest</t>
  </si>
  <si>
    <t>Wandsworth</t>
  </si>
  <si>
    <t>City of Westminster</t>
  </si>
  <si>
    <t>East Sussex</t>
  </si>
  <si>
    <t>Kent</t>
  </si>
  <si>
    <t>Surrey</t>
  </si>
  <si>
    <t>West Sussex</t>
  </si>
  <si>
    <t>Berkshire</t>
  </si>
  <si>
    <t>Buckinghamshire</t>
  </si>
  <si>
    <t>Hampshire</t>
  </si>
  <si>
    <t>Isle of Wight</t>
  </si>
  <si>
    <t>Oxfordshire</t>
  </si>
  <si>
    <t>Avon</t>
  </si>
  <si>
    <t>Dorset</t>
  </si>
  <si>
    <t>Cornwall</t>
  </si>
  <si>
    <t>Devon</t>
  </si>
  <si>
    <t>Gloucestershire</t>
  </si>
  <si>
    <t>Somerset</t>
  </si>
  <si>
    <t>Wiltshire</t>
  </si>
  <si>
    <t>County average for NHS organisations missing Land Value or Areas (e.g. due to leases rather than owning land)</t>
  </si>
  <si>
    <t>Land index</t>
  </si>
  <si>
    <t>London trusts with a significant non-London site</t>
  </si>
  <si>
    <t>SiteName</t>
  </si>
  <si>
    <t>Site land area (Ha)</t>
  </si>
  <si>
    <t>2004 Land Value</t>
  </si>
  <si>
    <t>share of 2004 Land Value</t>
  </si>
  <si>
    <t>2008-09 Land Value</t>
  </si>
  <si>
    <t>Avail Beds</t>
  </si>
  <si>
    <t>share of beds</t>
  </si>
  <si>
    <t>Land Val / Ha</t>
  </si>
  <si>
    <t>Acitivity Weighted Land Index</t>
  </si>
  <si>
    <t>ROYAL MARSDEN CHELSEA</t>
  </si>
  <si>
    <t>ROYAL MARSDEN SUTTON</t>
  </si>
  <si>
    <t>HAREFIELD HOSPITAL</t>
  </si>
  <si>
    <t>ROYAL BROMPTON AND THE REST OF SW PROPERTIES</t>
  </si>
  <si>
    <t>Hampshire Hospitals NHS Trust</t>
  </si>
  <si>
    <t>Oxford University Hospitals</t>
  </si>
  <si>
    <t>South London Healthcare NHS Trust</t>
  </si>
  <si>
    <t>Western Sussex Hospitals NHS Trust</t>
  </si>
  <si>
    <t>Org name</t>
  </si>
  <si>
    <t>Significant London Site?</t>
  </si>
  <si>
    <t>Yes</t>
  </si>
  <si>
    <t>Corrected Land index</t>
  </si>
  <si>
    <t>RVNEQ</t>
  </si>
  <si>
    <t>CALLINGTON ROAD HOSPITAL</t>
  </si>
  <si>
    <t>RW401</t>
  </si>
  <si>
    <t>RATHBONE HOSPITAL</t>
  </si>
  <si>
    <t>RW402</t>
  </si>
  <si>
    <t>AINTREE SITE</t>
  </si>
  <si>
    <t>RW403</t>
  </si>
  <si>
    <t>HESKETH CENTRE</t>
  </si>
  <si>
    <t>RW404</t>
  </si>
  <si>
    <t>ASHWORTH HOSPITAL</t>
  </si>
  <si>
    <t>RW433</t>
  </si>
  <si>
    <t>TORBAY CARE TRUST</t>
  </si>
  <si>
    <t>TAL02</t>
  </si>
  <si>
    <t>BRIXHAM HOSPITAL</t>
  </si>
  <si>
    <t>TAL01</t>
  </si>
  <si>
    <t>PAIGNTON HOSPITAL</t>
  </si>
  <si>
    <t>ROYAL SURREY COUNTY HOSPITAL NHS TRUST</t>
  </si>
  <si>
    <t>RA299</t>
  </si>
  <si>
    <t>RA301</t>
  </si>
  <si>
    <t>WESTON GENERAL HOSPITAL</t>
  </si>
  <si>
    <t>RA430</t>
  </si>
  <si>
    <t>YEOVIL DISTRICT HOSPITAL</t>
  </si>
  <si>
    <t>RA708</t>
  </si>
  <si>
    <t>BRISTOL EYE HOSPITAL</t>
  </si>
  <si>
    <t>RA710</t>
  </si>
  <si>
    <t>BRISTOL HAEMATOLOGY &amp; ONCOLOGY CENTRE</t>
  </si>
  <si>
    <t>RA702</t>
  </si>
  <si>
    <t>BRISTOL GENERAL HOSPITAL</t>
  </si>
  <si>
    <t>RA723</t>
  </si>
  <si>
    <t>BRISTOL ROYAL HOSPITAL FOR CHILDREN</t>
  </si>
  <si>
    <t>RA707</t>
  </si>
  <si>
    <t>ST MICHAELS HOSPITAL (RA7)</t>
  </si>
  <si>
    <t>RA701</t>
  </si>
  <si>
    <t>BRISTOL ROYAL INFIRMARY</t>
  </si>
  <si>
    <t>THE ROYAL ORTHOPAEDIC HOSPITAL NHS FOUNDATION TRUST</t>
  </si>
  <si>
    <t>RL4</t>
  </si>
  <si>
    <t>THE ROYAL WOLVERHAMPTON HOSPITALS NHS TRUST</t>
  </si>
  <si>
    <t>RET</t>
  </si>
  <si>
    <t>THE WALTON CENTRE NHS FOUNDATION TRUST</t>
  </si>
  <si>
    <t>RKE</t>
  </si>
  <si>
    <t>THE WHITTINGTON HOSPITAL NHS TRUST</t>
  </si>
  <si>
    <t>RWD</t>
  </si>
  <si>
    <t>UNITED LINCOLNSHIRE HOSPITALS NHS TRUST</t>
  </si>
  <si>
    <t>RRV</t>
  </si>
  <si>
    <t>UNIVERSITY COLLEGE LONDON HOSPITALS NHS FOUNDATION TRUST</t>
  </si>
  <si>
    <t>RRK</t>
  </si>
  <si>
    <t>UNIVERSITY HOSPITAL BIRMINGHAM NHS FOUNDATION TRUST</t>
  </si>
  <si>
    <t>RJE</t>
  </si>
  <si>
    <t>GLOUCESTERSHIRE CARE SERVICES NHS TRUST</t>
  </si>
  <si>
    <t>Took over PCT provider services</t>
  </si>
  <si>
    <t>Source:</t>
  </si>
  <si>
    <t>Trust</t>
  </si>
  <si>
    <t>SHEFFIELD HEALTH &amp; SOCIAL CARE NHS FOUNDATION TRUST</t>
  </si>
  <si>
    <t>BRADFORD DISTRICT CARE NHS FOUNDATION TRUST</t>
  </si>
  <si>
    <t>KENT COMMUNITY HEALTH NHS FOUNDATION TRUST</t>
  </si>
  <si>
    <t>WESTERN SUSSEX HOSPITALS NHS FOUNDATION TRUST</t>
  </si>
  <si>
    <t>DERBYSHIRE COMMUNITY HEALTH SERVICES NHS FOUNDATION TRUST</t>
  </si>
  <si>
    <t>BRIDGEWATER COMMUNITY HEALTHCARE NHS FOUNDATION TRUST</t>
  </si>
  <si>
    <t>ROTHERHAM DONCASTER AND SOUTH HUMBER NHS FOUNDATION TRUST</t>
  </si>
  <si>
    <t>HERTFORDSHIRE PARTNERSHIP UNIVERSITY NHS FOUNDATION TRUST</t>
  </si>
  <si>
    <t>OXFORD UNIVERSITY HOSPITALS NHS FOUNDATION TRUST</t>
  </si>
  <si>
    <t>DERBY TEACHING HOSPITALS NHS FOUNDATION TRUST</t>
  </si>
  <si>
    <t>ROYAL BROMPTON &amp; HAREFIELD NHS FOUNDATION TRUST</t>
  </si>
  <si>
    <t>NORTH ESSEX PARTNERSHIP UNIVERSITY NHS FOUNDATION TRUST</t>
  </si>
  <si>
    <t>THE ROBERT JONES AND AGNES HUNT ORTHOPAEDIC HOSPITAL NHS FOUNDATION TRUST</t>
  </si>
  <si>
    <t>NORTHERN LINCOLNSHIRE AND GOOLE NHS FOUNDATION TRUST</t>
  </si>
  <si>
    <t>UNIVERSITY HOSPITALS OF NORTH MIDLANDS NHS TRUST</t>
  </si>
  <si>
    <t>ST GEORGE'S UNIVERSITY HOSPITALS NHS FOUNDATION TRUST</t>
  </si>
  <si>
    <t>LEWISHAM AND GREENWICH NHS TRUST</t>
  </si>
  <si>
    <t>NOTTINGHAMSHIRE HEALTHCARE NHS FOUNDATION TRUST</t>
  </si>
  <si>
    <t>AINTREE UNIVERSITY HOSPITAL NHS FOUNDATION TRUST</t>
  </si>
  <si>
    <t>FRIMLEY HEALTH NHS FOUNDATION TRUST</t>
  </si>
  <si>
    <t>MILTON KEYNES UNIVERSITY HOSPITAL NHS FOUNDATION TRUST</t>
  </si>
  <si>
    <t>ROYAL UNITED HOSPITALS BATH NHS FOUNDATION TRUST</t>
  </si>
  <si>
    <t>LUTON AND DUNSTABLE UNIVERSITY HOSPITAL NHS FOUNDATION TRUST</t>
  </si>
  <si>
    <t>LIVERPOOL HEART AND CHEST HOSPITAL NHS FOUNDATION TRUST</t>
  </si>
  <si>
    <t>KINGSTON HOSPITAL NHS FOUNDATION TRUST</t>
  </si>
  <si>
    <t>TORBAY AND SOUTH DEVON NHS FOUNDATION TRUST</t>
  </si>
  <si>
    <t>LONDON NORTH WEST HEALTHCARE NHS TRUST</t>
  </si>
  <si>
    <t>R1K</t>
  </si>
  <si>
    <t>STAFFORDSHIRE AND STOKE ON TRENT PARTNERSHIP NHS TRUST</t>
  </si>
  <si>
    <t>Payment index value for 2016-17</t>
  </si>
  <si>
    <t>Different to the 2014/15 National Tariff</t>
  </si>
  <si>
    <t>2016-17 tariff - market forces factor (MFF)</t>
  </si>
  <si>
    <t>Total values for all organisations combination of PCT and Trust Land Data</t>
  </si>
  <si>
    <t>Land Data</t>
  </si>
  <si>
    <t>Worksheet: Buildings Data</t>
  </si>
  <si>
    <t>Location:\\connect2.monitor-nhsft.gov.uk\DavWWWRoot\sites\PricingDelivery\MonitorDocumentLibrary\Long Term Model Development\MFF</t>
  </si>
  <si>
    <t>Source: 20120430 MFF 2013-14 sheets.xls</t>
  </si>
  <si>
    <t>Bed Data</t>
  </si>
  <si>
    <t>Notes</t>
  </si>
  <si>
    <t>Merged Trust</t>
  </si>
  <si>
    <t>Merged payment MFF</t>
  </si>
  <si>
    <t>Check against MFF 2012-13 Target</t>
  </si>
  <si>
    <t>Check against 2014/15
published</t>
  </si>
  <si>
    <t>Original MFF</t>
  </si>
  <si>
    <t>Check</t>
  </si>
  <si>
    <t>Lowest underlying index value (Cornwall)</t>
  </si>
  <si>
    <t>Overall</t>
  </si>
  <si>
    <t>Land (Method 2)</t>
  </si>
  <si>
    <t>Buildings</t>
  </si>
  <si>
    <t>Merged Underlying MFF</t>
  </si>
  <si>
    <t>MFF component weights</t>
  </si>
  <si>
    <t>Merged MFF values</t>
  </si>
  <si>
    <t>MFF components</t>
  </si>
  <si>
    <t>Method 1 is the original MFF method, Method 2 is the activity weighted method</t>
  </si>
  <si>
    <t>Explanation</t>
  </si>
  <si>
    <t>All organisations</t>
  </si>
  <si>
    <t>Calculated Land MFF
Method 2</t>
  </si>
  <si>
    <t>%</t>
  </si>
  <si>
    <t>Available Beds</t>
  </si>
  <si>
    <t>Calculated Land MFF
Method 1</t>
  </si>
  <si>
    <t>Land value per hectare</t>
  </si>
  <si>
    <t>Land value</t>
  </si>
  <si>
    <t>Land area (hectares)</t>
  </si>
  <si>
    <t>New M&amp;D MFF
(weighted by beds)</t>
  </si>
  <si>
    <t>M&amp;D MFF</t>
  </si>
  <si>
    <t>New Building MFF (weighted by beds)</t>
  </si>
  <si>
    <t>Previous Building MFF</t>
  </si>
  <si>
    <t>Buildings MFF</t>
  </si>
  <si>
    <t>New Staff MFF (weighted by beds)</t>
  </si>
  <si>
    <t>Previous Staff MFF</t>
  </si>
  <si>
    <t>Staff MFF</t>
  </si>
  <si>
    <t>Royal Free London NHS Foundation Trust merging with Barnet and Chase Farm Hospitals NHS Trust</t>
  </si>
  <si>
    <t>Old Building MFF (weighted by beds)</t>
  </si>
  <si>
    <t>Site</t>
  </si>
  <si>
    <t>Old Staff MFF (weighted by beds)</t>
  </si>
  <si>
    <t>Mid Staffordshire MFF Values (not part of Royal Wolverhampton)</t>
  </si>
  <si>
    <t>Total:</t>
  </si>
  <si>
    <t>Cannock</t>
  </si>
  <si>
    <t>Stafford</t>
  </si>
  <si>
    <t>Mid Staffordshire Total Land Value was 21,550 in the original MFF calculation, which is broken down as follows:</t>
  </si>
  <si>
    <t>Mid Staffordshire Land Area Data based on ERIC return from 2008/09</t>
  </si>
  <si>
    <t>Check against 2014/15 published</t>
  </si>
  <si>
    <t>Land (Method 1)</t>
  </si>
  <si>
    <t>The Royal Wolverhampton Hospitals NHS Trust (RL4)</t>
  </si>
  <si>
    <t>Mid Staffordshire NHS Foundation Trust (RJD) Redistribution</t>
  </si>
  <si>
    <t>Mid Staffordshire MFF Values (not part of UHNS)</t>
  </si>
  <si>
    <t>Mid Staffordshire Aggregate sites include Marconi Gate and Beaconside, which are being transferred to UNHS and incorporated into Staffordshire General Hospital values</t>
  </si>
  <si>
    <t>University Hospital of North Staffordshire NHS Trust (RJE)</t>
  </si>
  <si>
    <t>Frimley Park Hospital NHS Foundation Trust (RDU) merging with Heatherwood &amp; Wexham Park Hospitals NHS Foundation Trust (RD7)</t>
  </si>
  <si>
    <t>Dissolution of Ealing Hospital NHS Trust (RC3) and the North West London Hospitals NHS Trust (RV8)</t>
  </si>
  <si>
    <t>The London North West Healthcare NHS Trust (R1K)</t>
  </si>
  <si>
    <t>Royal United Hospital Bath NHS Trust (RD1) merging with Royal National Hospital for Rheumatic Diseases NHS FT (RBB)</t>
  </si>
  <si>
    <t>Chelsea and Westminster Hospital NHS Foundation Trust (RQM) merging with West Middlesex University Hospital NHS Trust (RFW)</t>
  </si>
  <si>
    <t>With the move from PCTs, Torbay Care Trust (TAL) became Torbay and Southern Devon Health and Care NHS Trust</t>
  </si>
  <si>
    <t>South Devon Healthcare NHS Foundation Trust (RA9) merging with South Devon Healthcare NHS Foundation Trust (R1G)</t>
  </si>
  <si>
    <t>This work remains the sole and exclusive property of The Health and Social Care Information Centre and may only be reproduced where there is explicit reference to the ownership of The Health and Social Care Information Centre.</t>
  </si>
  <si>
    <t>Copyright © 2014 Health and Social Care Information Centre. All rights reserved.</t>
  </si>
  <si>
    <t>Generated on 29/10/2014 11:09</t>
  </si>
  <si>
    <t>kWh</t>
  </si>
  <si>
    <t>Non-fossil fuel Consumed - Renewable</t>
  </si>
  <si>
    <t>Electricity Consumed - Renewable</t>
  </si>
  <si>
    <t>Hot Water Consumed - Local</t>
  </si>
  <si>
    <t>Steam Consumed - Local</t>
  </si>
  <si>
    <t>Electricity Consumed - Local</t>
  </si>
  <si>
    <t>Coal Consumed - Utility</t>
  </si>
  <si>
    <t>Oil Consumed - Utility</t>
  </si>
  <si>
    <t>Gas Consumed - Utility</t>
  </si>
  <si>
    <t>Electricity Consumed - Utility</t>
  </si>
  <si>
    <t>Unit</t>
  </si>
  <si>
    <t>Energy - KWh</t>
  </si>
  <si>
    <t>No.</t>
  </si>
  <si>
    <t>Total parking spaces available for staff</t>
  </si>
  <si>
    <t>£</t>
  </si>
  <si>
    <t>Average fee charged per hour for Staff parking</t>
  </si>
  <si>
    <t>Total parking spaces available for patients/visitors</t>
  </si>
  <si>
    <t>Total disabled parking spaces</t>
  </si>
  <si>
    <t>Average fee charged per hour, over 3 hour period, for patient/visitor parking</t>
  </si>
  <si>
    <t>Total parking spaces available</t>
  </si>
  <si>
    <t>None</t>
  </si>
  <si>
    <t>Yes/No</t>
  </si>
  <si>
    <t>Visitor/Staff concession scheme provided</t>
  </si>
  <si>
    <t>Number of claims paid through the Healthcare Travel Costs Scheme</t>
  </si>
  <si>
    <t>Amount paid to patients and visitors through the Healthcare Travel Costs Scheme</t>
  </si>
  <si>
    <t>Car Parking</t>
  </si>
  <si>
    <t>Waste recovery/recycling cost</t>
  </si>
  <si>
    <t>Waste recovery/recycling volume</t>
  </si>
  <si>
    <t>Waste Electrical and Electronic Equipment (WEEE) Cost</t>
  </si>
  <si>
    <t>Tonnes</t>
  </si>
  <si>
    <t>Waste Electrical and Electronic Equipment (WEEE) Weight</t>
  </si>
  <si>
    <t>Landfill Disposal Waste Weight</t>
  </si>
  <si>
    <t>Non Burn Treatment (Alternative Treatment Plant) Disposal Waste Weight</t>
  </si>
  <si>
    <t>Total Waste Cost</t>
  </si>
  <si>
    <t>High Temperature Disposal Waste Cost</t>
  </si>
  <si>
    <t>High Temperature Disposal Waste Weight</t>
  </si>
  <si>
    <t>Waste</t>
  </si>
  <si>
    <t>Water Cost</t>
  </si>
  <si>
    <t>m³</t>
  </si>
  <si>
    <t>Water volume (including Borehole)</t>
  </si>
  <si>
    <t>Water Services</t>
  </si>
  <si>
    <t>GJ</t>
  </si>
  <si>
    <t>Non-fossil fuel Consumed</t>
  </si>
  <si>
    <t>Electricity Consumed</t>
  </si>
  <si>
    <t>Renewable Energy</t>
  </si>
  <si>
    <t>Hot Water Consumed</t>
  </si>
  <si>
    <t>Steam Consumed</t>
  </si>
  <si>
    <t>Energy - Local</t>
  </si>
  <si>
    <t>Total Energy Cost (all energy supplies, utility, local &amp; renewable)</t>
  </si>
  <si>
    <t>Coal Consumed</t>
  </si>
  <si>
    <t>Oil Consumed</t>
  </si>
  <si>
    <t>Gas Consumed</t>
  </si>
  <si>
    <t>Energy - Utility</t>
  </si>
  <si>
    <t>Total Exported thermal energy for the site</t>
  </si>
  <si>
    <t>Total Exported electricity for the site</t>
  </si>
  <si>
    <t>Total electrical energy output of the CHP system/s</t>
  </si>
  <si>
    <t>Total thermal energy output of the CHP system/s</t>
  </si>
  <si>
    <t>Total fossil energy input to the CHP system/s</t>
  </si>
  <si>
    <t>kW</t>
  </si>
  <si>
    <t>Total full load rating of the electrical generator plant</t>
  </si>
  <si>
    <t>Number of CHP units operated on the site</t>
  </si>
  <si>
    <t>CHP</t>
  </si>
  <si>
    <t>Risk Adjusted Backlog Cost</t>
  </si>
  <si>
    <t>Low Risk Backlog Cost</t>
  </si>
  <si>
    <t>Moderate Risk Backlog Cost</t>
  </si>
  <si>
    <t>Significant Risk Backlog Cost</t>
  </si>
  <si>
    <t>High Risk Backlog Cost</t>
  </si>
  <si>
    <t>Quality of Buildings</t>
  </si>
  <si>
    <t>Total Building Asset Value</t>
  </si>
  <si>
    <t>Building Asset Value by Age - pre 1948</t>
  </si>
  <si>
    <t>Building Asset Value by Age - 1948 to 1954</t>
  </si>
  <si>
    <t>Building Asset Value by Age - 1955 to 1964</t>
  </si>
  <si>
    <t>Building Asset Value by Age - 1965 to 1974</t>
  </si>
  <si>
    <t>Building Asset Value by Age - 1975 to 1984</t>
  </si>
  <si>
    <t>Building Asset Value by Age - 1985 to 1994</t>
  </si>
  <si>
    <t>Building Asset Value by Age - 1995 to 2004</t>
  </si>
  <si>
    <t>Building Asset Value by Age - 2005 to present</t>
  </si>
  <si>
    <t>Age Profile - Total (must equal 100%)</t>
  </si>
  <si>
    <t>Age Profile - pre 1948</t>
  </si>
  <si>
    <t>Age Profile - 1948 to 1954</t>
  </si>
  <si>
    <t>Age Profile - 1955 to 1964</t>
  </si>
  <si>
    <t>Age Profile - 1965 to 1974</t>
  </si>
  <si>
    <t>Age Profile - 1975 to 1984</t>
  </si>
  <si>
    <t>Age Profile - 1985 to 1994</t>
  </si>
  <si>
    <t>Age Profile - 1995 to 2004</t>
  </si>
  <si>
    <t>Age Profile - 2005 to present</t>
  </si>
  <si>
    <t>Age and Asset Profile</t>
  </si>
  <si>
    <t>Beds with Patient Power services</t>
  </si>
  <si>
    <t>Occupied beds</t>
  </si>
  <si>
    <t>Percentage of single bedrooms for patients</t>
  </si>
  <si>
    <t>Available beds</t>
  </si>
  <si>
    <t>Space utilisation</t>
  </si>
  <si>
    <t>Functional suitability</t>
  </si>
  <si>
    <t>Function and Space</t>
  </si>
  <si>
    <t>m²</t>
  </si>
  <si>
    <t>Non-patient occupied floor area</t>
  </si>
  <si>
    <t>Patient occupied floor area</t>
  </si>
  <si>
    <t>Hectare</t>
  </si>
  <si>
    <t>Site land area</t>
  </si>
  <si>
    <t>Site Building footprint</t>
  </si>
  <si>
    <t>Site Heated Volume</t>
  </si>
  <si>
    <t>NHS estate Occupied Floor Area</t>
  </si>
  <si>
    <t>Occupied floor area</t>
  </si>
  <si>
    <t>Gross internal site floor area</t>
  </si>
  <si>
    <t>Areas</t>
  </si>
  <si>
    <t>Returned to laundry</t>
  </si>
  <si>
    <t>Pieces per annum</t>
  </si>
  <si>
    <t>Laundry and Linen cost</t>
  </si>
  <si>
    <t>Value</t>
  </si>
  <si>
    <t>Laundry and Linen</t>
  </si>
  <si>
    <t>Gross cost of patient services</t>
  </si>
  <si>
    <t>Total patient main meals requested</t>
  </si>
  <si>
    <t>Food waste - untouched meals</t>
  </si>
  <si>
    <t>Cost of feeding one patient per day (patient meal day)</t>
  </si>
  <si>
    <t>Food Services</t>
  </si>
  <si>
    <t>WTE</t>
  </si>
  <si>
    <t>Number of cleaning staff</t>
  </si>
  <si>
    <t>Cleaning services costs</t>
  </si>
  <si>
    <t>Cleanliness</t>
  </si>
  <si>
    <t>False alarms</t>
  </si>
  <si>
    <t>Fires reported</t>
  </si>
  <si>
    <t>Fire Safety</t>
  </si>
  <si>
    <t>Grounds and Gardens maintenance costs</t>
  </si>
  <si>
    <t>Building and Engineering maintenance costs</t>
  </si>
  <si>
    <t>Estate Maintenance</t>
  </si>
  <si>
    <t>Miles</t>
  </si>
  <si>
    <t>Patient transport mileage</t>
  </si>
  <si>
    <t>No</t>
  </si>
  <si>
    <t>Yes/No/None</t>
  </si>
  <si>
    <t>Green transport plan</t>
  </si>
  <si>
    <t>Transport Services</t>
  </si>
  <si>
    <t>Staff who have undertaken customer-care training who required training</t>
  </si>
  <si>
    <t>Total number of staff employed in relation to the Facilities (Hotel Services) function</t>
  </si>
  <si>
    <t>Total number of staff employed in relation to the Estates function</t>
  </si>
  <si>
    <t>Total number of staff employed</t>
  </si>
  <si>
    <t>Investment to reduce Backlog Maintenance</t>
  </si>
  <si>
    <t>Total FM (Hotel Services) Costs</t>
  </si>
  <si>
    <t>Total Estates Service Costs</t>
  </si>
  <si>
    <t>Total Capital Investment</t>
  </si>
  <si>
    <t>Finance</t>
  </si>
  <si>
    <t>Value of Contracted out Services</t>
  </si>
  <si>
    <t>% of Estates and Hotel services Contracted Out</t>
  </si>
  <si>
    <t>Contracted Out Service</t>
  </si>
  <si>
    <t>Estates Development Strategy</t>
  </si>
  <si>
    <t>GP owned properties not being reported on</t>
  </si>
  <si>
    <t>Total Number of sites</t>
  </si>
  <si>
    <t>Number of sites - GP Properties</t>
  </si>
  <si>
    <t>Number of sites - Support Facilities</t>
  </si>
  <si>
    <t>Number of sites - Non-Hospital (Patient)</t>
  </si>
  <si>
    <t>Number of sites - Treatment Centres</t>
  </si>
  <si>
    <t>Number of sites - Community Hospital</t>
  </si>
  <si>
    <t>Number of sites - Specialist Hospital</t>
  </si>
  <si>
    <t>Number of sites - Long Stay Hospital</t>
  </si>
  <si>
    <t>Number of sites - Short Term Non-Acute Hospital</t>
  </si>
  <si>
    <t>Number of sites - Multi-service Hospital</t>
  </si>
  <si>
    <t>Number of sites - General Acute Hospital</t>
  </si>
  <si>
    <t>Trust Profile</t>
  </si>
  <si>
    <t>Printed 29/10/2014</t>
  </si>
  <si>
    <t>Trust Data Report</t>
  </si>
  <si>
    <t>2008/2009</t>
  </si>
  <si>
    <t>Reporting Year</t>
  </si>
  <si>
    <t>WEST MIDLANDS STRATEGIC HEALTH AUTHORITY</t>
  </si>
  <si>
    <t>Strategic Health Authority</t>
  </si>
  <si>
    <t>ACUTE - SMALL</t>
  </si>
  <si>
    <t>Trust Type</t>
  </si>
  <si>
    <t>Trust Code</t>
  </si>
  <si>
    <t>Trust Name</t>
  </si>
  <si>
    <t>Payment Index Value for 2014-15</t>
  </si>
  <si>
    <t>Payment Index Value for 2016-17</t>
  </si>
  <si>
    <t>Source worksheet: Buildings Data</t>
  </si>
  <si>
    <t>Trusts</t>
  </si>
  <si>
    <t>Ambulance Trusts</t>
  </si>
  <si>
    <t>Care Trusts</t>
  </si>
  <si>
    <t>Mergers and New Organisations formed prior to 2013-14</t>
  </si>
  <si>
    <t>Building MFF * population projection weight</t>
  </si>
  <si>
    <t>Staff MFF * population projection weight</t>
  </si>
  <si>
    <t>Payment index value for 2014-15</t>
  </si>
  <si>
    <t>ASHFORD AND ST. PETER'S HOSPITALS NHS FOUNDATION TRUST</t>
  </si>
  <si>
    <t>KENT COMMUNITY HEALTH NHS TRUST</t>
  </si>
  <si>
    <t>Rounding removed from Care Trust values</t>
  </si>
  <si>
    <t>Payment Index Value for 2013-14, excluding mergers</t>
  </si>
  <si>
    <t>Payment Index Value for 2013-14, including mergers</t>
  </si>
  <si>
    <t>South London only in 2014-15</t>
  </si>
  <si>
    <t>Payment Index Value for new/merged provider</t>
  </si>
  <si>
    <t>2013-14</t>
  </si>
  <si>
    <t>2014-15</t>
  </si>
  <si>
    <t>Payment Index Value for 2015-16</t>
  </si>
  <si>
    <t>2015-16</t>
  </si>
  <si>
    <t>2016-17</t>
  </si>
  <si>
    <t xml:space="preserve">THE LONDON NORTH WEST HEALTHCARE NHS TRUST </t>
  </si>
  <si>
    <t>2014-15 tariff - market forces factor (MFF)</t>
  </si>
  <si>
    <t>https://www.gov.uk/government/uploads/system/uploads/attachment_data/file/300552/Annex_6A_Market_Forces_Factor_payment_values.xlsx</t>
  </si>
  <si>
    <t>Although a calculation was made for 2014-15 that assumed absorption of some of the former South London Healthcare Trust, the original MFF was retained instead after the transaction as none of SLHT transferred to GSTT.</t>
  </si>
  <si>
    <t>First year that value applies</t>
  </si>
  <si>
    <t>Combined</t>
  </si>
  <si>
    <t>South London Healthcare</t>
  </si>
  <si>
    <t>Oxleas NHS FT</t>
  </si>
  <si>
    <t>New payment MFF</t>
  </si>
  <si>
    <t>New Underlying MFF</t>
  </si>
  <si>
    <t>New MFF values</t>
  </si>
  <si>
    <t>Queen Mary's Hospital</t>
  </si>
  <si>
    <t>% of QMS going to Oxleas</t>
  </si>
  <si>
    <t>Land under new rules</t>
  </si>
  <si>
    <t>New Payment MFF</t>
  </si>
  <si>
    <t>% of QMS going to GSTT</t>
  </si>
  <si>
    <t>M&amp;D * bed weight</t>
  </si>
  <si>
    <t>% of QMS going to Dartford</t>
  </si>
  <si>
    <t>Kings College</t>
  </si>
  <si>
    <t>* note that the land area and value figures used also include Orpington Hospital - it is not possible to further split the figures down into individual hospitals</t>
  </si>
  <si>
    <t>PRINCESS ROYAL UNIV. HOSPITAL*</t>
  </si>
  <si>
    <t>All trusts</t>
  </si>
  <si>
    <t>Bromley Hospitals</t>
  </si>
  <si>
    <t>Queen Elizabeth Hospitals</t>
  </si>
  <si>
    <t>Queen Mary's Sidcup</t>
  </si>
  <si>
    <t>Lowest underlying index value (Cornwall Partnership NHS Foundation Trust)</t>
  </si>
  <si>
    <t>% of QMS going to King's</t>
  </si>
  <si>
    <t>Source worksheet 2: index values</t>
  </si>
  <si>
    <t>Current MFF payment values (2013-14)</t>
  </si>
  <si>
    <t>Source worksheet 1: Land data</t>
  </si>
  <si>
    <t>Merged into R1H before 2013-14</t>
  </si>
  <si>
    <t>Merged into RYF on 1st Feb 2013</t>
  </si>
  <si>
    <t xml:space="preserve">Merged into RW1 November 2012 </t>
  </si>
  <si>
    <t>Mergers &amp; new Provs to 2013-14</t>
  </si>
  <si>
    <t>All Trusts</t>
  </si>
  <si>
    <t>Merged into RWN before 2013-14</t>
  </si>
  <si>
    <t>Merged 1st July 2012: Took over RCC Scarborough and NE Yorks</t>
  </si>
  <si>
    <t>Merged with RCB York Teaching Hospitals from 1st July 2012</t>
  </si>
  <si>
    <t>No MFF value published in Tariff Information spreadsheet for 2012-13. Established 1 April 2012, closed 30 September 2015.</t>
  </si>
  <si>
    <t>Established 22 March 2013</t>
  </si>
  <si>
    <t>Established 01 April 2011. No MFF value published in Tariff Information spreadsheet for 2012-13.</t>
  </si>
  <si>
    <t>Merged into R1A on 1 July 2011. MFF values published for 2012-13 referred to RWQ rather than R1A.</t>
  </si>
  <si>
    <t>Took over part of South London Healthcare 1 October 2013</t>
  </si>
  <si>
    <t xml:space="preserve">Took over RHX in November 2012 </t>
  </si>
  <si>
    <t>Established 1 July 2011, took over RWQ. MFF values published for 2012-13 referred to RWQ rather than R1A.</t>
  </si>
  <si>
    <t>Dissolved on 1 November 2013</t>
  </si>
  <si>
    <t>RVL merged into RAL 1 July 2014.</t>
  </si>
  <si>
    <t>RD7 merged into RDU 30 September 2014.</t>
  </si>
  <si>
    <t>RD7 merged into RDU 30 September 2014. Calculation for (published) s118/ETO 2015-16 used the original MFF method for Land; later revised to use Land method 2 (activity weighted) instead</t>
  </si>
  <si>
    <t>RL4 took over part of RJD 1 November 2014.</t>
  </si>
  <si>
    <t xml:space="preserve">RJE took over part of RJD 1 November 2014. Prior to that date, RJE was known as University Hospital of North Staffordshire NHS Trust (UHNS). </t>
  </si>
  <si>
    <t>Services transferred to RL4 and RJE 1 November 2014.</t>
  </si>
  <si>
    <t>Established 1 October 2014. RC3 and RV8 merged to become R1K.</t>
  </si>
  <si>
    <t>Dissolved 30 September 2014. RC3 and RV8 merged to become R1K.</t>
  </si>
  <si>
    <t>Dissolved 31 January 2015. Merged into RD1.</t>
  </si>
  <si>
    <t>Took over RD1 31 January 2015.</t>
  </si>
  <si>
    <t>Took over R1G 30 September 2015.</t>
  </si>
  <si>
    <t>Dissolved 31 August 2015. Merged into RQM Chelsea and Westminster.</t>
  </si>
  <si>
    <t>Established 1 April 2012. Agreed not to change MFF for 2012-13.</t>
  </si>
  <si>
    <t>Discrepancy between calculated index and published MFF for 2013-14 and 2014-15</t>
  </si>
  <si>
    <t>RFW West Middlesex dissolved 31 August 2015. Merged into RQM Chelsea and Westminster. Large % change in MFF is due to merger; MFF calculated for combined organisation.</t>
  </si>
  <si>
    <t>RVL merged into RAL 1 July 2014. Calculation for (published) s118/ETO 2015-16 used the original MFF method for Land; later revised to use Land method 2 (activity weighted) instead. Large % change in MFF is due to merger; MFF calculated for combined organisation.</t>
  </si>
  <si>
    <t>Model inputs</t>
  </si>
  <si>
    <t>Worksheet</t>
  </si>
  <si>
    <t>Overview</t>
  </si>
  <si>
    <t>Data source</t>
  </si>
  <si>
    <t>Model Outputs</t>
  </si>
  <si>
    <t>Data destination</t>
  </si>
  <si>
    <t>Linked Sheet</t>
  </si>
  <si>
    <t>Method &amp; Logic</t>
  </si>
  <si>
    <t>Analysis / calculations</t>
  </si>
  <si>
    <t>Additional Information</t>
  </si>
  <si>
    <t>Sheet Type</t>
  </si>
  <si>
    <t>Base MFF calcs</t>
  </si>
  <si>
    <t>PCT data</t>
  </si>
  <si>
    <t>Staff data</t>
  </si>
  <si>
    <t>M&amp;D data</t>
  </si>
  <si>
    <t>Buildings data</t>
  </si>
  <si>
    <t>Land data</t>
  </si>
  <si>
    <t>Other corrections needed</t>
  </si>
  <si>
    <t>Mergers &gt;&gt;</t>
  </si>
  <si>
    <t>Merged Trusts and MFF year</t>
  </si>
  <si>
    <t>Mergers for 2014-15 &gt;&gt;</t>
  </si>
  <si>
    <t>1.Summary</t>
  </si>
  <si>
    <t>Queen Mary to Oxleas</t>
  </si>
  <si>
    <t>QMS &amp; QE to Lewisham</t>
  </si>
  <si>
    <t>QMS to GSTT</t>
  </si>
  <si>
    <t>QMS to Dartford</t>
  </si>
  <si>
    <t>QMS &amp; PRUH to Kings</t>
  </si>
  <si>
    <t>Mergers for 2015-16 &gt;&gt;</t>
  </si>
  <si>
    <t>Royal Free + Barnet|Chase Farm</t>
  </si>
  <si>
    <t>Mid Staff|Royal Wolverhampton</t>
  </si>
  <si>
    <t>Mid Staff|UHNS</t>
  </si>
  <si>
    <t>Frimley + Heatherwood|Wexham</t>
  </si>
  <si>
    <t>London North West Trust</t>
  </si>
  <si>
    <t>RUH Bath + RNHRD</t>
  </si>
  <si>
    <t>RJD ERIC 2008|09</t>
  </si>
  <si>
    <t>Mergers for 2016-17 &gt;&gt;</t>
  </si>
  <si>
    <t>Chelsea Westminster+West Midsx</t>
  </si>
  <si>
    <t>South Devon + Torbay|Sthn Devon</t>
  </si>
  <si>
    <t>2014-15 MFF Payment values</t>
  </si>
  <si>
    <t>Department of Health</t>
  </si>
  <si>
    <t>Population, staff, building and land data within former PCT boundaries</t>
  </si>
  <si>
    <t>Bed data, interpolated MFF data and calculation of staff MFF for NHS secondary care provider sites</t>
  </si>
  <si>
    <t>Medical and dental MFF index, derived from staff numbers and workforce paybill</t>
  </si>
  <si>
    <t>Buildings MFF index, derived from bed numbers and BCLF ratios</t>
  </si>
  <si>
    <t>Land MFF index, derived from land area and land value</t>
  </si>
  <si>
    <t>Sheets to aid separation and presentation</t>
  </si>
  <si>
    <t>This worksheet calculates the underlying MFF values</t>
  </si>
  <si>
    <t>This worksheet lists the merged trusts and the first year in which the merged trust payment MFF index value applies</t>
  </si>
  <si>
    <t>Health and Social Care Information Centre</t>
  </si>
  <si>
    <t>This worksheet calculates the MFF index value for Royal Wolverhampton Hospital NHS Trust resulting from taking on some services from the former Mid-Staffordshire NHS Foundation Trust</t>
  </si>
  <si>
    <t>This worksheet calculates the MFF index value for University Hospitals of North Midlands NHS Trust resulting from taking on some services from the former Mid-Staffordshire NHS Foundation Trust</t>
  </si>
  <si>
    <t>Source: Finance Department, University Hospitals of North Midlands NHS Trust.</t>
  </si>
  <si>
    <t>see MEDS  Re: London weighting in RAT/002/001/001/004 Vol 3, Created 17/07/2007</t>
  </si>
  <si>
    <t>source: communication from 'Pay bill and workforce for hospital doctors' from DoH, 4-Jun 2010</t>
  </si>
  <si>
    <t>This worksheet calculates the MFF index value for Oxleas resulting from taking on some services from the former South London Healthcare NHS Trust</t>
  </si>
  <si>
    <t>This worksheet calculates the MFF index value for Lewisham Trust resulting from taking on some services from the former South London Healthcare NHS Trust</t>
  </si>
  <si>
    <t>This worksheet calculates the MFF index value for Guy's and ST Thomas NHS FT resulting from taking on some services from the former South London Healthcare NHS Trust</t>
  </si>
  <si>
    <t>This worksheet calculates the MFF index value for Dartford resulting from taking on some services from the former South London Healthcare NHS Trust</t>
  </si>
  <si>
    <t>This worksheet calculates the MFF index value for King's College Hospital resulting from taking on some services from the former South London Healthcare NHS Trust</t>
  </si>
  <si>
    <t>Financial data for the former Mid-Staffordshire NHS Foundation Trust</t>
  </si>
  <si>
    <t>This worksheet calculates the MFF index values for the combined trust resulting from the merger of Heatherwood And Wexham Park Hospitals NHS Foundation Trust into Frimley Park Hospital NHS Foundation Trust</t>
  </si>
  <si>
    <t>This worksheet calculates the MFF index values for the combined trust resulting from the merger of Ealing Hospital NHS Trust and North West London Hospitals NHS Trust</t>
  </si>
  <si>
    <t>This worksheet calculates the MFF index values for the combined trust resulting from the merger of South Devon Healthcare NHS Foundation Trust and Torbay and Southern Devon Health And Care NHS Trust</t>
  </si>
  <si>
    <t>This worksheet calculates the MFF index values for the combined trust resulting from the merger of Royal National Hospital For Rheumatic Diseases NHS Foundation Trust and Royal United Hospital Bath NHS Trust</t>
  </si>
  <si>
    <t>Bed, staff, building, M&amp;D and land data of hospital sites for former South London Healthcare NHS Trust and hospitals expected to take over its services</t>
  </si>
  <si>
    <t>This workbook consolidates the original 2013/14 MFF model from the DH with the MFF calculations/revisions due to mergers/dissolutions after the start of 2013/14.</t>
  </si>
  <si>
    <t>Errata that were discovered by the DH in the 2013/14 model</t>
  </si>
  <si>
    <t>Index values</t>
  </si>
  <si>
    <t xml:space="preserve">For support on any aspect of this review please e-mail pricing@monitor.gov.uk </t>
  </si>
  <si>
    <t xml:space="preserve">A document published by Monitor and NHS England which sets out the finalised contents of the national tariff. Its publication is followed by a statutory consultation period. </t>
  </si>
  <si>
    <t>Section 118</t>
  </si>
  <si>
    <t>Market forces factor</t>
  </si>
  <si>
    <t xml:space="preserve">MFF </t>
  </si>
  <si>
    <t>Acronym</t>
  </si>
  <si>
    <t>Glossary</t>
  </si>
  <si>
    <t>For support on any aspect of the prices please e-mail pricing@monitor.gov.uk</t>
  </si>
  <si>
    <t>Support</t>
  </si>
  <si>
    <t>2016/17 s.118 tariff consultation</t>
  </si>
  <si>
    <t>Introduction</t>
  </si>
  <si>
    <t>This worksheet calculates MFF Payment/Target values for 2012/13 based on the underlying MFF values, and calculates/selects the MFF for future years</t>
  </si>
  <si>
    <t>Payment index values for 2014/15</t>
  </si>
  <si>
    <t>This worksheet has the MFF index values for 2016/17</t>
  </si>
  <si>
    <t>This worksheet calculates the MFF index values first applying in 2013/14 for mergers and new providers</t>
  </si>
  <si>
    <t>This worksheet lists the MFF index values first applying in 2014/15 for Trusts which took on services resulting from the dissolution of South London Healthcare NHS Trust</t>
  </si>
  <si>
    <t>This worksheet calculates the MFF index values for the combined trust resulting from the merger of Barnet and Chase Farm Hospitals NHS Trust into The Royal Free London NHS Foundation Trust</t>
  </si>
  <si>
    <t>This worksheet calculates the MFF index values for the combined trust resulting from the merger of West Middlesex University Hospital NHS Trust into Chelsea and Westminster Hospital NHS Foundation Trust</t>
  </si>
  <si>
    <t>2016/17 National Tariff Payment System: Market Forces Factor calculation model</t>
  </si>
  <si>
    <t>Important note</t>
  </si>
  <si>
    <t>Base MFF Calculations</t>
  </si>
  <si>
    <t>A full description of the Market Forces Factor and the rationale and sources for its calculation can be found in the supporting document "A Guide to the Market Forces Factor"</t>
  </si>
  <si>
    <t>Published MFF was 1.048519</t>
  </si>
  <si>
    <t>2016/17 MFF calculation guidance notes</t>
  </si>
  <si>
    <t>ST HELENS AND KNOWSLEY HOSPITAL SERVICES NHS TRUST</t>
  </si>
</sst>
</file>

<file path=xl/styles.xml><?xml version="1.0" encoding="utf-8"?>
<styleSheet xmlns="http://schemas.openxmlformats.org/spreadsheetml/2006/main" xmlns:mc="http://schemas.openxmlformats.org/markup-compatibility/2006" xmlns:x14ac="http://schemas.microsoft.com/office/spreadsheetml/2009/9/ac" mc:Ignorable="x14ac">
  <numFmts count="25">
    <numFmt numFmtId="6" formatCode="&quot;£&quot;#,##0;[Red]\-&quot;£&quot;#,##0"/>
    <numFmt numFmtId="43" formatCode="_-* #,##0.00_-;\-* #,##0.00_-;_-* &quot;-&quot;??_-;_-@_-"/>
    <numFmt numFmtId="164" formatCode="_(&quot;$&quot;* #,##0.00_);_(&quot;$&quot;* \(#,##0.00\);_(&quot;$&quot;* &quot;-&quot;??_);_(@_)"/>
    <numFmt numFmtId="165" formatCode="0.000000"/>
    <numFmt numFmtId="166" formatCode="0.0000"/>
    <numFmt numFmtId="167" formatCode="#,##0_ ;[Red]\-#,##0\ "/>
    <numFmt numFmtId="168" formatCode="0.00000"/>
    <numFmt numFmtId="169" formatCode="0.0000000"/>
    <numFmt numFmtId="170" formatCode="0.00000000000000"/>
    <numFmt numFmtId="171" formatCode="#,##0.00_ ;[Red]\-#,##0.00\ "/>
    <numFmt numFmtId="172" formatCode="#,##0.0000_ ;[Red]\-#,##0.0000\ "/>
    <numFmt numFmtId="173" formatCode="0.0%"/>
    <numFmt numFmtId="174" formatCode="#,##0.0"/>
    <numFmt numFmtId="175" formatCode="0.0000000000000000000000000000"/>
    <numFmt numFmtId="176" formatCode="_-* #,##0.0000_-;\-* #,##0.0000_-;_-* &quot;-&quot;??_-;_-@_-"/>
    <numFmt numFmtId="177" formatCode="_-* #,##0.0000000_-;\-* #,##0.0000000_-;_-* &quot;-&quot;??_-;_-@_-"/>
    <numFmt numFmtId="178" formatCode="0.00000000000"/>
    <numFmt numFmtId="179" formatCode="_-* #,##0_-;\-* #,##0_-;_-* &quot;-&quot;??_-;_-@_-"/>
    <numFmt numFmtId="180" formatCode="#,##0.000000_ ;\-#,##0.000000\ "/>
    <numFmt numFmtId="181" formatCode="_-* #,##0.000_-;\-* #,##0.000_-;_-* &quot;-&quot;??_-;_-@_-"/>
    <numFmt numFmtId="182" formatCode="_-* #,##0.000000_-;\-* #,##0.000000_-;_-* &quot;-&quot;??_-;_-@_-"/>
    <numFmt numFmtId="183" formatCode="_-* #,##0.00000_-;\-* #,##0.00000_-;_-* &quot;-&quot;??_-;_-@_-"/>
    <numFmt numFmtId="184" formatCode="#,##0.0000"/>
    <numFmt numFmtId="185" formatCode="0.000000000"/>
    <numFmt numFmtId="186" formatCode="0.0"/>
  </numFmts>
  <fonts count="49"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sz val="8"/>
      <name val="Arial"/>
      <family val="2"/>
    </font>
    <font>
      <b/>
      <sz val="8"/>
      <name val="Arial"/>
      <family val="2"/>
    </font>
    <font>
      <b/>
      <sz val="10"/>
      <name val="Arial"/>
      <family val="2"/>
    </font>
    <font>
      <sz val="8"/>
      <color indexed="81"/>
      <name val="Tahoma"/>
      <family val="2"/>
    </font>
    <font>
      <b/>
      <sz val="8"/>
      <color indexed="81"/>
      <name val="Tahoma"/>
      <family val="2"/>
    </font>
    <font>
      <b/>
      <sz val="8"/>
      <name val="Arial"/>
      <family val="2"/>
    </font>
    <font>
      <sz val="10"/>
      <name val="Arial"/>
      <family val="2"/>
    </font>
    <font>
      <b/>
      <sz val="8"/>
      <color indexed="10"/>
      <name val="Arial"/>
      <family val="2"/>
    </font>
    <font>
      <sz val="8"/>
      <name val="Arial"/>
      <family val="2"/>
    </font>
    <font>
      <sz val="8"/>
      <color theme="1"/>
      <name val="Arial"/>
      <family val="2"/>
    </font>
    <font>
      <sz val="8"/>
      <color rgb="FFFF0000"/>
      <name val="Arial"/>
      <family val="2"/>
    </font>
    <font>
      <b/>
      <sz val="11"/>
      <color theme="1"/>
      <name val="Calibri"/>
      <family val="2"/>
      <scheme val="minor"/>
    </font>
    <font>
      <sz val="10"/>
      <name val="Arial"/>
      <family val="2"/>
    </font>
    <font>
      <b/>
      <u/>
      <sz val="10"/>
      <name val="Arial"/>
      <family val="2"/>
    </font>
    <font>
      <u/>
      <sz val="10"/>
      <color theme="10"/>
      <name val="Arial"/>
      <family val="2"/>
    </font>
    <font>
      <i/>
      <sz val="10"/>
      <name val="Arial"/>
      <family val="2"/>
    </font>
    <font>
      <b/>
      <sz val="12"/>
      <color indexed="10"/>
      <name val="Arial"/>
      <family val="2"/>
    </font>
    <font>
      <b/>
      <sz val="12"/>
      <name val="Arial"/>
      <family val="2"/>
    </font>
    <font>
      <sz val="12"/>
      <name val="Arial"/>
      <family val="2"/>
    </font>
    <font>
      <sz val="10"/>
      <color theme="1"/>
      <name val="Arial"/>
      <family val="2"/>
    </font>
    <font>
      <b/>
      <sz val="18"/>
      <color indexed="56"/>
      <name val="Cambria"/>
      <family val="2"/>
    </font>
    <font>
      <b/>
      <sz val="14"/>
      <color indexed="56"/>
      <name val="Cambria"/>
      <family val="2"/>
    </font>
    <font>
      <b/>
      <sz val="15"/>
      <color indexed="56"/>
      <name val="Calibri"/>
      <family val="2"/>
    </font>
    <font>
      <b/>
      <sz val="10"/>
      <color theme="1"/>
      <name val="Arial"/>
      <family val="2"/>
    </font>
    <font>
      <b/>
      <sz val="11"/>
      <color rgb="FFFF0000"/>
      <name val="Calibri"/>
      <family val="2"/>
      <scheme val="minor"/>
    </font>
    <font>
      <b/>
      <sz val="18"/>
      <color theme="1"/>
      <name val="Calibri"/>
      <family val="2"/>
      <scheme val="minor"/>
    </font>
    <font>
      <sz val="11"/>
      <name val="Calibri"/>
      <family val="2"/>
    </font>
    <font>
      <u/>
      <sz val="11"/>
      <color theme="10"/>
      <name val="Calibri"/>
      <family val="2"/>
      <scheme val="minor"/>
    </font>
    <font>
      <sz val="11"/>
      <color indexed="9"/>
      <name val="Calibri"/>
      <family val="2"/>
    </font>
    <font>
      <sz val="11"/>
      <color theme="1"/>
      <name val="Calibri"/>
      <family val="2"/>
    </font>
    <font>
      <b/>
      <sz val="11"/>
      <name val="Calibri"/>
      <family val="2"/>
    </font>
    <font>
      <u/>
      <sz val="11"/>
      <color theme="10"/>
      <name val="Calibri"/>
      <family val="2"/>
    </font>
    <font>
      <sz val="11"/>
      <color rgb="FF000000"/>
      <name val="Calibri"/>
      <family val="2"/>
      <scheme val="minor"/>
    </font>
    <font>
      <b/>
      <sz val="11"/>
      <name val="Calibri"/>
      <family val="2"/>
      <scheme val="minor"/>
    </font>
    <font>
      <sz val="11"/>
      <name val="Calibri"/>
      <family val="2"/>
      <scheme val="minor"/>
    </font>
    <font>
      <sz val="11"/>
      <name val="Arial"/>
      <family val="2"/>
    </font>
    <font>
      <sz val="11"/>
      <color rgb="FF000000"/>
      <name val="Calibri"/>
      <family val="2"/>
    </font>
    <font>
      <sz val="18"/>
      <color theme="1"/>
      <name val="Calibri"/>
      <family val="2"/>
      <scheme val="minor"/>
    </font>
    <font>
      <b/>
      <sz val="36"/>
      <name val="Arial"/>
      <family val="2"/>
    </font>
    <font>
      <b/>
      <sz val="13"/>
      <color theme="1"/>
      <name val="Calibri"/>
      <family val="2"/>
      <scheme val="minor"/>
    </font>
    <font>
      <b/>
      <sz val="14"/>
      <color theme="1"/>
      <name val="Calibri"/>
      <family val="2"/>
      <scheme val="minor"/>
    </font>
    <font>
      <sz val="10"/>
      <name val="Calibri"/>
      <family val="2"/>
      <scheme val="minor"/>
    </font>
  </fonts>
  <fills count="15">
    <fill>
      <patternFill patternType="none"/>
    </fill>
    <fill>
      <patternFill patternType="gray125"/>
    </fill>
    <fill>
      <patternFill patternType="solid">
        <fgColor indexed="41"/>
        <bgColor indexed="64"/>
      </patternFill>
    </fill>
    <fill>
      <patternFill patternType="solid">
        <fgColor indexed="9"/>
        <bgColor indexed="64"/>
      </patternFill>
    </fill>
    <fill>
      <patternFill patternType="solid">
        <fgColor rgb="FFFFFF00"/>
        <bgColor indexed="64"/>
      </patternFill>
    </fill>
    <fill>
      <patternFill patternType="solid">
        <fgColor indexed="22"/>
        <bgColor indexed="64"/>
      </patternFill>
    </fill>
    <fill>
      <patternFill patternType="solid">
        <fgColor indexed="55"/>
        <bgColor indexed="64"/>
      </patternFill>
    </fill>
    <fill>
      <patternFill patternType="solid">
        <fgColor indexed="44"/>
        <bgColor indexed="64"/>
      </patternFill>
    </fill>
    <fill>
      <patternFill patternType="solid">
        <fgColor indexed="42"/>
        <bgColor indexed="64"/>
      </patternFill>
    </fill>
    <fill>
      <patternFill patternType="solid">
        <fgColor theme="0" tint="-0.14999847407452621"/>
        <bgColor indexed="64"/>
      </patternFill>
    </fill>
    <fill>
      <patternFill patternType="solid">
        <fgColor theme="0"/>
        <bgColor indexed="64"/>
      </patternFill>
    </fill>
    <fill>
      <patternFill patternType="solid">
        <fgColor indexed="62"/>
        <bgColor indexed="64"/>
      </patternFill>
    </fill>
    <fill>
      <patternFill patternType="solid">
        <fgColor theme="9"/>
        <bgColor indexed="64"/>
      </patternFill>
    </fill>
    <fill>
      <patternFill patternType="solid">
        <fgColor rgb="FFFFFF00"/>
        <bgColor rgb="FF000000"/>
      </patternFill>
    </fill>
    <fill>
      <patternFill patternType="solid">
        <fgColor theme="6"/>
        <bgColor indexed="64"/>
      </patternFill>
    </fill>
  </fills>
  <borders count="72">
    <border>
      <left/>
      <right/>
      <top/>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bottom style="thick">
        <color indexed="62"/>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medium">
        <color indexed="64"/>
      </right>
      <top/>
      <bottom style="thin">
        <color indexed="64"/>
      </bottom>
      <diagonal/>
    </border>
    <border>
      <left style="thin">
        <color auto="1"/>
      </left>
      <right style="thin">
        <color auto="1"/>
      </right>
      <top style="thin">
        <color auto="1"/>
      </top>
      <bottom style="thin">
        <color auto="1"/>
      </bottom>
      <diagonal/>
    </border>
    <border>
      <left style="medium">
        <color indexed="64"/>
      </left>
      <right style="thin">
        <color theme="0" tint="-0.34998626667073579"/>
      </right>
      <top style="medium">
        <color indexed="64"/>
      </top>
      <bottom style="medium">
        <color indexed="64"/>
      </bottom>
      <diagonal/>
    </border>
    <border>
      <left style="thin">
        <color theme="0" tint="-0.34998626667073579"/>
      </left>
      <right style="thin">
        <color theme="0" tint="-0.34998626667073579"/>
      </right>
      <top style="medium">
        <color indexed="64"/>
      </top>
      <bottom style="medium">
        <color indexed="64"/>
      </bottom>
      <diagonal/>
    </border>
    <border>
      <left style="thin">
        <color theme="0" tint="-0.34998626667073579"/>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22">
    <xf numFmtId="0" fontId="0" fillId="0" borderId="0"/>
    <xf numFmtId="164" fontId="5" fillId="0" borderId="0" applyFont="0" applyFill="0" applyBorder="0" applyAlignment="0" applyProtection="0"/>
    <xf numFmtId="0" fontId="5" fillId="0" borderId="0"/>
    <xf numFmtId="9" fontId="5" fillId="0" borderId="0" applyFont="0" applyFill="0" applyBorder="0" applyAlignment="0" applyProtection="0"/>
    <xf numFmtId="43" fontId="5" fillId="0" borderId="0" applyFont="0" applyFill="0" applyBorder="0" applyAlignment="0" applyProtection="0"/>
    <xf numFmtId="9" fontId="19" fillId="0" borderId="0" applyFont="0" applyFill="0" applyBorder="0" applyAlignment="0" applyProtection="0"/>
    <xf numFmtId="0" fontId="4" fillId="0" borderId="0"/>
    <xf numFmtId="0" fontId="21" fillId="0" borderId="0" applyNumberForma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27" fillId="0" borderId="0" applyNumberFormat="0" applyFill="0" applyBorder="0" applyAlignment="0" applyProtection="0"/>
    <xf numFmtId="0" fontId="29" fillId="0" borderId="57" applyNumberFormat="0" applyFill="0" applyAlignment="0" applyProtection="0"/>
    <xf numFmtId="0" fontId="3" fillId="0" borderId="0"/>
    <xf numFmtId="9" fontId="3" fillId="0" borderId="0" applyFont="0" applyFill="0" applyBorder="0" applyAlignment="0" applyProtection="0"/>
    <xf numFmtId="0" fontId="2" fillId="0" borderId="0"/>
    <xf numFmtId="0" fontId="5" fillId="0" borderId="0"/>
    <xf numFmtId="0" fontId="1" fillId="0" borderId="0"/>
    <xf numFmtId="0" fontId="5" fillId="0" borderId="0"/>
    <xf numFmtId="0" fontId="34" fillId="0" borderId="0" applyNumberFormat="0" applyFill="0" applyBorder="0" applyAlignment="0" applyProtection="0"/>
    <xf numFmtId="0" fontId="1" fillId="0" borderId="0"/>
    <xf numFmtId="0" fontId="5" fillId="0" borderId="0"/>
  </cellStyleXfs>
  <cellXfs count="686">
    <xf numFmtId="0" fontId="0" fillId="0" borderId="0" xfId="0"/>
    <xf numFmtId="0" fontId="6" fillId="2" borderId="1" xfId="0" applyFont="1" applyFill="1" applyBorder="1" applyAlignment="1">
      <alignment vertical="center" wrapText="1"/>
    </xf>
    <xf numFmtId="0" fontId="0" fillId="3" borderId="2" xfId="0" applyFill="1" applyBorder="1"/>
    <xf numFmtId="0" fontId="6" fillId="3" borderId="2" xfId="0" applyFont="1" applyFill="1" applyBorder="1"/>
    <xf numFmtId="0" fontId="6" fillId="3" borderId="3" xfId="0" applyFont="1" applyFill="1" applyBorder="1"/>
    <xf numFmtId="0" fontId="6" fillId="3" borderId="4" xfId="0" applyFont="1" applyFill="1" applyBorder="1"/>
    <xf numFmtId="0" fontId="6" fillId="3" borderId="0" xfId="0" applyFont="1" applyFill="1"/>
    <xf numFmtId="0" fontId="6" fillId="3" borderId="0" xfId="0" applyFont="1" applyFill="1" applyBorder="1"/>
    <xf numFmtId="0" fontId="8" fillId="3" borderId="2" xfId="0" applyFont="1" applyFill="1" applyBorder="1"/>
    <xf numFmtId="171" fontId="8" fillId="3" borderId="2" xfId="0" applyNumberFormat="1" applyFont="1" applyFill="1" applyBorder="1"/>
    <xf numFmtId="171" fontId="8" fillId="3" borderId="2" xfId="0" applyNumberFormat="1" applyFont="1" applyFill="1" applyBorder="1" applyAlignment="1">
      <alignment vertical="top" wrapText="1"/>
    </xf>
    <xf numFmtId="167" fontId="8" fillId="3" borderId="2" xfId="0" applyNumberFormat="1" applyFont="1" applyFill="1" applyBorder="1"/>
    <xf numFmtId="173" fontId="6" fillId="3" borderId="2" xfId="3" applyNumberFormat="1" applyFont="1" applyFill="1" applyBorder="1"/>
    <xf numFmtId="0" fontId="6" fillId="3" borderId="0" xfId="0" applyFont="1" applyFill="1" applyAlignment="1">
      <alignment horizontal="center"/>
    </xf>
    <xf numFmtId="0" fontId="8" fillId="3" borderId="0" xfId="0" applyFont="1" applyFill="1" applyBorder="1"/>
    <xf numFmtId="0" fontId="6" fillId="2" borderId="5" xfId="0" applyFont="1" applyFill="1" applyBorder="1" applyAlignment="1">
      <alignment vertical="center" wrapText="1"/>
    </xf>
    <xf numFmtId="166" fontId="6" fillId="3" borderId="2" xfId="0" applyNumberFormat="1" applyFont="1" applyFill="1" applyBorder="1"/>
    <xf numFmtId="166" fontId="6" fillId="3" borderId="2" xfId="3" applyNumberFormat="1" applyFont="1" applyFill="1" applyBorder="1"/>
    <xf numFmtId="166" fontId="6" fillId="3" borderId="2" xfId="0" applyNumberFormat="1" applyFont="1" applyFill="1" applyBorder="1" applyAlignment="1">
      <alignment vertical="center"/>
    </xf>
    <xf numFmtId="0" fontId="0" fillId="3" borderId="0" xfId="0" applyFill="1"/>
    <xf numFmtId="0" fontId="9" fillId="3" borderId="0" xfId="0" applyFont="1" applyFill="1"/>
    <xf numFmtId="0" fontId="0" fillId="3" borderId="7" xfId="0" applyFill="1" applyBorder="1"/>
    <xf numFmtId="3" fontId="0" fillId="3" borderId="7" xfId="0" applyNumberFormat="1" applyFill="1" applyBorder="1"/>
    <xf numFmtId="0" fontId="0" fillId="3" borderId="8" xfId="0" applyFill="1" applyBorder="1"/>
    <xf numFmtId="166" fontId="0" fillId="3" borderId="0" xfId="0" applyNumberFormat="1" applyFill="1" applyBorder="1"/>
    <xf numFmtId="4" fontId="0" fillId="3" borderId="9" xfId="0" applyNumberFormat="1" applyFill="1" applyBorder="1"/>
    <xf numFmtId="2" fontId="0" fillId="3" borderId="8" xfId="0" applyNumberFormat="1" applyFill="1" applyBorder="1"/>
    <xf numFmtId="3" fontId="0" fillId="3" borderId="0" xfId="0" applyNumberFormat="1" applyFill="1" applyBorder="1"/>
    <xf numFmtId="174" fontId="0" fillId="3" borderId="0" xfId="0" applyNumberFormat="1" applyFill="1" applyBorder="1"/>
    <xf numFmtId="0" fontId="0" fillId="3" borderId="9" xfId="0" applyFill="1" applyBorder="1"/>
    <xf numFmtId="0" fontId="5" fillId="3" borderId="7" xfId="0" applyFont="1" applyFill="1" applyBorder="1"/>
    <xf numFmtId="3" fontId="5" fillId="3" borderId="7" xfId="0" applyNumberFormat="1" applyFont="1" applyFill="1" applyBorder="1"/>
    <xf numFmtId="0" fontId="5" fillId="3" borderId="8" xfId="0" applyFont="1" applyFill="1" applyBorder="1"/>
    <xf numFmtId="166" fontId="5" fillId="3" borderId="0" xfId="0" applyNumberFormat="1" applyFont="1" applyFill="1" applyBorder="1"/>
    <xf numFmtId="4" fontId="5" fillId="3" borderId="9" xfId="0" applyNumberFormat="1" applyFont="1" applyFill="1" applyBorder="1"/>
    <xf numFmtId="2" fontId="5" fillId="3" borderId="8" xfId="0" applyNumberFormat="1" applyFont="1" applyFill="1" applyBorder="1"/>
    <xf numFmtId="3" fontId="5" fillId="3" borderId="0" xfId="0" applyNumberFormat="1" applyFont="1" applyFill="1" applyBorder="1"/>
    <xf numFmtId="174" fontId="5" fillId="3" borderId="0" xfId="0" applyNumberFormat="1" applyFont="1" applyFill="1" applyBorder="1"/>
    <xf numFmtId="0" fontId="5" fillId="3" borderId="0" xfId="0" applyFont="1" applyFill="1"/>
    <xf numFmtId="0" fontId="0" fillId="3" borderId="10" xfId="0" applyFill="1" applyBorder="1"/>
    <xf numFmtId="167" fontId="5" fillId="3" borderId="10" xfId="2" applyNumberFormat="1" applyFont="1" applyFill="1" applyBorder="1"/>
    <xf numFmtId="3" fontId="0" fillId="3" borderId="10" xfId="0" applyNumberFormat="1" applyFill="1" applyBorder="1"/>
    <xf numFmtId="171" fontId="0" fillId="3" borderId="10" xfId="0" applyNumberFormat="1" applyFill="1" applyBorder="1"/>
    <xf numFmtId="0" fontId="0" fillId="3" borderId="11" xfId="0" applyFill="1" applyBorder="1"/>
    <xf numFmtId="166" fontId="0" fillId="3" borderId="12" xfId="0" applyNumberFormat="1" applyFill="1" applyBorder="1"/>
    <xf numFmtId="4" fontId="0" fillId="3" borderId="13" xfId="0" applyNumberFormat="1" applyFill="1" applyBorder="1"/>
    <xf numFmtId="2" fontId="0" fillId="3" borderId="11" xfId="0" applyNumberFormat="1" applyFill="1" applyBorder="1"/>
    <xf numFmtId="3" fontId="0" fillId="3" borderId="12" xfId="0" applyNumberFormat="1" applyFill="1" applyBorder="1"/>
    <xf numFmtId="174" fontId="0" fillId="3" borderId="12" xfId="0" applyNumberFormat="1" applyFill="1" applyBorder="1"/>
    <xf numFmtId="0" fontId="0" fillId="3" borderId="14" xfId="0" applyFill="1" applyBorder="1"/>
    <xf numFmtId="167" fontId="5" fillId="3" borderId="14" xfId="2" applyNumberFormat="1" applyFont="1" applyFill="1" applyBorder="1"/>
    <xf numFmtId="3" fontId="0" fillId="3" borderId="14" xfId="0" applyNumberFormat="1" applyFill="1" applyBorder="1"/>
    <xf numFmtId="0" fontId="0" fillId="3" borderId="15" xfId="0" applyFill="1" applyBorder="1"/>
    <xf numFmtId="166" fontId="0" fillId="3" borderId="16" xfId="0" applyNumberFormat="1" applyFill="1" applyBorder="1"/>
    <xf numFmtId="4" fontId="0" fillId="3" borderId="17" xfId="0" applyNumberFormat="1" applyFill="1" applyBorder="1"/>
    <xf numFmtId="2" fontId="0" fillId="3" borderId="15" xfId="0" applyNumberFormat="1" applyFill="1" applyBorder="1"/>
    <xf numFmtId="3" fontId="0" fillId="3" borderId="16" xfId="0" applyNumberFormat="1" applyFill="1" applyBorder="1"/>
    <xf numFmtId="174" fontId="0" fillId="3" borderId="16" xfId="0" applyNumberFormat="1" applyFill="1" applyBorder="1"/>
    <xf numFmtId="3" fontId="0" fillId="3" borderId="0" xfId="0" applyNumberFormat="1" applyFill="1"/>
    <xf numFmtId="2" fontId="0" fillId="3" borderId="0" xfId="0" applyNumberFormat="1" applyFill="1"/>
    <xf numFmtId="166" fontId="0" fillId="3" borderId="0" xfId="0" applyNumberFormat="1" applyFill="1"/>
    <xf numFmtId="0" fontId="0" fillId="3" borderId="0" xfId="0" applyFill="1" applyBorder="1"/>
    <xf numFmtId="4" fontId="0" fillId="3" borderId="0" xfId="0" applyNumberFormat="1" applyFill="1" applyBorder="1"/>
    <xf numFmtId="174" fontId="0" fillId="3" borderId="0" xfId="0" applyNumberFormat="1" applyFill="1"/>
    <xf numFmtId="4" fontId="0" fillId="3" borderId="0" xfId="0" applyNumberFormat="1" applyFill="1"/>
    <xf numFmtId="167" fontId="0" fillId="3" borderId="18" xfId="0" applyNumberFormat="1" applyFill="1" applyBorder="1" applyAlignment="1">
      <alignment vertical="center"/>
    </xf>
    <xf numFmtId="3" fontId="0" fillId="3" borderId="18" xfId="0" applyNumberFormat="1" applyFill="1" applyBorder="1"/>
    <xf numFmtId="0" fontId="0" fillId="3" borderId="18" xfId="0" applyFill="1" applyBorder="1"/>
    <xf numFmtId="0" fontId="0" fillId="3" borderId="19" xfId="0" applyFill="1" applyBorder="1"/>
    <xf numFmtId="166" fontId="0" fillId="3" borderId="20" xfId="0" applyNumberFormat="1" applyFill="1" applyBorder="1"/>
    <xf numFmtId="4" fontId="0" fillId="3" borderId="21" xfId="0" applyNumberFormat="1" applyFill="1" applyBorder="1"/>
    <xf numFmtId="2" fontId="0" fillId="3" borderId="19" xfId="0" applyNumberFormat="1" applyFill="1" applyBorder="1"/>
    <xf numFmtId="3" fontId="0" fillId="3" borderId="20" xfId="0" applyNumberFormat="1" applyFill="1" applyBorder="1"/>
    <xf numFmtId="174" fontId="0" fillId="3" borderId="20" xfId="0" applyNumberFormat="1" applyFill="1" applyBorder="1"/>
    <xf numFmtId="0" fontId="0" fillId="3" borderId="21" xfId="0" applyFill="1" applyBorder="1"/>
    <xf numFmtId="166" fontId="0" fillId="3" borderId="21" xfId="0" applyNumberFormat="1" applyFill="1" applyBorder="1"/>
    <xf numFmtId="2" fontId="9" fillId="3" borderId="19" xfId="0" applyNumberFormat="1" applyFont="1" applyFill="1" applyBorder="1" applyAlignment="1">
      <alignment horizontal="center" wrapText="1"/>
    </xf>
    <xf numFmtId="3" fontId="9" fillId="3" borderId="20" xfId="0" applyNumberFormat="1" applyFont="1" applyFill="1" applyBorder="1" applyAlignment="1">
      <alignment horizontal="center" wrapText="1"/>
    </xf>
    <xf numFmtId="174" fontId="9" fillId="3" borderId="20" xfId="0" applyNumberFormat="1" applyFont="1" applyFill="1" applyBorder="1" applyAlignment="1">
      <alignment vertical="center"/>
    </xf>
    <xf numFmtId="0" fontId="9" fillId="3" borderId="19" xfId="0" applyFont="1" applyFill="1" applyBorder="1" applyAlignment="1">
      <alignment horizontal="center" wrapText="1"/>
    </xf>
    <xf numFmtId="167" fontId="5" fillId="3" borderId="0" xfId="2" applyNumberFormat="1" applyFont="1" applyFill="1" applyBorder="1"/>
    <xf numFmtId="2" fontId="0" fillId="3" borderId="16" xfId="0" applyNumberFormat="1" applyFill="1" applyBorder="1"/>
    <xf numFmtId="165" fontId="9" fillId="3" borderId="20" xfId="0" applyNumberFormat="1" applyFont="1" applyFill="1" applyBorder="1" applyAlignment="1">
      <alignment vertical="center"/>
    </xf>
    <xf numFmtId="0" fontId="6" fillId="2" borderId="22" xfId="0" applyFont="1" applyFill="1" applyBorder="1" applyAlignment="1">
      <alignment horizontal="left" vertical="center" wrapText="1"/>
    </xf>
    <xf numFmtId="0" fontId="6" fillId="3" borderId="0" xfId="0" applyFont="1" applyFill="1" applyAlignment="1">
      <alignment horizontal="left"/>
    </xf>
    <xf numFmtId="0" fontId="9" fillId="2" borderId="18" xfId="0" applyFont="1" applyFill="1" applyBorder="1" applyAlignment="1">
      <alignment horizontal="left" wrapText="1"/>
    </xf>
    <xf numFmtId="0" fontId="9" fillId="2" borderId="18" xfId="0" applyFont="1" applyFill="1" applyBorder="1" applyAlignment="1">
      <alignment wrapText="1"/>
    </xf>
    <xf numFmtId="0" fontId="9" fillId="3" borderId="0" xfId="0" applyFont="1" applyFill="1" applyAlignment="1">
      <alignment wrapText="1"/>
    </xf>
    <xf numFmtId="166" fontId="0" fillId="3" borderId="10" xfId="0" applyNumberFormat="1" applyFill="1" applyBorder="1"/>
    <xf numFmtId="166" fontId="0" fillId="3" borderId="7" xfId="0" applyNumberFormat="1" applyFill="1" applyBorder="1"/>
    <xf numFmtId="166" fontId="0" fillId="3" borderId="14" xfId="0" applyNumberFormat="1" applyFill="1" applyBorder="1"/>
    <xf numFmtId="0" fontId="9" fillId="3" borderId="19" xfId="0" applyFont="1" applyFill="1" applyBorder="1" applyAlignment="1">
      <alignment horizontal="center" vertical="center" wrapText="1"/>
    </xf>
    <xf numFmtId="166" fontId="9" fillId="3" borderId="21" xfId="0" applyNumberFormat="1" applyFont="1" applyFill="1" applyBorder="1" applyAlignment="1">
      <alignment horizontal="center" vertical="center"/>
    </xf>
    <xf numFmtId="166" fontId="0" fillId="3" borderId="10" xfId="0" applyNumberFormat="1" applyFill="1" applyBorder="1" applyAlignment="1">
      <alignment horizontal="right"/>
    </xf>
    <xf numFmtId="166" fontId="0" fillId="3" borderId="7" xfId="0" applyNumberFormat="1" applyFill="1" applyBorder="1" applyAlignment="1">
      <alignment horizontal="right"/>
    </xf>
    <xf numFmtId="166" fontId="0" fillId="3" borderId="14" xfId="0" applyNumberFormat="1" applyFill="1" applyBorder="1" applyAlignment="1">
      <alignment horizontal="right"/>
    </xf>
    <xf numFmtId="0" fontId="0" fillId="3" borderId="0" xfId="0" applyFill="1" applyAlignment="1">
      <alignment horizontal="right"/>
    </xf>
    <xf numFmtId="0" fontId="9" fillId="3" borderId="0" xfId="0" applyFont="1" applyFill="1" applyAlignment="1">
      <alignment horizontal="left" wrapText="1"/>
    </xf>
    <xf numFmtId="0" fontId="9" fillId="2" borderId="18" xfId="0" applyFont="1" applyFill="1" applyBorder="1" applyAlignment="1"/>
    <xf numFmtId="0" fontId="9" fillId="3" borderId="19" xfId="0" applyFont="1" applyFill="1" applyBorder="1" applyAlignment="1">
      <alignment wrapText="1" shrinkToFit="1"/>
    </xf>
    <xf numFmtId="0" fontId="9" fillId="3" borderId="21" xfId="0" applyFont="1" applyFill="1" applyBorder="1" applyAlignment="1">
      <alignment vertical="center"/>
    </xf>
    <xf numFmtId="167" fontId="0" fillId="3" borderId="0" xfId="0" applyNumberFormat="1" applyFill="1"/>
    <xf numFmtId="173" fontId="7" fillId="3" borderId="0" xfId="3" applyNumberFormat="1" applyFont="1" applyFill="1"/>
    <xf numFmtId="172" fontId="0" fillId="3" borderId="0" xfId="0" applyNumberFormat="1" applyFill="1"/>
    <xf numFmtId="0" fontId="6" fillId="3" borderId="7" xfId="0" applyFont="1" applyFill="1" applyBorder="1" applyAlignment="1">
      <alignment vertical="center"/>
    </xf>
    <xf numFmtId="0" fontId="7" fillId="3" borderId="7" xfId="0" applyFont="1" applyFill="1" applyBorder="1" applyAlignment="1">
      <alignment vertical="center"/>
    </xf>
    <xf numFmtId="0" fontId="7" fillId="3" borderId="14" xfId="0" applyFont="1" applyFill="1" applyBorder="1" applyAlignment="1">
      <alignment vertical="center"/>
    </xf>
    <xf numFmtId="0" fontId="8" fillId="3" borderId="20" xfId="0" applyFont="1" applyFill="1" applyBorder="1" applyAlignment="1">
      <alignment horizontal="right" vertical="center"/>
    </xf>
    <xf numFmtId="0" fontId="9" fillId="3" borderId="21" xfId="0" applyFont="1" applyFill="1" applyBorder="1"/>
    <xf numFmtId="172" fontId="7" fillId="3" borderId="0" xfId="3" applyNumberFormat="1" applyFont="1" applyFill="1"/>
    <xf numFmtId="172" fontId="0" fillId="3" borderId="0" xfId="0" applyNumberFormat="1" applyFill="1" applyAlignment="1">
      <alignment vertical="top" wrapText="1"/>
    </xf>
    <xf numFmtId="172" fontId="0" fillId="3" borderId="7" xfId="0" applyNumberFormat="1" applyFill="1" applyBorder="1"/>
    <xf numFmtId="172" fontId="0" fillId="3" borderId="14" xfId="0" applyNumberFormat="1" applyFill="1" applyBorder="1"/>
    <xf numFmtId="0" fontId="9" fillId="2" borderId="18" xfId="0" applyFont="1" applyFill="1" applyBorder="1" applyAlignment="1">
      <alignment vertical="center" wrapText="1"/>
    </xf>
    <xf numFmtId="172" fontId="9" fillId="2" borderId="18" xfId="0" applyNumberFormat="1" applyFont="1" applyFill="1" applyBorder="1" applyAlignment="1">
      <alignment wrapText="1"/>
    </xf>
    <xf numFmtId="167" fontId="0" fillId="3" borderId="2" xfId="0" applyNumberFormat="1" applyFill="1" applyBorder="1" applyAlignment="1">
      <alignment vertical="top" wrapText="1"/>
    </xf>
    <xf numFmtId="0" fontId="0" fillId="3" borderId="2" xfId="0" applyFill="1" applyBorder="1" applyAlignment="1">
      <alignment wrapText="1"/>
    </xf>
    <xf numFmtId="172" fontId="0" fillId="3" borderId="2" xfId="0" applyNumberFormat="1" applyFill="1" applyBorder="1" applyAlignment="1">
      <alignment wrapText="1"/>
    </xf>
    <xf numFmtId="167" fontId="0" fillId="3" borderId="2" xfId="0" applyNumberFormat="1" applyFill="1" applyBorder="1"/>
    <xf numFmtId="172" fontId="0" fillId="3" borderId="2" xfId="0" applyNumberFormat="1" applyFill="1" applyBorder="1"/>
    <xf numFmtId="0" fontId="13" fillId="3" borderId="0" xfId="0" applyFont="1" applyFill="1"/>
    <xf numFmtId="0" fontId="13" fillId="3" borderId="2" xfId="0" applyFont="1" applyFill="1" applyBorder="1"/>
    <xf numFmtId="171" fontId="13" fillId="3" borderId="2" xfId="0" applyNumberFormat="1" applyFont="1" applyFill="1" applyBorder="1"/>
    <xf numFmtId="167" fontId="13" fillId="3" borderId="2" xfId="0" applyNumberFormat="1" applyFont="1" applyFill="1" applyBorder="1"/>
    <xf numFmtId="167" fontId="13" fillId="3" borderId="0" xfId="0" applyNumberFormat="1" applyFont="1" applyFill="1"/>
    <xf numFmtId="172" fontId="13" fillId="3" borderId="2" xfId="0" applyNumberFormat="1" applyFont="1" applyFill="1" applyBorder="1" applyAlignment="1">
      <alignment wrapText="1"/>
    </xf>
    <xf numFmtId="3" fontId="13" fillId="3" borderId="2" xfId="0" applyNumberFormat="1" applyFont="1" applyFill="1" applyBorder="1"/>
    <xf numFmtId="2" fontId="13" fillId="3" borderId="2" xfId="0" applyNumberFormat="1" applyFont="1" applyFill="1" applyBorder="1"/>
    <xf numFmtId="9" fontId="13" fillId="3" borderId="2" xfId="0" applyNumberFormat="1" applyFont="1" applyFill="1" applyBorder="1"/>
    <xf numFmtId="4" fontId="13" fillId="3" borderId="2" xfId="0" applyNumberFormat="1" applyFont="1" applyFill="1" applyBorder="1"/>
    <xf numFmtId="172" fontId="13" fillId="3" borderId="2" xfId="0" applyNumberFormat="1" applyFont="1" applyFill="1" applyBorder="1"/>
    <xf numFmtId="0" fontId="13" fillId="3" borderId="0" xfId="0" applyFont="1" applyFill="1" applyAlignment="1">
      <alignment horizontal="left"/>
    </xf>
    <xf numFmtId="167" fontId="13" fillId="3" borderId="0" xfId="2" applyNumberFormat="1" applyFont="1" applyFill="1" applyAlignment="1">
      <alignment horizontal="right" vertical="top" wrapText="1"/>
    </xf>
    <xf numFmtId="9" fontId="13" fillId="3" borderId="0" xfId="3" applyFont="1" applyFill="1"/>
    <xf numFmtId="2" fontId="13" fillId="3" borderId="0" xfId="0" applyNumberFormat="1" applyFont="1" applyFill="1"/>
    <xf numFmtId="2" fontId="13" fillId="3" borderId="0" xfId="0" applyNumberFormat="1" applyFont="1" applyFill="1" applyBorder="1" applyAlignment="1">
      <alignment vertical="top" wrapText="1"/>
    </xf>
    <xf numFmtId="2" fontId="13" fillId="3" borderId="0" xfId="0" applyNumberFormat="1" applyFont="1" applyFill="1" applyBorder="1" applyAlignment="1">
      <alignment vertical="top"/>
    </xf>
    <xf numFmtId="167" fontId="13" fillId="3" borderId="0" xfId="2" applyNumberFormat="1" applyFont="1" applyFill="1"/>
    <xf numFmtId="3" fontId="13" fillId="3" borderId="0" xfId="0" applyNumberFormat="1" applyFont="1" applyFill="1"/>
    <xf numFmtId="167" fontId="13" fillId="3" borderId="23" xfId="0" applyNumberFormat="1" applyFont="1" applyFill="1" applyBorder="1"/>
    <xf numFmtId="4" fontId="13" fillId="3" borderId="6" xfId="0" applyNumberFormat="1" applyFont="1" applyFill="1" applyBorder="1"/>
    <xf numFmtId="167" fontId="13" fillId="3" borderId="4" xfId="0" applyNumberFormat="1" applyFont="1" applyFill="1" applyBorder="1"/>
    <xf numFmtId="172" fontId="13" fillId="3" borderId="6" xfId="0" applyNumberFormat="1" applyFont="1" applyFill="1" applyBorder="1"/>
    <xf numFmtId="172" fontId="13" fillId="3" borderId="4" xfId="0" applyNumberFormat="1" applyFont="1" applyFill="1" applyBorder="1"/>
    <xf numFmtId="167" fontId="13" fillId="3" borderId="24" xfId="0" applyNumberFormat="1" applyFont="1" applyFill="1" applyBorder="1"/>
    <xf numFmtId="171" fontId="13" fillId="3" borderId="24" xfId="0" applyNumberFormat="1" applyFont="1" applyFill="1" applyBorder="1"/>
    <xf numFmtId="172" fontId="13" fillId="3" borderId="24" xfId="0" applyNumberFormat="1" applyFont="1" applyFill="1" applyBorder="1"/>
    <xf numFmtId="4" fontId="13" fillId="3" borderId="25" xfId="0" applyNumberFormat="1" applyFont="1" applyFill="1" applyBorder="1"/>
    <xf numFmtId="0" fontId="9" fillId="3" borderId="0" xfId="0" applyFont="1" applyFill="1" applyBorder="1"/>
    <xf numFmtId="0" fontId="0" fillId="3" borderId="0" xfId="0" applyFill="1" applyAlignment="1">
      <alignment horizontal="center"/>
    </xf>
    <xf numFmtId="166" fontId="0" fillId="3" borderId="2" xfId="0" applyNumberFormat="1" applyFill="1" applyBorder="1"/>
    <xf numFmtId="166" fontId="9" fillId="3" borderId="20" xfId="0" applyNumberFormat="1" applyFont="1" applyFill="1" applyBorder="1" applyAlignment="1">
      <alignment vertical="center"/>
    </xf>
    <xf numFmtId="2" fontId="0" fillId="3" borderId="0" xfId="0" applyNumberFormat="1" applyFill="1" applyBorder="1"/>
    <xf numFmtId="0" fontId="0" fillId="3" borderId="0" xfId="0" applyFill="1" applyBorder="1" applyAlignment="1">
      <alignment horizontal="center"/>
    </xf>
    <xf numFmtId="0" fontId="5" fillId="3" borderId="0" xfId="0" applyFont="1" applyFill="1" applyBorder="1" applyAlignment="1">
      <alignment horizontal="center"/>
    </xf>
    <xf numFmtId="0" fontId="0" fillId="3" borderId="12" xfId="0" applyFill="1" applyBorder="1" applyAlignment="1">
      <alignment horizontal="center"/>
    </xf>
    <xf numFmtId="0" fontId="0" fillId="3" borderId="16" xfId="0" applyFill="1" applyBorder="1" applyAlignment="1">
      <alignment horizontal="center"/>
    </xf>
    <xf numFmtId="0" fontId="0" fillId="3" borderId="20" xfId="0" applyFill="1" applyBorder="1" applyAlignment="1">
      <alignment horizontal="center"/>
    </xf>
    <xf numFmtId="0" fontId="9" fillId="3" borderId="0" xfId="0" applyFont="1" applyFill="1" applyAlignment="1">
      <alignment horizontal="center"/>
    </xf>
    <xf numFmtId="166" fontId="0" fillId="3" borderId="0" xfId="0" applyNumberFormat="1" applyFill="1" applyAlignment="1">
      <alignment horizontal="center"/>
    </xf>
    <xf numFmtId="166" fontId="0" fillId="3" borderId="12" xfId="0" applyNumberFormat="1" applyFill="1" applyBorder="1" applyAlignment="1">
      <alignment horizontal="right"/>
    </xf>
    <xf numFmtId="0" fontId="7" fillId="3" borderId="0" xfId="0" applyFont="1" applyFill="1"/>
    <xf numFmtId="171" fontId="0" fillId="3" borderId="11" xfId="0" applyNumberFormat="1" applyFill="1" applyBorder="1"/>
    <xf numFmtId="2" fontId="0" fillId="3" borderId="2" xfId="0" applyNumberFormat="1" applyFill="1" applyBorder="1"/>
    <xf numFmtId="0" fontId="0" fillId="2" borderId="2" xfId="0" applyFill="1" applyBorder="1"/>
    <xf numFmtId="166" fontId="0" fillId="3" borderId="29" xfId="0" applyNumberFormat="1" applyFill="1" applyBorder="1"/>
    <xf numFmtId="2" fontId="0" fillId="3" borderId="30" xfId="0" applyNumberFormat="1" applyFill="1" applyBorder="1"/>
    <xf numFmtId="2" fontId="0" fillId="3" borderId="13" xfId="0" applyNumberFormat="1" applyFill="1" applyBorder="1"/>
    <xf numFmtId="2" fontId="0" fillId="3" borderId="17" xfId="0" applyNumberFormat="1" applyFill="1" applyBorder="1"/>
    <xf numFmtId="2" fontId="0" fillId="3" borderId="9" xfId="0" applyNumberFormat="1" applyFill="1" applyBorder="1"/>
    <xf numFmtId="2" fontId="0" fillId="3" borderId="21" xfId="0" applyNumberFormat="1" applyFill="1" applyBorder="1"/>
    <xf numFmtId="0" fontId="6" fillId="0" borderId="2" xfId="0" applyFont="1" applyFill="1" applyBorder="1"/>
    <xf numFmtId="0" fontId="6" fillId="0" borderId="2" xfId="0" applyFont="1" applyFill="1" applyBorder="1" applyAlignment="1">
      <alignment vertical="center"/>
    </xf>
    <xf numFmtId="166" fontId="6" fillId="0" borderId="4" xfId="0" applyNumberFormat="1" applyFont="1" applyFill="1" applyBorder="1"/>
    <xf numFmtId="166" fontId="6" fillId="0" borderId="2" xfId="0" applyNumberFormat="1" applyFont="1" applyFill="1" applyBorder="1"/>
    <xf numFmtId="166" fontId="6" fillId="0" borderId="2" xfId="3" applyNumberFormat="1" applyFont="1" applyFill="1" applyBorder="1"/>
    <xf numFmtId="166" fontId="6" fillId="0" borderId="2" xfId="0" applyNumberFormat="1" applyFont="1" applyFill="1" applyBorder="1" applyAlignment="1">
      <alignment vertical="center"/>
    </xf>
    <xf numFmtId="0" fontId="6" fillId="0" borderId="3" xfId="0" applyFont="1" applyFill="1" applyBorder="1"/>
    <xf numFmtId="0" fontId="6" fillId="2" borderId="31" xfId="0" applyFont="1" applyFill="1" applyBorder="1" applyAlignment="1">
      <alignment vertical="center" wrapText="1"/>
    </xf>
    <xf numFmtId="0" fontId="6" fillId="2" borderId="33" xfId="0" applyFont="1" applyFill="1" applyBorder="1" applyAlignment="1">
      <alignment vertical="center" wrapText="1"/>
    </xf>
    <xf numFmtId="0" fontId="6" fillId="3" borderId="26" xfId="0" applyFont="1" applyFill="1" applyBorder="1" applyAlignment="1"/>
    <xf numFmtId="0" fontId="6" fillId="3" borderId="34" xfId="0" applyFont="1" applyFill="1" applyBorder="1" applyAlignment="1"/>
    <xf numFmtId="0" fontId="6" fillId="3" borderId="35" xfId="0" applyFont="1" applyFill="1" applyBorder="1" applyAlignment="1"/>
    <xf numFmtId="0" fontId="6" fillId="3" borderId="6" xfId="0" applyFont="1" applyFill="1" applyBorder="1"/>
    <xf numFmtId="0" fontId="6" fillId="3" borderId="37" xfId="0" applyFont="1" applyFill="1" applyBorder="1" applyAlignment="1">
      <alignment vertical="center"/>
    </xf>
    <xf numFmtId="0" fontId="6" fillId="3" borderId="38" xfId="0" applyFont="1" applyFill="1" applyBorder="1" applyAlignment="1">
      <alignment vertical="center"/>
    </xf>
    <xf numFmtId="166" fontId="6" fillId="3" borderId="37" xfId="0" applyNumberFormat="1" applyFont="1" applyFill="1" applyBorder="1" applyAlignment="1">
      <alignment vertical="center"/>
    </xf>
    <xf numFmtId="166" fontId="6" fillId="3" borderId="38" xfId="0" applyNumberFormat="1" applyFont="1" applyFill="1" applyBorder="1" applyAlignment="1">
      <alignment vertical="center"/>
    </xf>
    <xf numFmtId="166" fontId="6" fillId="3" borderId="39" xfId="0" applyNumberFormat="1" applyFont="1" applyFill="1" applyBorder="1" applyAlignment="1">
      <alignment vertical="center"/>
    </xf>
    <xf numFmtId="0" fontId="6" fillId="3" borderId="23" xfId="0" applyFont="1" applyFill="1" applyBorder="1" applyAlignment="1"/>
    <xf numFmtId="0" fontId="6" fillId="3" borderId="39" xfId="0" applyFont="1" applyFill="1" applyBorder="1" applyAlignment="1">
      <alignment vertical="center"/>
    </xf>
    <xf numFmtId="165" fontId="6" fillId="3" borderId="38" xfId="0" applyNumberFormat="1" applyFont="1" applyFill="1" applyBorder="1" applyAlignment="1">
      <alignment vertical="center"/>
    </xf>
    <xf numFmtId="165" fontId="6" fillId="3" borderId="39" xfId="0" applyNumberFormat="1" applyFont="1" applyFill="1" applyBorder="1" applyAlignment="1">
      <alignment vertical="center"/>
    </xf>
    <xf numFmtId="0" fontId="6" fillId="3" borderId="6" xfId="0" applyFont="1" applyFill="1" applyBorder="1" applyAlignment="1">
      <alignment horizontal="right"/>
    </xf>
    <xf numFmtId="0" fontId="6" fillId="3" borderId="35" xfId="0" applyFont="1" applyFill="1" applyBorder="1" applyAlignment="1">
      <alignment horizontal="right"/>
    </xf>
    <xf numFmtId="0" fontId="6" fillId="3" borderId="4" xfId="0" applyFont="1" applyFill="1" applyBorder="1" applyAlignment="1">
      <alignment horizontal="right"/>
    </xf>
    <xf numFmtId="0" fontId="8" fillId="2" borderId="1" xfId="0" applyFont="1" applyFill="1" applyBorder="1" applyAlignment="1">
      <alignment vertical="center" wrapText="1"/>
    </xf>
    <xf numFmtId="166" fontId="16" fillId="3" borderId="2" xfId="0" applyNumberFormat="1" applyFont="1" applyFill="1" applyBorder="1"/>
    <xf numFmtId="166" fontId="6" fillId="3" borderId="23" xfId="3" applyNumberFormat="1" applyFont="1" applyFill="1" applyBorder="1" applyAlignment="1">
      <alignment vertical="center"/>
    </xf>
    <xf numFmtId="166" fontId="6" fillId="3" borderId="2" xfId="0" applyNumberFormat="1" applyFont="1" applyFill="1" applyBorder="1" applyAlignment="1">
      <alignment horizontal="right"/>
    </xf>
    <xf numFmtId="169" fontId="6" fillId="3" borderId="38" xfId="0" applyNumberFormat="1" applyFont="1" applyFill="1" applyBorder="1" applyAlignment="1">
      <alignment vertical="center"/>
    </xf>
    <xf numFmtId="169" fontId="6" fillId="3" borderId="37" xfId="0" applyNumberFormat="1" applyFont="1" applyFill="1" applyBorder="1" applyAlignment="1">
      <alignment vertical="center"/>
    </xf>
    <xf numFmtId="169" fontId="6" fillId="0" borderId="38" xfId="0" applyNumberFormat="1" applyFont="1" applyFill="1" applyBorder="1" applyAlignment="1">
      <alignment vertical="center"/>
    </xf>
    <xf numFmtId="169" fontId="6" fillId="3" borderId="39" xfId="0" applyNumberFormat="1" applyFont="1" applyFill="1" applyBorder="1" applyAlignment="1">
      <alignment vertical="center"/>
    </xf>
    <xf numFmtId="0" fontId="17" fillId="3" borderId="0" xfId="0" applyFont="1" applyFill="1"/>
    <xf numFmtId="0" fontId="6" fillId="3" borderId="0" xfId="0" applyFont="1" applyFill="1" applyAlignment="1">
      <alignment vertical="center"/>
    </xf>
    <xf numFmtId="166" fontId="6" fillId="0" borderId="43" xfId="5" applyNumberFormat="1" applyFont="1" applyFill="1" applyBorder="1" applyAlignment="1">
      <alignment vertical="center"/>
    </xf>
    <xf numFmtId="0" fontId="6" fillId="0" borderId="44" xfId="0" applyFont="1" applyFill="1" applyBorder="1" applyAlignment="1">
      <alignment vertical="center"/>
    </xf>
    <xf numFmtId="0" fontId="6" fillId="0" borderId="45" xfId="0" applyFont="1" applyFill="1" applyBorder="1" applyAlignment="1">
      <alignment vertical="center"/>
    </xf>
    <xf numFmtId="166" fontId="6" fillId="0" borderId="46" xfId="5" applyNumberFormat="1" applyFont="1" applyFill="1" applyBorder="1" applyAlignment="1">
      <alignment vertical="center"/>
    </xf>
    <xf numFmtId="0" fontId="6" fillId="0" borderId="34" xfId="0" applyFont="1" applyFill="1" applyBorder="1" applyAlignment="1">
      <alignment vertical="center"/>
    </xf>
    <xf numFmtId="0" fontId="6" fillId="0" borderId="47" xfId="0" applyFont="1" applyFill="1" applyBorder="1" applyAlignment="1">
      <alignment vertical="center"/>
    </xf>
    <xf numFmtId="0" fontId="6" fillId="0" borderId="34" xfId="0" applyFont="1" applyFill="1" applyBorder="1"/>
    <xf numFmtId="166" fontId="6" fillId="4" borderId="46" xfId="5" applyNumberFormat="1" applyFont="1" applyFill="1" applyBorder="1" applyAlignment="1">
      <alignment vertical="center"/>
    </xf>
    <xf numFmtId="0" fontId="6" fillId="4" borderId="34" xfId="0" applyFont="1" applyFill="1" applyBorder="1" applyAlignment="1">
      <alignment vertical="center"/>
    </xf>
    <xf numFmtId="0" fontId="6" fillId="4" borderId="47" xfId="0" applyFont="1" applyFill="1" applyBorder="1" applyAlignment="1">
      <alignment vertical="center"/>
    </xf>
    <xf numFmtId="0" fontId="6" fillId="4" borderId="34" xfId="0" applyFont="1" applyFill="1" applyBorder="1"/>
    <xf numFmtId="166" fontId="6" fillId="0" borderId="48" xfId="5" applyNumberFormat="1" applyFont="1" applyFill="1" applyBorder="1" applyAlignment="1">
      <alignment vertical="center"/>
    </xf>
    <xf numFmtId="0" fontId="6" fillId="0" borderId="31" xfId="0" applyFont="1" applyFill="1" applyBorder="1" applyAlignment="1">
      <alignment vertical="center"/>
    </xf>
    <xf numFmtId="0" fontId="6" fillId="0" borderId="49" xfId="0" applyFont="1" applyFill="1" applyBorder="1" applyAlignment="1">
      <alignment vertical="center"/>
    </xf>
    <xf numFmtId="0" fontId="6" fillId="2" borderId="50"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22" xfId="0" applyFont="1" applyFill="1" applyBorder="1" applyAlignment="1">
      <alignment horizontal="center" vertical="center" wrapText="1"/>
    </xf>
    <xf numFmtId="0" fontId="20" fillId="3" borderId="0" xfId="0" applyFont="1" applyFill="1" applyBorder="1" applyAlignment="1">
      <alignment horizontal="left" vertical="center"/>
    </xf>
    <xf numFmtId="0" fontId="20" fillId="4" borderId="0" xfId="0" applyFont="1" applyFill="1" applyBorder="1" applyAlignment="1">
      <alignment horizontal="left" vertical="center"/>
    </xf>
    <xf numFmtId="0" fontId="19" fillId="4" borderId="0" xfId="0" applyFont="1" applyFill="1" applyBorder="1" applyAlignment="1">
      <alignment horizontal="left" vertical="center"/>
    </xf>
    <xf numFmtId="0" fontId="19" fillId="0" borderId="0" xfId="0" applyFont="1"/>
    <xf numFmtId="0" fontId="19" fillId="3" borderId="0" xfId="8" applyFont="1" applyFill="1"/>
    <xf numFmtId="0" fontId="22" fillId="3" borderId="0" xfId="8" applyFont="1" applyFill="1"/>
    <xf numFmtId="167" fontId="20" fillId="3" borderId="0" xfId="8" applyNumberFormat="1" applyFont="1" applyFill="1"/>
    <xf numFmtId="175" fontId="19" fillId="3" borderId="0" xfId="8" applyNumberFormat="1" applyFont="1" applyFill="1"/>
    <xf numFmtId="165" fontId="9" fillId="0" borderId="2" xfId="8" applyNumberFormat="1" applyFont="1" applyFill="1" applyBorder="1"/>
    <xf numFmtId="0" fontId="19" fillId="3" borderId="2" xfId="8" applyFont="1" applyFill="1" applyBorder="1"/>
    <xf numFmtId="0" fontId="19" fillId="0" borderId="2" xfId="8" applyFont="1" applyFill="1" applyBorder="1"/>
    <xf numFmtId="167" fontId="19" fillId="0" borderId="2" xfId="8" applyNumberFormat="1" applyFont="1" applyFill="1" applyBorder="1" applyAlignment="1">
      <alignment horizontal="center"/>
    </xf>
    <xf numFmtId="167" fontId="19" fillId="0" borderId="2" xfId="8" applyNumberFormat="1" applyFont="1" applyFill="1" applyBorder="1"/>
    <xf numFmtId="176" fontId="19" fillId="3" borderId="0" xfId="4" applyNumberFormat="1" applyFont="1" applyFill="1"/>
    <xf numFmtId="0" fontId="4" fillId="0" borderId="2" xfId="8" applyFill="1" applyBorder="1"/>
    <xf numFmtId="43" fontId="19" fillId="0" borderId="2" xfId="4" applyFont="1" applyFill="1" applyBorder="1"/>
    <xf numFmtId="165" fontId="19" fillId="0" borderId="2" xfId="8" applyNumberFormat="1" applyFont="1" applyFill="1" applyBorder="1"/>
    <xf numFmtId="0" fontId="19" fillId="0" borderId="2" xfId="8" applyFont="1" applyFill="1" applyBorder="1" applyAlignment="1">
      <alignment horizontal="center"/>
    </xf>
    <xf numFmtId="177" fontId="19" fillId="3" borderId="0" xfId="4" applyNumberFormat="1" applyFont="1" applyFill="1"/>
    <xf numFmtId="43" fontId="19" fillId="3" borderId="2" xfId="4" applyFont="1" applyFill="1" applyBorder="1"/>
    <xf numFmtId="178" fontId="19" fillId="3" borderId="0" xfId="8" applyNumberFormat="1" applyFont="1" applyFill="1"/>
    <xf numFmtId="0" fontId="9" fillId="0" borderId="2" xfId="8" applyFont="1" applyFill="1" applyBorder="1" applyAlignment="1">
      <alignment horizontal="center" wrapText="1"/>
    </xf>
    <xf numFmtId="165" fontId="19" fillId="3" borderId="0" xfId="8" applyNumberFormat="1" applyFont="1" applyFill="1"/>
    <xf numFmtId="0" fontId="19" fillId="3" borderId="0" xfId="8" applyFont="1" applyFill="1" applyAlignment="1">
      <alignment wrapText="1"/>
    </xf>
    <xf numFmtId="165" fontId="23" fillId="3" borderId="50" xfId="8" applyNumberFormat="1" applyFont="1" applyFill="1" applyBorder="1"/>
    <xf numFmtId="165" fontId="24" fillId="3" borderId="5" xfId="8" applyNumberFormat="1" applyFont="1" applyFill="1" applyBorder="1"/>
    <xf numFmtId="173" fontId="25" fillId="3" borderId="5" xfId="8" applyNumberFormat="1" applyFont="1" applyFill="1" applyBorder="1" applyAlignment="1">
      <alignment horizontal="center"/>
    </xf>
    <xf numFmtId="165" fontId="25" fillId="3" borderId="5" xfId="8" applyNumberFormat="1" applyFont="1" applyFill="1" applyBorder="1"/>
    <xf numFmtId="0" fontId="24" fillId="3" borderId="22" xfId="8" applyFont="1" applyFill="1" applyBorder="1"/>
    <xf numFmtId="0" fontId="19" fillId="3" borderId="6" xfId="8" applyFont="1" applyFill="1" applyBorder="1"/>
    <xf numFmtId="165" fontId="19" fillId="3" borderId="6" xfId="8" applyNumberFormat="1" applyFont="1" applyFill="1" applyBorder="1"/>
    <xf numFmtId="165" fontId="19" fillId="3" borderId="2" xfId="8" applyNumberFormat="1" applyFont="1" applyFill="1" applyBorder="1"/>
    <xf numFmtId="173" fontId="19" fillId="3" borderId="2" xfId="9" applyNumberFormat="1" applyFont="1" applyFill="1" applyBorder="1" applyAlignment="1">
      <alignment horizontal="center"/>
    </xf>
    <xf numFmtId="165" fontId="19" fillId="3" borderId="2" xfId="8" applyNumberFormat="1" applyFont="1" applyFill="1" applyBorder="1" applyAlignment="1">
      <alignment horizontal="right"/>
    </xf>
    <xf numFmtId="167" fontId="19" fillId="3" borderId="2" xfId="8" applyNumberFormat="1" applyFont="1" applyFill="1" applyBorder="1"/>
    <xf numFmtId="165" fontId="19" fillId="3" borderId="2" xfId="8" applyNumberFormat="1" applyFont="1" applyFill="1" applyBorder="1" applyAlignment="1">
      <alignment horizontal="right" wrapText="1"/>
    </xf>
    <xf numFmtId="0" fontId="19" fillId="3" borderId="2" xfId="8" applyFont="1" applyFill="1" applyBorder="1" applyAlignment="1">
      <alignment horizontal="left" wrapText="1"/>
    </xf>
    <xf numFmtId="0" fontId="9" fillId="3" borderId="2" xfId="8" applyFont="1" applyFill="1" applyBorder="1" applyAlignment="1">
      <alignment horizontal="center" wrapText="1"/>
    </xf>
    <xf numFmtId="0" fontId="9" fillId="3" borderId="2" xfId="8" applyFont="1" applyFill="1" applyBorder="1" applyAlignment="1">
      <alignment horizontal="center"/>
    </xf>
    <xf numFmtId="0" fontId="19" fillId="3" borderId="0" xfId="8" applyFont="1" applyFill="1" applyAlignment="1">
      <alignment horizontal="center"/>
    </xf>
    <xf numFmtId="43" fontId="19" fillId="3" borderId="0" xfId="8" applyNumberFormat="1" applyFont="1" applyFill="1"/>
    <xf numFmtId="179" fontId="19" fillId="3" borderId="0" xfId="10" applyNumberFormat="1" applyFont="1" applyFill="1"/>
    <xf numFmtId="3" fontId="19" fillId="0" borderId="2" xfId="8" applyNumberFormat="1" applyFont="1" applyFill="1" applyBorder="1"/>
    <xf numFmtId="2" fontId="19" fillId="0" borderId="2" xfId="8" applyNumberFormat="1" applyFont="1" applyFill="1" applyBorder="1"/>
    <xf numFmtId="0" fontId="19" fillId="3" borderId="2" xfId="8" applyFont="1" applyFill="1" applyBorder="1" applyAlignment="1">
      <alignment horizontal="center"/>
    </xf>
    <xf numFmtId="180" fontId="9" fillId="0" borderId="2" xfId="8" applyNumberFormat="1" applyFont="1" applyFill="1" applyBorder="1"/>
    <xf numFmtId="9" fontId="19" fillId="0" borderId="2" xfId="8" applyNumberFormat="1" applyFont="1" applyFill="1" applyBorder="1" applyAlignment="1">
      <alignment horizontal="center"/>
    </xf>
    <xf numFmtId="179" fontId="19" fillId="3" borderId="2" xfId="4" applyNumberFormat="1" applyFont="1" applyFill="1" applyBorder="1"/>
    <xf numFmtId="165" fontId="9" fillId="3" borderId="2" xfId="8" applyNumberFormat="1" applyFont="1" applyFill="1" applyBorder="1"/>
    <xf numFmtId="2" fontId="19" fillId="3" borderId="2" xfId="8" applyNumberFormat="1" applyFont="1" applyFill="1" applyBorder="1"/>
    <xf numFmtId="167" fontId="19" fillId="3" borderId="2" xfId="8" applyNumberFormat="1" applyFont="1" applyFill="1" applyBorder="1" applyAlignment="1">
      <alignment horizontal="center"/>
    </xf>
    <xf numFmtId="180" fontId="19" fillId="0" borderId="2" xfId="8" applyNumberFormat="1" applyFont="1" applyFill="1" applyBorder="1"/>
    <xf numFmtId="9" fontId="19" fillId="3" borderId="25" xfId="9" applyFont="1" applyFill="1" applyBorder="1" applyAlignment="1">
      <alignment horizontal="center"/>
    </xf>
    <xf numFmtId="179" fontId="26" fillId="3" borderId="2" xfId="4" applyNumberFormat="1" applyFont="1" applyFill="1" applyBorder="1"/>
    <xf numFmtId="0" fontId="9" fillId="0" borderId="2" xfId="8" applyFont="1" applyFill="1" applyBorder="1" applyAlignment="1">
      <alignment horizontal="center"/>
    </xf>
    <xf numFmtId="0" fontId="20" fillId="3" borderId="0" xfId="8" applyFont="1" applyFill="1"/>
    <xf numFmtId="181" fontId="22" fillId="3" borderId="0" xfId="4" applyNumberFormat="1" applyFont="1" applyFill="1"/>
    <xf numFmtId="0" fontId="22" fillId="3" borderId="0" xfId="8" applyFont="1" applyFill="1" applyAlignment="1">
      <alignment horizontal="right"/>
    </xf>
    <xf numFmtId="165" fontId="9" fillId="3" borderId="0" xfId="8" applyNumberFormat="1" applyFont="1" applyFill="1" applyBorder="1"/>
    <xf numFmtId="0" fontId="19" fillId="3" borderId="0" xfId="8" applyFont="1" applyFill="1" applyBorder="1"/>
    <xf numFmtId="0" fontId="19" fillId="3" borderId="0" xfId="8" applyFont="1" applyFill="1" applyBorder="1" applyAlignment="1">
      <alignment horizontal="center"/>
    </xf>
    <xf numFmtId="9" fontId="19" fillId="3" borderId="2" xfId="8" applyNumberFormat="1" applyFont="1" applyFill="1" applyBorder="1" applyAlignment="1">
      <alignment horizontal="center"/>
    </xf>
    <xf numFmtId="172" fontId="19" fillId="3" borderId="0" xfId="8" applyNumberFormat="1" applyFont="1" applyFill="1"/>
    <xf numFmtId="165" fontId="9" fillId="3" borderId="2" xfId="8" applyNumberFormat="1" applyFont="1" applyFill="1" applyBorder="1" applyAlignment="1">
      <alignment horizontal="center"/>
    </xf>
    <xf numFmtId="165" fontId="19" fillId="3" borderId="0" xfId="8" applyNumberFormat="1" applyFont="1" applyFill="1" applyBorder="1"/>
    <xf numFmtId="165" fontId="9" fillId="3" borderId="2" xfId="8" applyNumberFormat="1" applyFont="1" applyFill="1" applyBorder="1" applyAlignment="1">
      <alignment horizontal="center" wrapText="1"/>
    </xf>
    <xf numFmtId="165" fontId="19" fillId="3" borderId="23" xfId="8" applyNumberFormat="1" applyFont="1" applyFill="1" applyBorder="1"/>
    <xf numFmtId="0" fontId="28" fillId="3" borderId="0" xfId="11" applyFont="1" applyFill="1"/>
    <xf numFmtId="3" fontId="19" fillId="0" borderId="2" xfId="0" applyNumberFormat="1" applyFont="1" applyFill="1" applyBorder="1"/>
    <xf numFmtId="0" fontId="19" fillId="0" borderId="2" xfId="0" applyFont="1" applyFill="1" applyBorder="1"/>
    <xf numFmtId="0" fontId="19" fillId="0" borderId="2" xfId="0" applyFont="1" applyFill="1" applyBorder="1" applyAlignment="1">
      <alignment horizontal="center"/>
    </xf>
    <xf numFmtId="0" fontId="9" fillId="3" borderId="0" xfId="8" applyFont="1" applyFill="1" applyAlignment="1">
      <alignment horizontal="center"/>
    </xf>
    <xf numFmtId="0" fontId="19" fillId="3" borderId="2" xfId="0" applyFont="1" applyFill="1" applyBorder="1" applyAlignment="1">
      <alignment horizontal="center"/>
    </xf>
    <xf numFmtId="0" fontId="19" fillId="3" borderId="2" xfId="0" applyFont="1" applyFill="1" applyBorder="1"/>
    <xf numFmtId="0" fontId="9" fillId="3" borderId="2" xfId="8" applyFont="1" applyFill="1" applyBorder="1"/>
    <xf numFmtId="0" fontId="9" fillId="3" borderId="2" xfId="0" applyFont="1" applyFill="1" applyBorder="1" applyAlignment="1">
      <alignment horizontal="center" wrapText="1"/>
    </xf>
    <xf numFmtId="165" fontId="19" fillId="3" borderId="2" xfId="0" applyNumberFormat="1" applyFont="1" applyFill="1" applyBorder="1"/>
    <xf numFmtId="6" fontId="19" fillId="3" borderId="24" xfId="8" applyNumberFormat="1" applyFont="1" applyFill="1" applyBorder="1"/>
    <xf numFmtId="0" fontId="19" fillId="3" borderId="24" xfId="8" applyFont="1" applyFill="1" applyBorder="1" applyAlignment="1">
      <alignment horizontal="left" indent="1"/>
    </xf>
    <xf numFmtId="6" fontId="19" fillId="3" borderId="0" xfId="8" applyNumberFormat="1" applyFont="1" applyFill="1"/>
    <xf numFmtId="0" fontId="19" fillId="0" borderId="0" xfId="0" applyFont="1" applyAlignment="1">
      <alignment horizontal="left" vertical="center" indent="1"/>
    </xf>
    <xf numFmtId="0" fontId="19" fillId="3" borderId="0" xfId="0" applyFont="1" applyFill="1" applyBorder="1"/>
    <xf numFmtId="0" fontId="19" fillId="3" borderId="50" xfId="0" applyFont="1" applyFill="1" applyBorder="1"/>
    <xf numFmtId="0" fontId="19" fillId="3" borderId="5" xfId="0" applyFont="1" applyFill="1" applyBorder="1"/>
    <xf numFmtId="0" fontId="19" fillId="3" borderId="5" xfId="0" applyFont="1" applyFill="1" applyBorder="1" applyAlignment="1">
      <alignment horizontal="center"/>
    </xf>
    <xf numFmtId="0" fontId="19" fillId="3" borderId="22" xfId="0" applyFont="1" applyFill="1" applyBorder="1"/>
    <xf numFmtId="0" fontId="19" fillId="3" borderId="51" xfId="0" applyFont="1" applyFill="1" applyBorder="1"/>
    <xf numFmtId="0" fontId="19" fillId="3" borderId="52" xfId="0" applyFont="1" applyFill="1" applyBorder="1"/>
    <xf numFmtId="0" fontId="19" fillId="3" borderId="52" xfId="0" applyFont="1" applyFill="1" applyBorder="1" applyAlignment="1">
      <alignment horizontal="center"/>
    </xf>
    <xf numFmtId="0" fontId="19" fillId="3" borderId="53" xfId="0" applyFont="1" applyFill="1" applyBorder="1"/>
    <xf numFmtId="0" fontId="19" fillId="3" borderId="54" xfId="0" applyFont="1" applyFill="1" applyBorder="1"/>
    <xf numFmtId="0" fontId="19" fillId="3" borderId="55" xfId="0" applyFont="1" applyFill="1" applyBorder="1"/>
    <xf numFmtId="0" fontId="19" fillId="3" borderId="55" xfId="0" applyFont="1" applyFill="1" applyBorder="1" applyAlignment="1">
      <alignment horizontal="center"/>
    </xf>
    <xf numFmtId="0" fontId="19" fillId="3" borderId="56" xfId="0" applyFont="1" applyFill="1" applyBorder="1"/>
    <xf numFmtId="0" fontId="9" fillId="2" borderId="10" xfId="0" applyFont="1" applyFill="1" applyBorder="1" applyAlignment="1">
      <alignment horizontal="center" wrapText="1"/>
    </xf>
    <xf numFmtId="0" fontId="9" fillId="2" borderId="10" xfId="0" applyFont="1" applyFill="1" applyBorder="1" applyAlignment="1">
      <alignment horizontal="left" wrapText="1"/>
    </xf>
    <xf numFmtId="0" fontId="26" fillId="0" borderId="2" xfId="8" applyFont="1" applyFill="1" applyBorder="1"/>
    <xf numFmtId="182" fontId="19" fillId="0" borderId="2" xfId="4" applyNumberFormat="1" applyFont="1" applyFill="1" applyBorder="1"/>
    <xf numFmtId="9" fontId="19" fillId="3" borderId="6" xfId="9" applyFont="1" applyFill="1" applyBorder="1" applyAlignment="1">
      <alignment horizontal="center"/>
    </xf>
    <xf numFmtId="179" fontId="19" fillId="0" borderId="2" xfId="4" applyNumberFormat="1" applyFont="1" applyFill="1" applyBorder="1"/>
    <xf numFmtId="9" fontId="19" fillId="0" borderId="2" xfId="9" applyFont="1" applyFill="1" applyBorder="1" applyAlignment="1">
      <alignment horizontal="center"/>
    </xf>
    <xf numFmtId="182" fontId="9" fillId="3" borderId="2" xfId="8" applyNumberFormat="1" applyFont="1" applyFill="1" applyBorder="1"/>
    <xf numFmtId="9" fontId="19" fillId="3" borderId="2" xfId="9" applyFont="1" applyFill="1" applyBorder="1" applyAlignment="1">
      <alignment horizontal="center"/>
    </xf>
    <xf numFmtId="179" fontId="26" fillId="0" borderId="2" xfId="4" applyNumberFormat="1" applyFont="1" applyFill="1" applyBorder="1"/>
    <xf numFmtId="2" fontId="19" fillId="3" borderId="2" xfId="0" applyNumberFormat="1" applyFont="1" applyFill="1" applyBorder="1"/>
    <xf numFmtId="2" fontId="19" fillId="0" borderId="2" xfId="0" applyNumberFormat="1" applyFont="1" applyFill="1" applyBorder="1"/>
    <xf numFmtId="43" fontId="22" fillId="3" borderId="0" xfId="4" applyFont="1" applyFill="1"/>
    <xf numFmtId="0" fontId="19" fillId="3" borderId="2" xfId="0" applyFont="1" applyFill="1" applyBorder="1" applyAlignment="1">
      <alignment horizontal="center" vertical="center"/>
    </xf>
    <xf numFmtId="0" fontId="19" fillId="3" borderId="2" xfId="0" applyFont="1" applyFill="1" applyBorder="1" applyAlignment="1">
      <alignment vertical="center"/>
    </xf>
    <xf numFmtId="0" fontId="29" fillId="3" borderId="57" xfId="12" applyFill="1"/>
    <xf numFmtId="0" fontId="19" fillId="3" borderId="0" xfId="8" applyFont="1" applyFill="1" applyAlignment="1"/>
    <xf numFmtId="183" fontId="9" fillId="0" borderId="2" xfId="4" applyNumberFormat="1" applyFont="1" applyFill="1" applyBorder="1" applyAlignment="1">
      <alignment horizontal="center" wrapText="1"/>
    </xf>
    <xf numFmtId="182" fontId="19" fillId="3" borderId="0" xfId="4" applyNumberFormat="1" applyFont="1" applyFill="1"/>
    <xf numFmtId="9" fontId="19" fillId="3" borderId="2" xfId="5" applyFont="1" applyFill="1" applyBorder="1" applyAlignment="1">
      <alignment horizontal="center"/>
    </xf>
    <xf numFmtId="0" fontId="19" fillId="3" borderId="18" xfId="0" applyFont="1" applyFill="1" applyBorder="1"/>
    <xf numFmtId="0" fontId="19" fillId="3" borderId="14" xfId="0" applyFont="1" applyFill="1" applyBorder="1"/>
    <xf numFmtId="0" fontId="19" fillId="3" borderId="10" xfId="0" applyFont="1" applyFill="1" applyBorder="1"/>
    <xf numFmtId="0" fontId="19" fillId="0" borderId="2" xfId="0" applyFont="1" applyFill="1" applyBorder="1" applyAlignment="1">
      <alignment horizontal="center" vertical="center"/>
    </xf>
    <xf numFmtId="0" fontId="19" fillId="0" borderId="2" xfId="0" applyFont="1" applyFill="1" applyBorder="1" applyAlignment="1">
      <alignment vertical="center"/>
    </xf>
    <xf numFmtId="179" fontId="22" fillId="3" borderId="0" xfId="4" applyNumberFormat="1" applyFont="1" applyFill="1"/>
    <xf numFmtId="0" fontId="19" fillId="3" borderId="7" xfId="0" applyFont="1" applyFill="1" applyBorder="1"/>
    <xf numFmtId="43" fontId="22" fillId="3" borderId="0" xfId="4" applyNumberFormat="1" applyFont="1" applyFill="1"/>
    <xf numFmtId="168" fontId="9" fillId="3" borderId="2" xfId="8" applyNumberFormat="1" applyFont="1" applyFill="1" applyBorder="1"/>
    <xf numFmtId="168" fontId="19" fillId="3" borderId="2" xfId="8" applyNumberFormat="1" applyFont="1" applyFill="1" applyBorder="1"/>
    <xf numFmtId="168" fontId="19" fillId="3" borderId="2" xfId="0" applyNumberFormat="1" applyFont="1" applyFill="1" applyBorder="1"/>
    <xf numFmtId="165" fontId="19" fillId="3" borderId="4" xfId="0" applyNumberFormat="1" applyFont="1" applyFill="1" applyBorder="1"/>
    <xf numFmtId="0" fontId="29" fillId="0" borderId="57" xfId="12"/>
    <xf numFmtId="0" fontId="28" fillId="0" borderId="0" xfId="11" applyFont="1" applyAlignment="1"/>
    <xf numFmtId="0" fontId="22" fillId="0" borderId="0" xfId="0" applyFont="1"/>
    <xf numFmtId="3" fontId="19" fillId="0" borderId="58" xfId="0" applyNumberFormat="1" applyFont="1" applyBorder="1" applyAlignment="1">
      <alignment horizontal="right" vertical="top" wrapText="1"/>
    </xf>
    <xf numFmtId="0" fontId="19" fillId="0" borderId="58" xfId="0" applyFont="1" applyBorder="1" applyAlignment="1">
      <alignment horizontal="left" vertical="top" wrapText="1"/>
    </xf>
    <xf numFmtId="0" fontId="19" fillId="5" borderId="58" xfId="0" applyFont="1" applyFill="1" applyBorder="1" applyAlignment="1">
      <alignment vertical="top" wrapText="1"/>
    </xf>
    <xf numFmtId="0" fontId="9" fillId="6" borderId="58" xfId="0" applyFont="1" applyFill="1" applyBorder="1" applyAlignment="1">
      <alignment wrapText="1"/>
    </xf>
    <xf numFmtId="0" fontId="19" fillId="0" borderId="0" xfId="0" applyFont="1" applyAlignment="1">
      <alignment wrapText="1"/>
    </xf>
    <xf numFmtId="0" fontId="19" fillId="7" borderId="58" xfId="0" applyFont="1" applyFill="1" applyBorder="1" applyAlignment="1">
      <alignment vertical="top" wrapText="1"/>
    </xf>
    <xf numFmtId="4" fontId="19" fillId="0" borderId="58" xfId="0" applyNumberFormat="1" applyFont="1" applyBorder="1" applyAlignment="1">
      <alignment horizontal="right" vertical="top" wrapText="1"/>
    </xf>
    <xf numFmtId="49" fontId="19" fillId="0" borderId="58" xfId="0" applyNumberFormat="1" applyFont="1" applyBorder="1" applyAlignment="1">
      <alignment horizontal="left" vertical="top" wrapText="1"/>
    </xf>
    <xf numFmtId="0" fontId="19" fillId="8" borderId="58" xfId="0" applyFont="1" applyFill="1" applyBorder="1" applyAlignment="1">
      <alignment vertical="top" wrapText="1"/>
    </xf>
    <xf numFmtId="184" fontId="19" fillId="0" borderId="58" xfId="0" applyNumberFormat="1" applyFont="1" applyBorder="1" applyAlignment="1">
      <alignment horizontal="right" vertical="top" wrapText="1"/>
    </xf>
    <xf numFmtId="0" fontId="19" fillId="0" borderId="58" xfId="0" applyFont="1" applyBorder="1" applyAlignment="1">
      <alignment wrapText="1"/>
    </xf>
    <xf numFmtId="4" fontId="19" fillId="0" borderId="58" xfId="0" applyNumberFormat="1" applyFont="1" applyBorder="1" applyAlignment="1">
      <alignment vertical="top" wrapText="1"/>
    </xf>
    <xf numFmtId="3" fontId="19" fillId="0" borderId="58" xfId="0" applyNumberFormat="1" applyFont="1" applyBorder="1" applyAlignment="1">
      <alignment vertical="top" wrapText="1"/>
    </xf>
    <xf numFmtId="0" fontId="19" fillId="0" borderId="58" xfId="0" applyFont="1" applyBorder="1" applyAlignment="1">
      <alignment vertical="top" wrapText="1"/>
    </xf>
    <xf numFmtId="49" fontId="19" fillId="0" borderId="58" xfId="0" applyNumberFormat="1" applyFont="1" applyBorder="1" applyAlignment="1">
      <alignment vertical="top" wrapText="1"/>
    </xf>
    <xf numFmtId="0" fontId="19" fillId="6" borderId="58" xfId="0" applyFont="1" applyFill="1" applyBorder="1" applyAlignment="1">
      <alignment wrapText="1"/>
    </xf>
    <xf numFmtId="0" fontId="17" fillId="3" borderId="0" xfId="8" applyFont="1" applyFill="1"/>
    <xf numFmtId="2" fontId="19" fillId="3" borderId="0" xfId="8" applyNumberFormat="1" applyFont="1" applyFill="1"/>
    <xf numFmtId="173" fontId="19" fillId="0" borderId="2" xfId="9" applyNumberFormat="1" applyFont="1" applyFill="1" applyBorder="1" applyAlignment="1">
      <alignment horizontal="center"/>
    </xf>
    <xf numFmtId="173" fontId="19" fillId="0" borderId="6" xfId="9" applyNumberFormat="1" applyFont="1" applyFill="1" applyBorder="1" applyAlignment="1">
      <alignment horizontal="center"/>
    </xf>
    <xf numFmtId="173" fontId="25" fillId="0" borderId="5" xfId="8" applyNumberFormat="1" applyFont="1" applyFill="1" applyBorder="1" applyAlignment="1">
      <alignment horizontal="center"/>
    </xf>
    <xf numFmtId="4" fontId="19" fillId="0" borderId="2" xfId="8" applyNumberFormat="1" applyFont="1" applyFill="1" applyBorder="1"/>
    <xf numFmtId="3" fontId="19" fillId="4" borderId="2" xfId="0" applyNumberFormat="1" applyFont="1" applyFill="1" applyBorder="1"/>
    <xf numFmtId="0" fontId="9" fillId="0" borderId="18" xfId="0" applyFont="1" applyFill="1" applyBorder="1" applyAlignment="1">
      <alignment wrapText="1"/>
    </xf>
    <xf numFmtId="0" fontId="9" fillId="0" borderId="18" xfId="0" applyFont="1" applyFill="1" applyBorder="1" applyAlignment="1">
      <alignment vertical="center" wrapText="1"/>
    </xf>
    <xf numFmtId="172" fontId="9" fillId="0" borderId="18" xfId="0" applyNumberFormat="1" applyFont="1" applyFill="1" applyBorder="1" applyAlignment="1">
      <alignment wrapText="1"/>
    </xf>
    <xf numFmtId="166" fontId="5" fillId="3" borderId="7" xfId="0" applyNumberFormat="1" applyFont="1" applyFill="1" applyBorder="1"/>
    <xf numFmtId="0" fontId="20" fillId="3" borderId="0" xfId="0" applyFont="1" applyFill="1" applyBorder="1" applyAlignment="1">
      <alignment horizontal="left" vertical="center"/>
    </xf>
    <xf numFmtId="0" fontId="0" fillId="0" borderId="0" xfId="0"/>
    <xf numFmtId="166" fontId="0" fillId="3" borderId="0" xfId="0" applyNumberFormat="1" applyFill="1" applyBorder="1" applyAlignment="1">
      <alignment horizontal="right"/>
    </xf>
    <xf numFmtId="0" fontId="0" fillId="0" borderId="0" xfId="0"/>
    <xf numFmtId="166" fontId="6" fillId="0" borderId="48" xfId="3" applyNumberFormat="1" applyFont="1" applyFill="1" applyBorder="1" applyAlignment="1">
      <alignment vertical="center"/>
    </xf>
    <xf numFmtId="166" fontId="6" fillId="0" borderId="46" xfId="3" applyNumberFormat="1" applyFont="1" applyFill="1" applyBorder="1" applyAlignment="1">
      <alignment vertical="center"/>
    </xf>
    <xf numFmtId="166" fontId="6" fillId="0" borderId="43" xfId="3" applyNumberFormat="1" applyFont="1" applyFill="1" applyBorder="1" applyAlignment="1">
      <alignment vertical="center"/>
    </xf>
    <xf numFmtId="0" fontId="6" fillId="0" borderId="0" xfId="0" applyFont="1" applyFill="1" applyBorder="1" applyAlignment="1">
      <alignment vertical="center"/>
    </xf>
    <xf numFmtId="0" fontId="5" fillId="3" borderId="0" xfId="0" applyFont="1" applyFill="1" applyBorder="1" applyAlignment="1">
      <alignment horizontal="left" vertical="center"/>
    </xf>
    <xf numFmtId="0" fontId="21" fillId="0" borderId="0" xfId="7" applyFill="1" applyBorder="1" applyAlignment="1">
      <alignment vertical="center"/>
    </xf>
    <xf numFmtId="0" fontId="5" fillId="3" borderId="2" xfId="8" applyFont="1" applyFill="1" applyBorder="1"/>
    <xf numFmtId="165" fontId="5" fillId="3" borderId="2" xfId="8" applyNumberFormat="1" applyFont="1" applyFill="1" applyBorder="1" applyAlignment="1">
      <alignment horizontal="right"/>
    </xf>
    <xf numFmtId="0" fontId="5" fillId="3" borderId="0" xfId="8" applyFont="1" applyFill="1" applyAlignment="1">
      <alignment horizontal="center"/>
    </xf>
    <xf numFmtId="0" fontId="5" fillId="3" borderId="2" xfId="8" applyFont="1" applyFill="1" applyBorder="1" applyAlignment="1">
      <alignment horizontal="left" wrapText="1"/>
    </xf>
    <xf numFmtId="165" fontId="5" fillId="3" borderId="2" xfId="8" applyNumberFormat="1" applyFont="1" applyFill="1" applyBorder="1" applyAlignment="1">
      <alignment horizontal="right" wrapText="1"/>
    </xf>
    <xf numFmtId="167" fontId="5" fillId="3" borderId="2" xfId="8" applyNumberFormat="1" applyFont="1" applyFill="1" applyBorder="1"/>
    <xf numFmtId="0" fontId="5" fillId="3" borderId="6" xfId="8" applyFont="1" applyFill="1" applyBorder="1"/>
    <xf numFmtId="165" fontId="5" fillId="3" borderId="6" xfId="8" applyNumberFormat="1" applyFont="1" applyFill="1" applyBorder="1"/>
    <xf numFmtId="0" fontId="3" fillId="0" borderId="0" xfId="13"/>
    <xf numFmtId="165" fontId="18" fillId="0" borderId="2" xfId="13" applyNumberFormat="1" applyFont="1" applyBorder="1"/>
    <xf numFmtId="0" fontId="18" fillId="0" borderId="2" xfId="13" applyFont="1" applyBorder="1"/>
    <xf numFmtId="0" fontId="3" fillId="0" borderId="2" xfId="13" applyBorder="1"/>
    <xf numFmtId="165" fontId="3" fillId="0" borderId="2" xfId="13" applyNumberFormat="1" applyBorder="1"/>
    <xf numFmtId="165" fontId="3" fillId="0" borderId="0" xfId="13" applyNumberFormat="1"/>
    <xf numFmtId="0" fontId="3" fillId="3" borderId="0" xfId="13" applyFill="1"/>
    <xf numFmtId="165" fontId="18" fillId="3" borderId="2" xfId="13" applyNumberFormat="1" applyFont="1" applyFill="1" applyBorder="1"/>
    <xf numFmtId="0" fontId="3" fillId="3" borderId="2" xfId="13" applyFill="1" applyBorder="1"/>
    <xf numFmtId="165" fontId="3" fillId="3" borderId="2" xfId="13" applyNumberFormat="1" applyFill="1" applyBorder="1"/>
    <xf numFmtId="0" fontId="18" fillId="3" borderId="2" xfId="13" applyFont="1" applyFill="1" applyBorder="1" applyAlignment="1">
      <alignment wrapText="1"/>
    </xf>
    <xf numFmtId="0" fontId="3" fillId="3" borderId="0" xfId="13" applyFill="1" applyAlignment="1">
      <alignment wrapText="1"/>
    </xf>
    <xf numFmtId="165" fontId="30" fillId="3" borderId="2" xfId="13" applyNumberFormat="1" applyFont="1" applyFill="1" applyBorder="1"/>
    <xf numFmtId="165" fontId="9" fillId="3" borderId="2" xfId="13" applyNumberFormat="1" applyFont="1" applyFill="1" applyBorder="1"/>
    <xf numFmtId="0" fontId="9" fillId="3" borderId="2" xfId="13" applyFont="1" applyFill="1" applyBorder="1"/>
    <xf numFmtId="0" fontId="3" fillId="0" borderId="2" xfId="13" applyFont="1" applyBorder="1"/>
    <xf numFmtId="9" fontId="0" fillId="3" borderId="2" xfId="14" applyFont="1" applyFill="1" applyBorder="1"/>
    <xf numFmtId="0" fontId="3" fillId="3" borderId="2" xfId="13" applyFont="1" applyFill="1" applyBorder="1"/>
    <xf numFmtId="173" fontId="0" fillId="3" borderId="2" xfId="14" applyNumberFormat="1" applyFont="1" applyFill="1" applyBorder="1"/>
    <xf numFmtId="165" fontId="5" fillId="3" borderId="2" xfId="13" applyNumberFormat="1" applyFont="1" applyFill="1" applyBorder="1" applyAlignment="1">
      <alignment horizontal="right"/>
    </xf>
    <xf numFmtId="167" fontId="3" fillId="3" borderId="2" xfId="13" applyNumberFormat="1" applyFill="1" applyBorder="1"/>
    <xf numFmtId="165" fontId="5" fillId="3" borderId="2" xfId="13" applyNumberFormat="1" applyFont="1" applyFill="1" applyBorder="1" applyAlignment="1">
      <alignment horizontal="right" wrapText="1"/>
    </xf>
    <xf numFmtId="0" fontId="5" fillId="3" borderId="2" xfId="13" applyFont="1" applyFill="1" applyBorder="1" applyAlignment="1">
      <alignment horizontal="left" wrapText="1"/>
    </xf>
    <xf numFmtId="0" fontId="9" fillId="3" borderId="2" xfId="13" applyFont="1" applyFill="1" applyBorder="1" applyAlignment="1">
      <alignment wrapText="1"/>
    </xf>
    <xf numFmtId="0" fontId="9" fillId="3" borderId="2" xfId="13" applyFont="1" applyFill="1" applyBorder="1" applyAlignment="1">
      <alignment horizontal="center" wrapText="1"/>
    </xf>
    <xf numFmtId="0" fontId="9" fillId="3" borderId="2" xfId="13" applyFont="1" applyFill="1" applyBorder="1" applyAlignment="1">
      <alignment horizontal="center"/>
    </xf>
    <xf numFmtId="167" fontId="20" fillId="3" borderId="0" xfId="13" applyNumberFormat="1" applyFont="1" applyFill="1"/>
    <xf numFmtId="166" fontId="3" fillId="3" borderId="2" xfId="13" applyNumberFormat="1" applyFill="1" applyBorder="1"/>
    <xf numFmtId="186" fontId="3" fillId="3" borderId="2" xfId="13" applyNumberFormat="1" applyFill="1" applyBorder="1"/>
    <xf numFmtId="166" fontId="30" fillId="3" borderId="2" xfId="13" applyNumberFormat="1" applyFont="1" applyFill="1" applyBorder="1"/>
    <xf numFmtId="0" fontId="20" fillId="3" borderId="0" xfId="13" applyFont="1" applyFill="1"/>
    <xf numFmtId="166" fontId="9" fillId="3" borderId="2" xfId="13" applyNumberFormat="1" applyFont="1" applyFill="1" applyBorder="1"/>
    <xf numFmtId="166" fontId="3" fillId="3" borderId="2" xfId="13" applyNumberFormat="1" applyFill="1" applyBorder="1" applyAlignment="1">
      <alignment horizontal="right"/>
    </xf>
    <xf numFmtId="0" fontId="9" fillId="3" borderId="2" xfId="13" applyFont="1" applyFill="1" applyBorder="1" applyAlignment="1">
      <alignment horizontal="left" wrapText="1"/>
    </xf>
    <xf numFmtId="173" fontId="0" fillId="4" borderId="0" xfId="14" applyNumberFormat="1" applyFont="1" applyFill="1"/>
    <xf numFmtId="0" fontId="3" fillId="0" borderId="0" xfId="13" applyBorder="1"/>
    <xf numFmtId="0" fontId="3" fillId="3" borderId="0" xfId="13" applyFill="1" applyBorder="1"/>
    <xf numFmtId="0" fontId="31" fillId="3" borderId="0" xfId="13" applyFont="1" applyFill="1" applyBorder="1" applyAlignment="1">
      <alignment wrapText="1"/>
    </xf>
    <xf numFmtId="10" fontId="0" fillId="4" borderId="0" xfId="14" applyNumberFormat="1" applyFont="1" applyFill="1"/>
    <xf numFmtId="166" fontId="9" fillId="3" borderId="0" xfId="13" applyNumberFormat="1" applyFont="1" applyFill="1" applyBorder="1"/>
    <xf numFmtId="166" fontId="9" fillId="9" borderId="2" xfId="13" applyNumberFormat="1" applyFont="1" applyFill="1" applyBorder="1"/>
    <xf numFmtId="0" fontId="3" fillId="9" borderId="2" xfId="13" applyFill="1" applyBorder="1"/>
    <xf numFmtId="166" fontId="3" fillId="9" borderId="2" xfId="13" applyNumberFormat="1" applyFill="1" applyBorder="1" applyAlignment="1">
      <alignment horizontal="right"/>
    </xf>
    <xf numFmtId="9" fontId="0" fillId="9" borderId="2" xfId="14" applyFont="1" applyFill="1" applyBorder="1"/>
    <xf numFmtId="0" fontId="9" fillId="9" borderId="2" xfId="13" applyFont="1" applyFill="1" applyBorder="1" applyAlignment="1">
      <alignment horizontal="left" wrapText="1"/>
    </xf>
    <xf numFmtId="0" fontId="9" fillId="9" borderId="2" xfId="13" applyFont="1" applyFill="1" applyBorder="1" applyAlignment="1">
      <alignment wrapText="1"/>
    </xf>
    <xf numFmtId="0" fontId="3" fillId="9" borderId="0" xfId="13" applyFill="1"/>
    <xf numFmtId="0" fontId="20" fillId="9" borderId="0" xfId="13" applyFont="1" applyFill="1"/>
    <xf numFmtId="165" fontId="3" fillId="10" borderId="2" xfId="13" applyNumberFormat="1" applyFill="1" applyBorder="1"/>
    <xf numFmtId="0" fontId="5" fillId="3" borderId="0" xfId="13" applyFont="1" applyFill="1" applyBorder="1" applyAlignment="1">
      <alignment vertical="center"/>
    </xf>
    <xf numFmtId="1" fontId="3" fillId="3" borderId="0" xfId="13" applyNumberFormat="1" applyFill="1" applyBorder="1"/>
    <xf numFmtId="2" fontId="3" fillId="3" borderId="0" xfId="13" applyNumberFormat="1" applyFill="1" applyBorder="1"/>
    <xf numFmtId="0" fontId="3" fillId="0" borderId="0" xfId="13" applyFill="1" applyBorder="1"/>
    <xf numFmtId="0" fontId="6" fillId="2" borderId="19" xfId="0" applyFont="1" applyFill="1" applyBorder="1" applyAlignment="1">
      <alignment vertical="center" wrapText="1"/>
    </xf>
    <xf numFmtId="0" fontId="6" fillId="0" borderId="27" xfId="0" applyFont="1" applyFill="1" applyBorder="1"/>
    <xf numFmtId="166" fontId="6" fillId="0" borderId="28" xfId="3" applyNumberFormat="1" applyFont="1" applyFill="1" applyBorder="1"/>
    <xf numFmtId="166" fontId="6" fillId="3" borderId="50" xfId="0" applyNumberFormat="1" applyFont="1" applyFill="1" applyBorder="1"/>
    <xf numFmtId="0" fontId="7" fillId="3" borderId="22" xfId="0" applyFont="1" applyFill="1" applyBorder="1"/>
    <xf numFmtId="43" fontId="3" fillId="3" borderId="2" xfId="4" applyFont="1" applyFill="1" applyBorder="1"/>
    <xf numFmtId="179" fontId="3" fillId="3" borderId="2" xfId="4" applyNumberFormat="1" applyFont="1" applyFill="1" applyBorder="1"/>
    <xf numFmtId="0" fontId="5" fillId="3" borderId="0" xfId="8" applyFont="1" applyFill="1"/>
    <xf numFmtId="0" fontId="6" fillId="2" borderId="18" xfId="0" applyFont="1" applyFill="1" applyBorder="1" applyAlignment="1">
      <alignment vertical="center" wrapText="1"/>
    </xf>
    <xf numFmtId="0" fontId="6" fillId="0" borderId="38" xfId="0" applyFont="1" applyFill="1" applyBorder="1" applyAlignment="1">
      <alignment vertical="top" wrapText="1"/>
    </xf>
    <xf numFmtId="0" fontId="6" fillId="0" borderId="4" xfId="0" applyFont="1" applyFill="1" applyBorder="1" applyAlignment="1">
      <alignment vertical="center"/>
    </xf>
    <xf numFmtId="166" fontId="6" fillId="0" borderId="4" xfId="0" applyNumberFormat="1" applyFont="1" applyFill="1" applyBorder="1" applyAlignment="1">
      <alignment vertical="center"/>
    </xf>
    <xf numFmtId="0" fontId="6" fillId="0" borderId="64" xfId="0" applyFont="1" applyFill="1" applyBorder="1" applyAlignment="1">
      <alignment vertical="top" wrapText="1"/>
    </xf>
    <xf numFmtId="0" fontId="7" fillId="0" borderId="0" xfId="0" applyFont="1" applyFill="1"/>
    <xf numFmtId="164" fontId="6" fillId="0" borderId="38" xfId="1" applyFont="1" applyFill="1" applyBorder="1" applyAlignment="1" applyProtection="1">
      <alignment vertical="top" wrapText="1"/>
    </xf>
    <xf numFmtId="166" fontId="6" fillId="0" borderId="4" xfId="0" applyNumberFormat="1" applyFont="1" applyFill="1" applyBorder="1" applyAlignment="1">
      <alignment horizontal="center"/>
    </xf>
    <xf numFmtId="166" fontId="6" fillId="0" borderId="2" xfId="0" applyNumberFormat="1" applyFont="1" applyFill="1" applyBorder="1" applyAlignment="1">
      <alignment horizontal="center"/>
    </xf>
    <xf numFmtId="0" fontId="7" fillId="0" borderId="2" xfId="0" applyFont="1" applyFill="1" applyBorder="1" applyAlignment="1">
      <alignment vertical="center"/>
    </xf>
    <xf numFmtId="0" fontId="7" fillId="0" borderId="2" xfId="0" applyFont="1" applyFill="1" applyBorder="1"/>
    <xf numFmtId="166" fontId="7" fillId="0" borderId="2" xfId="0" applyNumberFormat="1" applyFont="1" applyFill="1" applyBorder="1"/>
    <xf numFmtId="0" fontId="7" fillId="0" borderId="3" xfId="0" applyFont="1" applyFill="1" applyBorder="1"/>
    <xf numFmtId="166" fontId="7" fillId="0" borderId="4" xfId="0" applyNumberFormat="1" applyFont="1" applyFill="1" applyBorder="1"/>
    <xf numFmtId="0" fontId="7" fillId="0" borderId="38" xfId="0" applyFont="1" applyFill="1" applyBorder="1" applyAlignment="1">
      <alignment wrapText="1"/>
    </xf>
    <xf numFmtId="170" fontId="7" fillId="0" borderId="2" xfId="0" applyNumberFormat="1" applyFont="1" applyFill="1" applyBorder="1"/>
    <xf numFmtId="0" fontId="7" fillId="0" borderId="0" xfId="0" applyFont="1" applyFill="1" applyBorder="1" applyAlignment="1"/>
    <xf numFmtId="0" fontId="7" fillId="0" borderId="38" xfId="0" applyFont="1" applyFill="1" applyBorder="1" applyAlignment="1">
      <alignment vertical="top" wrapText="1"/>
    </xf>
    <xf numFmtId="165" fontId="6" fillId="0" borderId="3" xfId="0" applyNumberFormat="1" applyFont="1" applyFill="1" applyBorder="1"/>
    <xf numFmtId="165" fontId="6" fillId="0" borderId="38" xfId="0" applyNumberFormat="1" applyFont="1" applyFill="1" applyBorder="1" applyAlignment="1">
      <alignment vertical="top" wrapText="1"/>
    </xf>
    <xf numFmtId="166" fontId="6" fillId="0" borderId="4" xfId="3" applyNumberFormat="1" applyFont="1" applyFill="1" applyBorder="1"/>
    <xf numFmtId="0" fontId="6" fillId="0" borderId="38" xfId="0" applyFont="1" applyFill="1" applyBorder="1" applyAlignment="1">
      <alignment wrapText="1"/>
    </xf>
    <xf numFmtId="0" fontId="15" fillId="0" borderId="2" xfId="0" applyFont="1" applyFill="1" applyBorder="1"/>
    <xf numFmtId="0" fontId="0" fillId="0" borderId="3" xfId="0" applyFill="1" applyBorder="1"/>
    <xf numFmtId="0" fontId="7" fillId="0" borderId="0" xfId="0" applyFont="1" applyFill="1" applyBorder="1"/>
    <xf numFmtId="185" fontId="6" fillId="0" borderId="2" xfId="3" applyNumberFormat="1" applyFont="1" applyFill="1" applyBorder="1"/>
    <xf numFmtId="0" fontId="6" fillId="0" borderId="4" xfId="0" applyFont="1" applyFill="1" applyBorder="1"/>
    <xf numFmtId="165" fontId="6" fillId="0" borderId="2" xfId="0" applyNumberFormat="1" applyFont="1" applyFill="1" applyBorder="1"/>
    <xf numFmtId="0" fontId="6" fillId="0" borderId="39" xfId="0" applyFont="1" applyFill="1" applyBorder="1" applyAlignment="1">
      <alignment wrapText="1"/>
    </xf>
    <xf numFmtId="3" fontId="9" fillId="2" borderId="2" xfId="0" applyNumberFormat="1" applyFont="1" applyFill="1" applyBorder="1" applyAlignment="1">
      <alignment horizontal="center" wrapText="1"/>
    </xf>
    <xf numFmtId="166" fontId="9" fillId="2" borderId="2" xfId="0" applyNumberFormat="1" applyFont="1" applyFill="1" applyBorder="1" applyAlignment="1">
      <alignment horizontal="center" wrapText="1"/>
    </xf>
    <xf numFmtId="166" fontId="9" fillId="2" borderId="28" xfId="0" applyNumberFormat="1" applyFont="1" applyFill="1" applyBorder="1" applyAlignment="1">
      <alignment horizontal="center" wrapText="1"/>
    </xf>
    <xf numFmtId="2" fontId="9" fillId="2" borderId="27" xfId="0" applyNumberFormat="1" applyFont="1" applyFill="1" applyBorder="1" applyAlignment="1">
      <alignment horizontal="center" wrapText="1"/>
    </xf>
    <xf numFmtId="174" fontId="9" fillId="2" borderId="2" xfId="0" applyNumberFormat="1" applyFont="1" applyFill="1" applyBorder="1" applyAlignment="1">
      <alignment horizontal="center" wrapText="1"/>
    </xf>
    <xf numFmtId="0" fontId="9" fillId="2" borderId="2" xfId="0" applyFont="1" applyFill="1" applyBorder="1" applyAlignment="1">
      <alignment horizontal="center" wrapText="1"/>
    </xf>
    <xf numFmtId="0" fontId="6" fillId="2" borderId="1" xfId="0" applyFont="1" applyFill="1" applyBorder="1" applyAlignment="1">
      <alignment horizontal="center" vertical="center" wrapText="1"/>
    </xf>
    <xf numFmtId="0" fontId="6" fillId="0" borderId="38" xfId="1" applyNumberFormat="1" applyFont="1" applyFill="1" applyBorder="1" applyAlignment="1" applyProtection="1">
      <alignment vertical="top" wrapText="1"/>
    </xf>
    <xf numFmtId="166" fontId="6" fillId="0" borderId="4" xfId="0" applyNumberFormat="1" applyFont="1" applyFill="1" applyBorder="1" applyAlignment="1"/>
    <xf numFmtId="0" fontId="6" fillId="2" borderId="50" xfId="0" applyFont="1" applyFill="1" applyBorder="1" applyAlignment="1">
      <alignment vertical="center" wrapText="1"/>
    </xf>
    <xf numFmtId="169" fontId="6" fillId="0" borderId="56" xfId="0" applyNumberFormat="1" applyFont="1" applyFill="1" applyBorder="1" applyAlignment="1"/>
    <xf numFmtId="169" fontId="6" fillId="0" borderId="27" xfId="0" applyNumberFormat="1" applyFont="1" applyFill="1" applyBorder="1" applyAlignment="1"/>
    <xf numFmtId="169" fontId="6" fillId="0" borderId="53" xfId="0" applyNumberFormat="1" applyFont="1" applyFill="1" applyBorder="1" applyAlignment="1"/>
    <xf numFmtId="166" fontId="8" fillId="0" borderId="4" xfId="0" applyNumberFormat="1" applyFont="1" applyFill="1" applyBorder="1" applyAlignment="1"/>
    <xf numFmtId="166" fontId="8" fillId="0" borderId="2" xfId="0" applyNumberFormat="1" applyFont="1" applyFill="1" applyBorder="1" applyAlignment="1"/>
    <xf numFmtId="166" fontId="12" fillId="0" borderId="2" xfId="0" applyNumberFormat="1" applyFont="1" applyFill="1" applyBorder="1" applyAlignment="1"/>
    <xf numFmtId="0" fontId="0" fillId="0" borderId="2" xfId="0" applyFill="1" applyBorder="1" applyAlignment="1"/>
    <xf numFmtId="173" fontId="6" fillId="0" borderId="62" xfId="3" applyNumberFormat="1" applyFont="1" applyFill="1" applyBorder="1"/>
    <xf numFmtId="173" fontId="6" fillId="0" borderId="62" xfId="3" applyNumberFormat="1" applyFont="1" applyFill="1" applyBorder="1" applyAlignment="1">
      <alignment horizontal="center"/>
    </xf>
    <xf numFmtId="173" fontId="6" fillId="0" borderId="43" xfId="3" applyNumberFormat="1" applyFont="1" applyFill="1" applyBorder="1"/>
    <xf numFmtId="173" fontId="6" fillId="0" borderId="62" xfId="3" applyNumberFormat="1" applyFont="1" applyFill="1" applyBorder="1" applyAlignment="1"/>
    <xf numFmtId="173" fontId="6" fillId="0" borderId="4" xfId="3" applyNumberFormat="1" applyFont="1" applyFill="1" applyBorder="1"/>
    <xf numFmtId="173" fontId="6" fillId="0" borderId="4" xfId="3" applyNumberFormat="1" applyFont="1" applyFill="1" applyBorder="1" applyAlignment="1">
      <alignment horizontal="center"/>
    </xf>
    <xf numFmtId="173" fontId="8" fillId="0" borderId="4" xfId="3" applyNumberFormat="1" applyFont="1" applyFill="1" applyBorder="1"/>
    <xf numFmtId="173" fontId="8" fillId="0" borderId="2" xfId="3" applyNumberFormat="1" applyFont="1" applyFill="1" applyBorder="1"/>
    <xf numFmtId="173" fontId="7" fillId="0" borderId="2" xfId="3" applyNumberFormat="1" applyFont="1" applyFill="1" applyBorder="1"/>
    <xf numFmtId="173" fontId="6" fillId="0" borderId="2" xfId="3" applyNumberFormat="1" applyFont="1" applyFill="1" applyBorder="1"/>
    <xf numFmtId="173" fontId="7" fillId="0" borderId="4" xfId="3" applyNumberFormat="1" applyFont="1" applyFill="1" applyBorder="1"/>
    <xf numFmtId="0" fontId="0" fillId="0" borderId="0" xfId="0"/>
    <xf numFmtId="0" fontId="1" fillId="0" borderId="0" xfId="17"/>
    <xf numFmtId="0" fontId="35" fillId="11" borderId="0" xfId="18" applyFont="1" applyFill="1" applyAlignment="1">
      <alignment vertical="top"/>
    </xf>
    <xf numFmtId="0" fontId="37" fillId="0" borderId="66" xfId="17" applyFont="1" applyBorder="1" applyAlignment="1">
      <alignment horizontal="center" vertical="center"/>
    </xf>
    <xf numFmtId="0" fontId="37" fillId="0" borderId="67" xfId="17" applyFont="1" applyBorder="1" applyAlignment="1">
      <alignment horizontal="center" vertical="center"/>
    </xf>
    <xf numFmtId="0" fontId="33" fillId="0" borderId="65" xfId="16" applyFont="1" applyBorder="1" applyAlignment="1">
      <alignment vertical="top" wrapText="1"/>
    </xf>
    <xf numFmtId="0" fontId="33" fillId="0" borderId="65" xfId="17" applyFont="1" applyBorder="1" applyAlignment="1">
      <alignment vertical="top" wrapText="1"/>
    </xf>
    <xf numFmtId="0" fontId="33" fillId="0" borderId="52" xfId="17" applyFont="1" applyBorder="1" applyAlignment="1">
      <alignment vertical="top" wrapText="1"/>
    </xf>
    <xf numFmtId="0" fontId="35" fillId="11" borderId="0" xfId="18" applyFont="1" applyFill="1"/>
    <xf numFmtId="0" fontId="36" fillId="0" borderId="0" xfId="17" applyFont="1" applyAlignment="1">
      <alignment vertical="top" wrapText="1"/>
    </xf>
    <xf numFmtId="0" fontId="37" fillId="0" borderId="66" xfId="16" applyFont="1" applyBorder="1" applyAlignment="1">
      <alignment horizontal="center"/>
    </xf>
    <xf numFmtId="0" fontId="37" fillId="0" borderId="68" xfId="16" applyFont="1" applyBorder="1" applyAlignment="1">
      <alignment horizontal="center" wrapText="1"/>
    </xf>
    <xf numFmtId="0" fontId="33" fillId="0" borderId="28" xfId="16" applyFont="1" applyBorder="1" applyAlignment="1">
      <alignment vertical="top" wrapText="1"/>
    </xf>
    <xf numFmtId="0" fontId="33" fillId="0" borderId="51" xfId="16" applyFont="1" applyBorder="1" applyAlignment="1">
      <alignment vertical="top" wrapText="1"/>
    </xf>
    <xf numFmtId="0" fontId="21" fillId="12" borderId="65" xfId="7" quotePrefix="1" applyFill="1" applyBorder="1" applyAlignment="1">
      <alignment vertical="top"/>
    </xf>
    <xf numFmtId="0" fontId="21" fillId="12" borderId="65" xfId="7" applyFill="1" applyBorder="1" applyAlignment="1">
      <alignment vertical="top"/>
    </xf>
    <xf numFmtId="0" fontId="21" fillId="14" borderId="65" xfId="7" applyFill="1" applyBorder="1" applyAlignment="1">
      <alignment vertical="top"/>
    </xf>
    <xf numFmtId="0" fontId="21" fillId="14" borderId="52" xfId="7" applyFill="1" applyBorder="1" applyAlignment="1">
      <alignment vertical="top"/>
    </xf>
    <xf numFmtId="0" fontId="38" fillId="13" borderId="22" xfId="19" applyFont="1" applyFill="1" applyBorder="1" applyAlignment="1" applyProtection="1">
      <alignment vertical="top"/>
    </xf>
    <xf numFmtId="0" fontId="36" fillId="0" borderId="5" xfId="17" applyFont="1" applyBorder="1" applyAlignment="1">
      <alignment vertical="top" wrapText="1"/>
    </xf>
    <xf numFmtId="0" fontId="0" fillId="0" borderId="0" xfId="0"/>
    <xf numFmtId="0" fontId="5" fillId="0" borderId="0" xfId="21" applyFont="1"/>
    <xf numFmtId="0" fontId="42" fillId="10" borderId="0" xfId="21" applyFont="1" applyFill="1"/>
    <xf numFmtId="0" fontId="5" fillId="10" borderId="0" xfId="21" applyFont="1" applyFill="1"/>
    <xf numFmtId="0" fontId="43" fillId="0" borderId="0" xfId="21" applyFont="1"/>
    <xf numFmtId="0" fontId="5" fillId="0" borderId="0" xfId="21"/>
    <xf numFmtId="0" fontId="5" fillId="10" borderId="0" xfId="21" applyFill="1"/>
    <xf numFmtId="0" fontId="44" fillId="10" borderId="0" xfId="21" applyFont="1" applyFill="1"/>
    <xf numFmtId="0" fontId="32" fillId="10" borderId="0" xfId="21" applyFont="1" applyFill="1"/>
    <xf numFmtId="0" fontId="45" fillId="0" borderId="0" xfId="21" applyFont="1"/>
    <xf numFmtId="0" fontId="0" fillId="0" borderId="0" xfId="0" applyFill="1"/>
    <xf numFmtId="0" fontId="39" fillId="10" borderId="65" xfId="21" applyFont="1" applyFill="1" applyBorder="1" applyAlignment="1">
      <alignment horizontal="left" vertical="center"/>
    </xf>
    <xf numFmtId="0" fontId="29" fillId="3" borderId="0" xfId="12" applyFill="1" applyBorder="1"/>
    <xf numFmtId="0" fontId="33" fillId="0" borderId="0" xfId="16" applyFont="1" applyBorder="1" applyAlignment="1">
      <alignment vertical="top"/>
    </xf>
    <xf numFmtId="0" fontId="6" fillId="0" borderId="61" xfId="0" applyFont="1" applyFill="1" applyBorder="1"/>
    <xf numFmtId="166" fontId="6" fillId="0" borderId="62" xfId="0" applyNumberFormat="1" applyFont="1" applyFill="1" applyBorder="1"/>
    <xf numFmtId="166" fontId="6" fillId="0" borderId="28" xfId="0" applyNumberFormat="1" applyFont="1" applyFill="1" applyBorder="1"/>
    <xf numFmtId="0" fontId="6" fillId="0" borderId="0" xfId="0" applyFont="1" applyFill="1" applyBorder="1"/>
    <xf numFmtId="0" fontId="7" fillId="0" borderId="61" xfId="0" applyFont="1" applyFill="1" applyBorder="1"/>
    <xf numFmtId="0" fontId="7" fillId="0" borderId="4" xfId="0" applyFont="1" applyFill="1" applyBorder="1" applyAlignment="1">
      <alignment vertical="center"/>
    </xf>
    <xf numFmtId="0" fontId="7" fillId="0" borderId="4" xfId="0" applyFont="1" applyFill="1" applyBorder="1"/>
    <xf numFmtId="166" fontId="7" fillId="0" borderId="62" xfId="0" applyNumberFormat="1" applyFont="1" applyFill="1" applyBorder="1"/>
    <xf numFmtId="0" fontId="7" fillId="0" borderId="27" xfId="0" applyFont="1" applyFill="1" applyBorder="1"/>
    <xf numFmtId="166" fontId="7" fillId="0" borderId="28" xfId="0" applyNumberFormat="1" applyFont="1" applyFill="1" applyBorder="1"/>
    <xf numFmtId="0" fontId="7" fillId="0" borderId="2" xfId="0" applyFont="1" applyFill="1" applyBorder="1" applyAlignment="1"/>
    <xf numFmtId="0" fontId="15" fillId="0" borderId="27" xfId="0" applyFont="1" applyFill="1" applyBorder="1"/>
    <xf numFmtId="0" fontId="6" fillId="0" borderId="61" xfId="0" applyFont="1" applyFill="1" applyBorder="1" applyAlignment="1">
      <alignment vertical="center"/>
    </xf>
    <xf numFmtId="0" fontId="6" fillId="0" borderId="27" xfId="0" applyFont="1" applyFill="1" applyBorder="1" applyAlignment="1">
      <alignment vertical="center"/>
    </xf>
    <xf numFmtId="0" fontId="6" fillId="0" borderId="53" xfId="0" applyFont="1" applyFill="1" applyBorder="1" applyAlignment="1">
      <alignment vertical="center"/>
    </xf>
    <xf numFmtId="0" fontId="6" fillId="0" borderId="52" xfId="0" applyFont="1" applyFill="1" applyBorder="1"/>
    <xf numFmtId="166" fontId="6" fillId="0" borderId="52" xfId="0" applyNumberFormat="1" applyFont="1" applyFill="1" applyBorder="1"/>
    <xf numFmtId="166" fontId="6" fillId="0" borderId="63" xfId="0" applyNumberFormat="1" applyFont="1" applyFill="1" applyBorder="1"/>
    <xf numFmtId="166" fontId="6" fillId="0" borderId="52" xfId="3" applyNumberFormat="1" applyFont="1" applyFill="1" applyBorder="1"/>
    <xf numFmtId="166" fontId="6" fillId="0" borderId="51" xfId="0" applyNumberFormat="1" applyFont="1" applyFill="1" applyBorder="1"/>
    <xf numFmtId="0" fontId="9" fillId="2" borderId="70" xfId="0" applyFont="1" applyFill="1" applyBorder="1" applyAlignment="1">
      <alignment horizontal="center" wrapText="1"/>
    </xf>
    <xf numFmtId="166" fontId="9" fillId="2" borderId="65" xfId="0" applyNumberFormat="1" applyFont="1" applyFill="1" applyBorder="1" applyAlignment="1">
      <alignment horizontal="center" wrapText="1"/>
    </xf>
    <xf numFmtId="4" fontId="9" fillId="2" borderId="71" xfId="0" applyNumberFormat="1" applyFont="1" applyFill="1" applyBorder="1" applyAlignment="1">
      <alignment horizontal="center" wrapText="1"/>
    </xf>
    <xf numFmtId="4" fontId="9" fillId="2" borderId="28" xfId="0" applyNumberFormat="1" applyFont="1" applyFill="1" applyBorder="1" applyAlignment="1">
      <alignment horizontal="center" wrapText="1"/>
    </xf>
    <xf numFmtId="167" fontId="13" fillId="3" borderId="2" xfId="0" applyNumberFormat="1" applyFont="1" applyFill="1" applyBorder="1" applyAlignment="1">
      <alignment horizontal="center" vertical="top" wrapText="1"/>
    </xf>
    <xf numFmtId="172" fontId="13" fillId="3" borderId="2" xfId="0" applyNumberFormat="1" applyFont="1" applyFill="1" applyBorder="1" applyAlignment="1">
      <alignment horizontal="center" wrapText="1"/>
    </xf>
    <xf numFmtId="167" fontId="13" fillId="3" borderId="2" xfId="0" applyNumberFormat="1" applyFont="1" applyFill="1" applyBorder="1" applyAlignment="1">
      <alignment horizontal="center"/>
    </xf>
    <xf numFmtId="167" fontId="13" fillId="3" borderId="2" xfId="0" applyNumberFormat="1" applyFont="1" applyFill="1" applyBorder="1" applyAlignment="1">
      <alignment horizontal="center" wrapText="1"/>
    </xf>
    <xf numFmtId="3" fontId="13" fillId="3" borderId="2" xfId="0" applyNumberFormat="1" applyFont="1" applyFill="1" applyBorder="1" applyAlignment="1">
      <alignment wrapText="1"/>
    </xf>
    <xf numFmtId="0" fontId="13" fillId="3" borderId="24" xfId="0" applyFont="1" applyFill="1" applyBorder="1" applyAlignment="1">
      <alignment wrapText="1"/>
    </xf>
    <xf numFmtId="167" fontId="13" fillId="3" borderId="2" xfId="0" applyNumberFormat="1" applyFont="1" applyFill="1" applyBorder="1" applyAlignment="1">
      <alignment vertical="top"/>
    </xf>
    <xf numFmtId="3" fontId="13" fillId="3" borderId="2" xfId="0" applyNumberFormat="1" applyFont="1" applyFill="1" applyBorder="1" applyAlignment="1">
      <alignment vertical="top" wrapText="1"/>
    </xf>
    <xf numFmtId="2" fontId="13" fillId="3" borderId="2" xfId="0" applyNumberFormat="1" applyFont="1" applyFill="1" applyBorder="1" applyAlignment="1">
      <alignment vertical="top"/>
    </xf>
    <xf numFmtId="3" fontId="13" fillId="3" borderId="2" xfId="0" applyNumberFormat="1" applyFont="1" applyFill="1" applyBorder="1" applyAlignment="1">
      <alignment vertical="top"/>
    </xf>
    <xf numFmtId="9" fontId="13" fillId="3" borderId="2" xfId="0" applyNumberFormat="1" applyFont="1" applyFill="1" applyBorder="1" applyAlignment="1">
      <alignment vertical="top"/>
    </xf>
    <xf numFmtId="4" fontId="13" fillId="3" borderId="2" xfId="0" applyNumberFormat="1" applyFont="1" applyFill="1" applyBorder="1" applyAlignment="1">
      <alignment vertical="top"/>
    </xf>
    <xf numFmtId="0" fontId="6" fillId="2" borderId="22" xfId="0" applyFont="1" applyFill="1" applyBorder="1" applyAlignment="1">
      <alignment horizontal="left" wrapText="1"/>
    </xf>
    <xf numFmtId="0" fontId="6" fillId="2" borderId="1" xfId="0" applyFont="1" applyFill="1" applyBorder="1" applyAlignment="1">
      <alignment horizontal="left" wrapText="1"/>
    </xf>
    <xf numFmtId="0" fontId="6" fillId="2" borderId="18" xfId="0" applyFont="1" applyFill="1" applyBorder="1" applyAlignment="1">
      <alignment horizontal="center" wrapText="1"/>
    </xf>
    <xf numFmtId="0" fontId="6" fillId="2" borderId="31" xfId="0" applyFont="1" applyFill="1" applyBorder="1" applyAlignment="1">
      <alignment horizontal="center" vertical="center" wrapText="1"/>
    </xf>
    <xf numFmtId="166" fontId="6" fillId="2" borderId="31" xfId="0" applyNumberFormat="1" applyFont="1" applyFill="1" applyBorder="1" applyAlignment="1">
      <alignment horizontal="center" vertical="center" wrapText="1"/>
    </xf>
    <xf numFmtId="0" fontId="6" fillId="2" borderId="32" xfId="0" applyFont="1" applyFill="1" applyBorder="1" applyAlignment="1">
      <alignment horizontal="center" vertical="center" wrapText="1"/>
    </xf>
    <xf numFmtId="0" fontId="6" fillId="2" borderId="34" xfId="0" applyFont="1" applyFill="1" applyBorder="1" applyAlignment="1">
      <alignment vertical="center" wrapText="1"/>
    </xf>
    <xf numFmtId="0" fontId="6" fillId="2" borderId="34" xfId="0" applyFont="1" applyFill="1" applyBorder="1" applyAlignment="1">
      <alignment horizontal="center" vertical="center" wrapText="1"/>
    </xf>
    <xf numFmtId="0" fontId="6" fillId="2" borderId="35" xfId="0" applyFont="1" applyFill="1" applyBorder="1" applyAlignment="1">
      <alignment horizontal="left" vertical="center" wrapText="1"/>
    </xf>
    <xf numFmtId="166" fontId="6" fillId="2" borderId="34" xfId="0" applyNumberFormat="1" applyFont="1" applyFill="1" applyBorder="1" applyAlignment="1">
      <alignment horizontal="center" vertical="center" wrapText="1"/>
    </xf>
    <xf numFmtId="0" fontId="6" fillId="2" borderId="3" xfId="0" applyFont="1" applyFill="1" applyBorder="1" applyAlignment="1">
      <alignment horizontal="center" vertical="center" wrapText="1"/>
    </xf>
    <xf numFmtId="0" fontId="0" fillId="0" borderId="0" xfId="0" applyFill="1" applyBorder="1"/>
    <xf numFmtId="0" fontId="8" fillId="0" borderId="0" xfId="0" applyFont="1" applyFill="1" applyBorder="1"/>
    <xf numFmtId="0" fontId="6" fillId="0" borderId="16" xfId="0" applyFont="1" applyFill="1" applyBorder="1"/>
    <xf numFmtId="0" fontId="0" fillId="0" borderId="16" xfId="0" applyFill="1" applyBorder="1"/>
    <xf numFmtId="166" fontId="6" fillId="0" borderId="16" xfId="3" applyNumberFormat="1" applyFont="1" applyFill="1" applyBorder="1"/>
    <xf numFmtId="166" fontId="6" fillId="0" borderId="16" xfId="0" applyNumberFormat="1" applyFont="1" applyFill="1" applyBorder="1"/>
    <xf numFmtId="0" fontId="18" fillId="0" borderId="0" xfId="13" applyFont="1" applyFill="1"/>
    <xf numFmtId="0" fontId="3" fillId="0" borderId="0" xfId="13" applyFill="1"/>
    <xf numFmtId="0" fontId="3" fillId="0" borderId="2" xfId="13" applyFill="1" applyBorder="1"/>
    <xf numFmtId="9" fontId="0" fillId="0" borderId="2" xfId="14" applyFont="1" applyFill="1" applyBorder="1"/>
    <xf numFmtId="166" fontId="3" fillId="0" borderId="2" xfId="13" applyNumberFormat="1" applyFill="1" applyBorder="1" applyAlignment="1">
      <alignment horizontal="right"/>
    </xf>
    <xf numFmtId="166" fontId="3" fillId="0" borderId="2" xfId="13" applyNumberFormat="1" applyFill="1" applyBorder="1"/>
    <xf numFmtId="0" fontId="46" fillId="10" borderId="65" xfId="21" applyFont="1" applyFill="1" applyBorder="1" applyAlignment="1">
      <alignment horizontal="left" vertical="center"/>
    </xf>
    <xf numFmtId="0" fontId="1" fillId="10" borderId="0" xfId="17" applyFill="1"/>
    <xf numFmtId="0" fontId="0" fillId="10" borderId="0" xfId="0" applyFill="1"/>
    <xf numFmtId="0" fontId="32" fillId="10" borderId="0" xfId="17" applyFont="1" applyFill="1"/>
    <xf numFmtId="0" fontId="35" fillId="10" borderId="0" xfId="18" applyFont="1" applyFill="1" applyAlignment="1">
      <alignment vertical="top"/>
    </xf>
    <xf numFmtId="0" fontId="36" fillId="10" borderId="0" xfId="17" applyFont="1" applyFill="1"/>
    <xf numFmtId="0" fontId="36" fillId="10" borderId="0" xfId="17" applyFont="1" applyFill="1" applyAlignment="1">
      <alignment horizontal="left"/>
    </xf>
    <xf numFmtId="0" fontId="37" fillId="10" borderId="68" xfId="17" applyFont="1" applyFill="1" applyBorder="1" applyAlignment="1">
      <alignment horizontal="center" vertical="center"/>
    </xf>
    <xf numFmtId="49" fontId="36" fillId="10" borderId="0" xfId="17" applyNumberFormat="1" applyFont="1" applyFill="1" applyAlignment="1">
      <alignment wrapText="1"/>
    </xf>
    <xf numFmtId="0" fontId="33" fillId="10" borderId="28" xfId="17" applyFont="1" applyFill="1" applyBorder="1" applyAlignment="1">
      <alignment vertical="top" wrapText="1"/>
    </xf>
    <xf numFmtId="0" fontId="33" fillId="10" borderId="28" xfId="16" applyFont="1" applyFill="1" applyBorder="1" applyAlignment="1">
      <alignment horizontal="left" vertical="top" wrapText="1"/>
    </xf>
    <xf numFmtId="0" fontId="21" fillId="10" borderId="51" xfId="7" applyFill="1" applyBorder="1" applyAlignment="1">
      <alignment horizontal="left" vertical="top" wrapText="1"/>
    </xf>
    <xf numFmtId="0" fontId="36" fillId="10" borderId="50" xfId="17" applyFont="1" applyFill="1" applyBorder="1" applyAlignment="1">
      <alignment vertical="top" wrapText="1"/>
    </xf>
    <xf numFmtId="0" fontId="21" fillId="10" borderId="55" xfId="7" applyFill="1" applyBorder="1" applyAlignment="1">
      <alignment vertical="top"/>
    </xf>
    <xf numFmtId="0" fontId="33" fillId="10" borderId="54" xfId="16" applyFont="1" applyFill="1" applyBorder="1" applyAlignment="1">
      <alignment horizontal="left" wrapText="1"/>
    </xf>
    <xf numFmtId="0" fontId="21" fillId="10" borderId="65" xfId="7" applyFill="1" applyBorder="1" applyAlignment="1">
      <alignment vertical="top"/>
    </xf>
    <xf numFmtId="0" fontId="33" fillId="10" borderId="62" xfId="16" applyFont="1" applyFill="1" applyBorder="1" applyAlignment="1">
      <alignment horizontal="left" wrapText="1"/>
    </xf>
    <xf numFmtId="0" fontId="33" fillId="10" borderId="28" xfId="16" applyFont="1" applyFill="1" applyBorder="1" applyAlignment="1">
      <alignment vertical="top" wrapText="1"/>
    </xf>
    <xf numFmtId="0" fontId="21" fillId="10" borderId="53" xfId="7" applyFill="1" applyBorder="1"/>
    <xf numFmtId="0" fontId="36" fillId="10" borderId="51" xfId="17" applyFont="1" applyFill="1" applyBorder="1" applyAlignment="1">
      <alignment wrapText="1"/>
    </xf>
    <xf numFmtId="0" fontId="48" fillId="10" borderId="0" xfId="0" applyFont="1" applyFill="1"/>
    <xf numFmtId="0" fontId="47" fillId="10" borderId="0" xfId="21" applyFont="1" applyFill="1" applyAlignment="1">
      <alignment horizontal="center"/>
    </xf>
    <xf numFmtId="0" fontId="48" fillId="10" borderId="0" xfId="21" applyFont="1" applyFill="1" applyAlignment="1">
      <alignment horizontal="center"/>
    </xf>
    <xf numFmtId="0" fontId="48" fillId="10" borderId="0" xfId="21" applyFont="1" applyFill="1"/>
    <xf numFmtId="0" fontId="40" fillId="10" borderId="18" xfId="17" applyFont="1" applyFill="1" applyBorder="1" applyAlignment="1">
      <alignment horizontal="center"/>
    </xf>
    <xf numFmtId="0" fontId="5" fillId="0" borderId="0" xfId="21" applyFont="1" applyFill="1" applyAlignment="1">
      <alignment wrapText="1"/>
    </xf>
    <xf numFmtId="0" fontId="39" fillId="10" borderId="65" xfId="21" applyFont="1" applyFill="1" applyBorder="1" applyAlignment="1">
      <alignment horizontal="justify" vertical="center"/>
    </xf>
    <xf numFmtId="0" fontId="41" fillId="10" borderId="0" xfId="21" applyFont="1" applyFill="1" applyAlignment="1">
      <alignment horizontal="left"/>
    </xf>
    <xf numFmtId="0" fontId="46" fillId="10" borderId="65" xfId="21" applyFont="1" applyFill="1" applyBorder="1" applyAlignment="1">
      <alignment horizontal="left" vertical="center"/>
    </xf>
    <xf numFmtId="0" fontId="36" fillId="10" borderId="0" xfId="17" applyFont="1" applyFill="1" applyAlignment="1">
      <alignment horizontal="left" vertical="top" wrapText="1"/>
    </xf>
    <xf numFmtId="0" fontId="41" fillId="10" borderId="10" xfId="17" applyFont="1" applyFill="1" applyBorder="1" applyAlignment="1">
      <alignment horizontal="center" vertical="center" wrapText="1"/>
    </xf>
    <xf numFmtId="0" fontId="41" fillId="10" borderId="7" xfId="17" applyFont="1" applyFill="1" applyBorder="1" applyAlignment="1">
      <alignment horizontal="center" vertical="center" wrapText="1"/>
    </xf>
    <xf numFmtId="0" fontId="41" fillId="10" borderId="14" xfId="17" applyFont="1" applyFill="1" applyBorder="1" applyAlignment="1">
      <alignment horizontal="center" vertical="center" wrapText="1"/>
    </xf>
    <xf numFmtId="0" fontId="1" fillId="10" borderId="10" xfId="17" applyFont="1" applyFill="1" applyBorder="1" applyAlignment="1">
      <alignment horizontal="center" vertical="center" wrapText="1"/>
    </xf>
    <xf numFmtId="0" fontId="1" fillId="10" borderId="7" xfId="17" applyFont="1" applyFill="1" applyBorder="1" applyAlignment="1">
      <alignment horizontal="center" vertical="center" wrapText="1"/>
    </xf>
    <xf numFmtId="0" fontId="1" fillId="10" borderId="14" xfId="17" applyFont="1" applyFill="1" applyBorder="1" applyAlignment="1">
      <alignment horizontal="center" vertical="center" wrapText="1"/>
    </xf>
    <xf numFmtId="0" fontId="47" fillId="10" borderId="0" xfId="21" applyFont="1" applyFill="1" applyAlignment="1">
      <alignment horizontal="left"/>
    </xf>
    <xf numFmtId="0" fontId="20" fillId="3" borderId="0" xfId="0" applyFont="1" applyFill="1" applyBorder="1" applyAlignment="1">
      <alignment horizontal="left" vertical="center"/>
    </xf>
    <xf numFmtId="0" fontId="33" fillId="0" borderId="34" xfId="16" applyFont="1" applyBorder="1" applyAlignment="1">
      <alignment vertical="top" wrapText="1"/>
    </xf>
    <xf numFmtId="0" fontId="33" fillId="0" borderId="0" xfId="16" applyFont="1" applyBorder="1" applyAlignment="1">
      <alignment vertical="top" wrapText="1"/>
    </xf>
    <xf numFmtId="0" fontId="9" fillId="2" borderId="27" xfId="0" applyFont="1" applyFill="1" applyBorder="1" applyAlignment="1">
      <alignment horizontal="center" wrapText="1"/>
    </xf>
    <xf numFmtId="0" fontId="9" fillId="2" borderId="2" xfId="0" applyFont="1" applyFill="1" applyBorder="1" applyAlignment="1">
      <alignment horizontal="center" wrapText="1"/>
    </xf>
    <xf numFmtId="0" fontId="9" fillId="2" borderId="28" xfId="0" applyFont="1" applyFill="1" applyBorder="1" applyAlignment="1">
      <alignment horizontal="center" wrapText="1"/>
    </xf>
    <xf numFmtId="0" fontId="9" fillId="2" borderId="40" xfId="0" applyFont="1" applyFill="1" applyBorder="1" applyAlignment="1">
      <alignment horizontal="center"/>
    </xf>
    <xf numFmtId="0" fontId="9" fillId="2" borderId="38" xfId="0" applyFont="1" applyFill="1" applyBorder="1" applyAlignment="1">
      <alignment horizontal="center"/>
    </xf>
    <xf numFmtId="0" fontId="9" fillId="2" borderId="38" xfId="0" applyFont="1" applyFill="1" applyBorder="1" applyAlignment="1">
      <alignment horizontal="center" wrapText="1"/>
    </xf>
    <xf numFmtId="0" fontId="9" fillId="2" borderId="70" xfId="0" applyFont="1" applyFill="1" applyBorder="1" applyAlignment="1">
      <alignment horizontal="center" wrapText="1"/>
    </xf>
    <xf numFmtId="0" fontId="9" fillId="2" borderId="65" xfId="0" applyFont="1" applyFill="1" applyBorder="1" applyAlignment="1">
      <alignment horizontal="center" wrapText="1"/>
    </xf>
    <xf numFmtId="0" fontId="9" fillId="2" borderId="71" xfId="0" applyFont="1" applyFill="1" applyBorder="1" applyAlignment="1">
      <alignment horizontal="center" wrapText="1"/>
    </xf>
    <xf numFmtId="0" fontId="9" fillId="2" borderId="41" xfId="0" applyFont="1" applyFill="1" applyBorder="1" applyAlignment="1">
      <alignment horizontal="center" wrapText="1"/>
    </xf>
    <xf numFmtId="0" fontId="9" fillId="2" borderId="36" xfId="0" applyFont="1" applyFill="1" applyBorder="1" applyAlignment="1">
      <alignment horizontal="center" wrapText="1"/>
    </xf>
    <xf numFmtId="0" fontId="9" fillId="2" borderId="42" xfId="0" applyFont="1" applyFill="1" applyBorder="1" applyAlignment="1">
      <alignment horizontal="center" wrapText="1"/>
    </xf>
    <xf numFmtId="0" fontId="9" fillId="2" borderId="69" xfId="0" applyFont="1" applyFill="1" applyBorder="1" applyAlignment="1">
      <alignment horizontal="center" wrapText="1"/>
    </xf>
    <xf numFmtId="0" fontId="9" fillId="2" borderId="64" xfId="0" applyFont="1" applyFill="1" applyBorder="1" applyAlignment="1">
      <alignment horizontal="center" wrapText="1"/>
    </xf>
    <xf numFmtId="0" fontId="0" fillId="3" borderId="2" xfId="0" applyFill="1" applyBorder="1" applyAlignment="1">
      <alignment horizontal="center"/>
    </xf>
    <xf numFmtId="166" fontId="6" fillId="3" borderId="2" xfId="0" applyNumberFormat="1" applyFont="1" applyFill="1" applyBorder="1" applyAlignment="1">
      <alignment horizontal="right" vertical="center"/>
    </xf>
    <xf numFmtId="166" fontId="6" fillId="3" borderId="2" xfId="3" applyNumberFormat="1" applyFont="1" applyFill="1" applyBorder="1" applyAlignment="1">
      <alignment horizontal="right" vertical="center"/>
    </xf>
    <xf numFmtId="166" fontId="6" fillId="3" borderId="23" xfId="0" applyNumberFormat="1" applyFont="1" applyFill="1" applyBorder="1" applyAlignment="1">
      <alignment horizontal="right" vertical="center"/>
    </xf>
    <xf numFmtId="166" fontId="6" fillId="3" borderId="25" xfId="0" applyNumberFormat="1" applyFont="1" applyFill="1" applyBorder="1" applyAlignment="1">
      <alignment horizontal="right" vertical="center"/>
    </xf>
    <xf numFmtId="0" fontId="6" fillId="3" borderId="2" xfId="0" applyFont="1" applyFill="1" applyBorder="1" applyAlignment="1">
      <alignment horizontal="left" vertical="center"/>
    </xf>
    <xf numFmtId="0" fontId="6" fillId="3" borderId="6" xfId="0" applyFont="1" applyFill="1" applyBorder="1" applyAlignment="1">
      <alignment horizontal="left" vertical="center"/>
    </xf>
    <xf numFmtId="0" fontId="6" fillId="3" borderId="4" xfId="0" applyFont="1" applyFill="1" applyBorder="1" applyAlignment="1">
      <alignment horizontal="left" vertical="center"/>
    </xf>
    <xf numFmtId="166" fontId="6" fillId="3" borderId="6" xfId="0" applyNumberFormat="1" applyFont="1" applyFill="1" applyBorder="1" applyAlignment="1">
      <alignment horizontal="right" vertical="center"/>
    </xf>
    <xf numFmtId="166" fontId="6" fillId="3" borderId="4" xfId="0" applyNumberFormat="1" applyFont="1" applyFill="1" applyBorder="1" applyAlignment="1">
      <alignment horizontal="right" vertical="center"/>
    </xf>
    <xf numFmtId="166" fontId="14" fillId="3" borderId="6" xfId="0" applyNumberFormat="1" applyFont="1" applyFill="1" applyBorder="1" applyAlignment="1">
      <alignment vertical="center"/>
    </xf>
    <xf numFmtId="166" fontId="14" fillId="3" borderId="3" xfId="0" applyNumberFormat="1" applyFont="1" applyFill="1" applyBorder="1" applyAlignment="1">
      <alignment vertical="center"/>
    </xf>
    <xf numFmtId="166" fontId="14" fillId="3" borderId="4" xfId="0" applyNumberFormat="1" applyFont="1" applyFill="1" applyBorder="1" applyAlignment="1">
      <alignment vertical="center"/>
    </xf>
    <xf numFmtId="166" fontId="6" fillId="3" borderId="6" xfId="3" applyNumberFormat="1" applyFont="1" applyFill="1" applyBorder="1" applyAlignment="1">
      <alignment vertical="center"/>
    </xf>
    <xf numFmtId="166" fontId="6" fillId="3" borderId="3" xfId="3" applyNumberFormat="1" applyFont="1" applyFill="1" applyBorder="1" applyAlignment="1">
      <alignment vertical="center"/>
    </xf>
    <xf numFmtId="166" fontId="6" fillId="3" borderId="4" xfId="3" applyNumberFormat="1" applyFont="1" applyFill="1" applyBorder="1" applyAlignment="1">
      <alignment vertical="center"/>
    </xf>
    <xf numFmtId="166" fontId="6" fillId="3" borderId="6" xfId="0" applyNumberFormat="1" applyFont="1" applyFill="1" applyBorder="1" applyAlignment="1">
      <alignment vertical="center"/>
    </xf>
    <xf numFmtId="166" fontId="6" fillId="3" borderId="3" xfId="0" applyNumberFormat="1" applyFont="1" applyFill="1" applyBorder="1" applyAlignment="1">
      <alignment vertical="center"/>
    </xf>
    <xf numFmtId="166" fontId="6" fillId="3" borderId="4" xfId="0" applyNumberFormat="1" applyFont="1" applyFill="1" applyBorder="1" applyAlignment="1">
      <alignment vertical="center"/>
    </xf>
    <xf numFmtId="0" fontId="6" fillId="3" borderId="3" xfId="0" applyFont="1" applyFill="1" applyBorder="1" applyAlignment="1">
      <alignment horizontal="left" vertical="center"/>
    </xf>
    <xf numFmtId="0" fontId="22" fillId="0" borderId="0" xfId="0" applyFont="1" applyAlignment="1">
      <alignment wrapText="1"/>
    </xf>
    <xf numFmtId="0" fontId="0" fillId="0" borderId="0" xfId="0"/>
    <xf numFmtId="0" fontId="19" fillId="6" borderId="60" xfId="0" applyFont="1" applyFill="1" applyBorder="1" applyAlignment="1">
      <alignment wrapText="1"/>
    </xf>
    <xf numFmtId="0" fontId="19" fillId="6" borderId="59" xfId="0" applyFont="1" applyFill="1" applyBorder="1" applyAlignment="1">
      <alignment wrapText="1"/>
    </xf>
  </cellXfs>
  <cellStyles count="22">
    <cellStyle name="]_x000d__x000a_Zoomed=1_x000d__x000a_Row=0_x000d__x000a_Column=0_x000d__x000a_Height=0_x000d__x000a_Width=0_x000d__x000a_FontName=FoxFont_x000d__x000a_FontStyle=0_x000d__x000a_FontSize=9_x000d__x000a_PrtFontName=FoxPrin_MASTER FILE SR121009" xfId="18"/>
    <cellStyle name="Comma" xfId="4" builtinId="3"/>
    <cellStyle name="Comma 2" xfId="10"/>
    <cellStyle name="Currency" xfId="1" builtinId="4"/>
    <cellStyle name="Heading 1 2" xfId="12"/>
    <cellStyle name="Hyperlink" xfId="7" builtinId="8"/>
    <cellStyle name="Hyperlink 2" xfId="19"/>
    <cellStyle name="Normal" xfId="0" builtinId="0"/>
    <cellStyle name="Normal 11" xfId="21"/>
    <cellStyle name="Normal 14" xfId="20"/>
    <cellStyle name="Normal 2" xfId="13"/>
    <cellStyle name="Normal 2 2" xfId="16"/>
    <cellStyle name="Normal 3" xfId="17"/>
    <cellStyle name="Normal 4" xfId="8"/>
    <cellStyle name="Normal 5" xfId="6"/>
    <cellStyle name="Normal 9" xfId="15"/>
    <cellStyle name="Normal_Current PCTs and New Configurations" xfId="2"/>
    <cellStyle name="Percent" xfId="3" builtinId="5"/>
    <cellStyle name="Percent 2" xfId="5"/>
    <cellStyle name="Percent 2 2" xfId="9"/>
    <cellStyle name="Percent 3" xfId="14"/>
    <cellStyle name="Title 2" xfId="11"/>
  </cellStyles>
  <dxfs count="17">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4.xml"/><Relationship Id="rId46"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3.xml"/><Relationship Id="rId40" Type="http://schemas.openxmlformats.org/officeDocument/2006/relationships/styles" Target="styles.xml"/><Relationship Id="rId45"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1.xml"/><Relationship Id="rId43"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256443</xdr:colOff>
      <xdr:row>8</xdr:row>
      <xdr:rowOff>14654</xdr:rowOff>
    </xdr:from>
    <xdr:to>
      <xdr:col>13</xdr:col>
      <xdr:colOff>372341</xdr:colOff>
      <xdr:row>10</xdr:row>
      <xdr:rowOff>103909</xdr:rowOff>
    </xdr:to>
    <xdr:sp macro="" textlink="">
      <xdr:nvSpPr>
        <xdr:cNvPr id="2" name="TextBox 1"/>
        <xdr:cNvSpPr txBox="1"/>
      </xdr:nvSpPr>
      <xdr:spPr>
        <a:xfrm>
          <a:off x="256443" y="1685859"/>
          <a:ext cx="7900421" cy="470255"/>
        </a:xfrm>
        <a:prstGeom prst="rect">
          <a:avLst/>
        </a:prstGeom>
        <a:solidFill>
          <a:schemeClr val="tx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mn-lt"/>
              <a:ea typeface="+mn-ea"/>
              <a:cs typeface="+mn-cs"/>
            </a:rPr>
            <a:t>This spreadsheet</a:t>
          </a:r>
          <a:r>
            <a:rPr lang="en-GB" sz="1100" baseline="0">
              <a:solidFill>
                <a:schemeClr val="dk1"/>
              </a:solidFill>
              <a:effectLst/>
              <a:latin typeface="+mn-lt"/>
              <a:ea typeface="+mn-ea"/>
              <a:cs typeface="+mn-cs"/>
            </a:rPr>
            <a:t> sets out for users how the Market Forces Factor (MFF) is calculated.  It also gives users the base data used in calculations and the details of MFF recalculations due to mergers.</a:t>
          </a:r>
          <a:endParaRPr lang="en-GB" sz="1100">
            <a:solidFill>
              <a:schemeClr val="dk1"/>
            </a:solidFill>
            <a:effectLst/>
            <a:latin typeface="+mn-lt"/>
            <a:ea typeface="+mn-ea"/>
            <a:cs typeface="+mn-cs"/>
          </a:endParaRPr>
        </a:p>
      </xdr:txBody>
    </xdr:sp>
    <xdr:clientData/>
  </xdr:twoCellAnchor>
  <xdr:oneCellAnchor>
    <xdr:from>
      <xdr:col>0</xdr:col>
      <xdr:colOff>85725</xdr:colOff>
      <xdr:row>0</xdr:row>
      <xdr:rowOff>9525</xdr:rowOff>
    </xdr:from>
    <xdr:ext cx="1895762" cy="1217635"/>
    <xdr:pic>
      <xdr:nvPicPr>
        <xdr:cNvPr id="3" name="Picture 2" descr="http://www.nhs.uk/NHSEngland/thenhs/healthregulators/PublishingImages/2013/monitor_328x212.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9525"/>
          <a:ext cx="1895762" cy="121763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2.xml><?xml version="1.0" encoding="utf-8"?>
<xdr:wsDr xmlns:xdr="http://schemas.openxmlformats.org/drawingml/2006/spreadsheetDrawing" xmlns:a="http://schemas.openxmlformats.org/drawingml/2006/main">
  <xdr:twoCellAnchor>
    <xdr:from>
      <xdr:col>2</xdr:col>
      <xdr:colOff>136070</xdr:colOff>
      <xdr:row>21</xdr:row>
      <xdr:rowOff>38100</xdr:rowOff>
    </xdr:from>
    <xdr:to>
      <xdr:col>4</xdr:col>
      <xdr:colOff>2939141</xdr:colOff>
      <xdr:row>98</xdr:row>
      <xdr:rowOff>54767</xdr:rowOff>
    </xdr:to>
    <xdr:grpSp>
      <xdr:nvGrpSpPr>
        <xdr:cNvPr id="78" name="Group 77"/>
        <xdr:cNvGrpSpPr/>
      </xdr:nvGrpSpPr>
      <xdr:grpSpPr>
        <a:xfrm>
          <a:off x="1650545" y="5448300"/>
          <a:ext cx="9289596" cy="12513467"/>
          <a:chOff x="76200" y="118044"/>
          <a:chExt cx="9296400" cy="12607356"/>
        </a:xfrm>
      </xdr:grpSpPr>
      <xdr:sp macro="" textlink="">
        <xdr:nvSpPr>
          <xdr:cNvPr id="79" name="TextBox 40"/>
          <xdr:cNvSpPr txBox="1"/>
        </xdr:nvSpPr>
        <xdr:spPr>
          <a:xfrm>
            <a:off x="533400" y="118045"/>
            <a:ext cx="8839200" cy="353943"/>
          </a:xfrm>
          <a:prstGeom prst="rect">
            <a:avLst/>
          </a:prstGeom>
          <a:noFill/>
        </xdr:spPr>
        <xdr:txBody>
          <a:bodyPr wrap="square" rtlCol="0">
            <a:spAutoFit/>
          </a:bodyPr>
          <a:lstStyle>
            <a:defPPr>
              <a:defRPr lang="en-US"/>
            </a:defPPr>
            <a:lvl1pPr marL="0" algn="l" defTabSz="1280160" rtl="0" eaLnBrk="1" latinLnBrk="0" hangingPunct="1">
              <a:defRPr sz="2500" kern="1200">
                <a:solidFill>
                  <a:schemeClr val="tx1"/>
                </a:solidFill>
                <a:latin typeface="+mn-lt"/>
                <a:ea typeface="+mn-ea"/>
                <a:cs typeface="+mn-cs"/>
              </a:defRPr>
            </a:lvl1pPr>
            <a:lvl2pPr marL="640080" algn="l" defTabSz="1280160" rtl="0" eaLnBrk="1" latinLnBrk="0" hangingPunct="1">
              <a:defRPr sz="2500" kern="1200">
                <a:solidFill>
                  <a:schemeClr val="tx1"/>
                </a:solidFill>
                <a:latin typeface="+mn-lt"/>
                <a:ea typeface="+mn-ea"/>
                <a:cs typeface="+mn-cs"/>
              </a:defRPr>
            </a:lvl2pPr>
            <a:lvl3pPr marL="1280160" algn="l" defTabSz="1280160" rtl="0" eaLnBrk="1" latinLnBrk="0" hangingPunct="1">
              <a:defRPr sz="2500" kern="1200">
                <a:solidFill>
                  <a:schemeClr val="tx1"/>
                </a:solidFill>
                <a:latin typeface="+mn-lt"/>
                <a:ea typeface="+mn-ea"/>
                <a:cs typeface="+mn-cs"/>
              </a:defRPr>
            </a:lvl3pPr>
            <a:lvl4pPr marL="1920240" algn="l" defTabSz="1280160" rtl="0" eaLnBrk="1" latinLnBrk="0" hangingPunct="1">
              <a:defRPr sz="2500" kern="1200">
                <a:solidFill>
                  <a:schemeClr val="tx1"/>
                </a:solidFill>
                <a:latin typeface="+mn-lt"/>
                <a:ea typeface="+mn-ea"/>
                <a:cs typeface="+mn-cs"/>
              </a:defRPr>
            </a:lvl4pPr>
            <a:lvl5pPr marL="2560320" algn="l" defTabSz="1280160" rtl="0" eaLnBrk="1" latinLnBrk="0" hangingPunct="1">
              <a:defRPr sz="2500" kern="1200">
                <a:solidFill>
                  <a:schemeClr val="tx1"/>
                </a:solidFill>
                <a:latin typeface="+mn-lt"/>
                <a:ea typeface="+mn-ea"/>
                <a:cs typeface="+mn-cs"/>
              </a:defRPr>
            </a:lvl5pPr>
            <a:lvl6pPr marL="3200400" algn="l" defTabSz="1280160" rtl="0" eaLnBrk="1" latinLnBrk="0" hangingPunct="1">
              <a:defRPr sz="2500" kern="1200">
                <a:solidFill>
                  <a:schemeClr val="tx1"/>
                </a:solidFill>
                <a:latin typeface="+mn-lt"/>
                <a:ea typeface="+mn-ea"/>
                <a:cs typeface="+mn-cs"/>
              </a:defRPr>
            </a:lvl6pPr>
            <a:lvl7pPr marL="3840480" algn="l" defTabSz="1280160" rtl="0" eaLnBrk="1" latinLnBrk="0" hangingPunct="1">
              <a:defRPr sz="2500" kern="1200">
                <a:solidFill>
                  <a:schemeClr val="tx1"/>
                </a:solidFill>
                <a:latin typeface="+mn-lt"/>
                <a:ea typeface="+mn-ea"/>
                <a:cs typeface="+mn-cs"/>
              </a:defRPr>
            </a:lvl7pPr>
            <a:lvl8pPr marL="4480560" algn="l" defTabSz="1280160" rtl="0" eaLnBrk="1" latinLnBrk="0" hangingPunct="1">
              <a:defRPr sz="2500" kern="1200">
                <a:solidFill>
                  <a:schemeClr val="tx1"/>
                </a:solidFill>
                <a:latin typeface="+mn-lt"/>
                <a:ea typeface="+mn-ea"/>
                <a:cs typeface="+mn-cs"/>
              </a:defRPr>
            </a:lvl8pPr>
            <a:lvl9pPr marL="5120640" algn="l" defTabSz="1280160" rtl="0" eaLnBrk="1" latinLnBrk="0" hangingPunct="1">
              <a:defRPr sz="2500" kern="1200">
                <a:solidFill>
                  <a:schemeClr val="tx1"/>
                </a:solidFill>
                <a:latin typeface="+mn-lt"/>
                <a:ea typeface="+mn-ea"/>
                <a:cs typeface="+mn-cs"/>
              </a:defRPr>
            </a:lvl9pPr>
          </a:lstStyle>
          <a:p>
            <a:r>
              <a:rPr lang="en-GB" sz="1700"/>
              <a:t>Inputs		                    Analysis / calculations		   Output</a:t>
            </a:r>
          </a:p>
        </xdr:txBody>
      </xdr:sp>
      <xdr:cxnSp macro="">
        <xdr:nvCxnSpPr>
          <xdr:cNvPr id="80" name="Elbow Connector 79"/>
          <xdr:cNvCxnSpPr>
            <a:stCxn id="93" idx="3"/>
            <a:endCxn id="114" idx="1"/>
          </xdr:cNvCxnSpPr>
        </xdr:nvCxnSpPr>
        <xdr:spPr>
          <a:xfrm flipV="1">
            <a:off x="4383699" y="5281613"/>
            <a:ext cx="551360" cy="628650"/>
          </a:xfrm>
          <a:prstGeom prst="bentConnector3">
            <a:avLst>
              <a:gd name="adj1" fmla="val 50000"/>
            </a:avLst>
          </a:prstGeom>
          <a:ln w="19050">
            <a:solidFill>
              <a:srgbClr val="00B050"/>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81" name="Elbow Connector 80"/>
          <xdr:cNvCxnSpPr>
            <a:stCxn id="83" idx="3"/>
            <a:endCxn id="121" idx="1"/>
          </xdr:cNvCxnSpPr>
        </xdr:nvCxnSpPr>
        <xdr:spPr>
          <a:xfrm flipV="1">
            <a:off x="1316433" y="10644188"/>
            <a:ext cx="2061394" cy="657225"/>
          </a:xfrm>
          <a:prstGeom prst="bentConnector3">
            <a:avLst>
              <a:gd name="adj1" fmla="val 50000"/>
            </a:avLst>
          </a:prstGeom>
          <a:ln w="19050">
            <a:solidFill>
              <a:schemeClr val="accent6">
                <a:lumMod val="50000"/>
              </a:schemeClr>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82" name="Rectangle 81"/>
          <xdr:cNvSpPr/>
        </xdr:nvSpPr>
        <xdr:spPr>
          <a:xfrm>
            <a:off x="1506059" y="2783495"/>
            <a:ext cx="1008541" cy="504825"/>
          </a:xfrm>
          <a:prstGeom prst="rect">
            <a:avLst/>
          </a:prstGeom>
          <a:solidFill>
            <a:schemeClr val="accent6"/>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chorCtr="0"/>
          <a:lstStyle>
            <a:defPPr>
              <a:defRPr lang="en-US"/>
            </a:defPPr>
            <a:lvl1pPr marL="0" algn="l" defTabSz="1280160" rtl="0" eaLnBrk="1" latinLnBrk="0" hangingPunct="1">
              <a:defRPr sz="2500" kern="1200">
                <a:solidFill>
                  <a:schemeClr val="lt1"/>
                </a:solidFill>
                <a:latin typeface="+mn-lt"/>
                <a:ea typeface="+mn-ea"/>
                <a:cs typeface="+mn-cs"/>
              </a:defRPr>
            </a:lvl1pPr>
            <a:lvl2pPr marL="640080" algn="l" defTabSz="1280160" rtl="0" eaLnBrk="1" latinLnBrk="0" hangingPunct="1">
              <a:defRPr sz="2500" kern="1200">
                <a:solidFill>
                  <a:schemeClr val="lt1"/>
                </a:solidFill>
                <a:latin typeface="+mn-lt"/>
                <a:ea typeface="+mn-ea"/>
                <a:cs typeface="+mn-cs"/>
              </a:defRPr>
            </a:lvl2pPr>
            <a:lvl3pPr marL="1280160" algn="l" defTabSz="1280160" rtl="0" eaLnBrk="1" latinLnBrk="0" hangingPunct="1">
              <a:defRPr sz="2500" kern="1200">
                <a:solidFill>
                  <a:schemeClr val="lt1"/>
                </a:solidFill>
                <a:latin typeface="+mn-lt"/>
                <a:ea typeface="+mn-ea"/>
                <a:cs typeface="+mn-cs"/>
              </a:defRPr>
            </a:lvl3pPr>
            <a:lvl4pPr marL="1920240" algn="l" defTabSz="1280160" rtl="0" eaLnBrk="1" latinLnBrk="0" hangingPunct="1">
              <a:defRPr sz="2500" kern="1200">
                <a:solidFill>
                  <a:schemeClr val="lt1"/>
                </a:solidFill>
                <a:latin typeface="+mn-lt"/>
                <a:ea typeface="+mn-ea"/>
                <a:cs typeface="+mn-cs"/>
              </a:defRPr>
            </a:lvl4pPr>
            <a:lvl5pPr marL="2560320" algn="l" defTabSz="1280160" rtl="0" eaLnBrk="1" latinLnBrk="0" hangingPunct="1">
              <a:defRPr sz="2500" kern="1200">
                <a:solidFill>
                  <a:schemeClr val="lt1"/>
                </a:solidFill>
                <a:latin typeface="+mn-lt"/>
                <a:ea typeface="+mn-ea"/>
                <a:cs typeface="+mn-cs"/>
              </a:defRPr>
            </a:lvl5pPr>
            <a:lvl6pPr marL="3200400" algn="l" defTabSz="1280160" rtl="0" eaLnBrk="1" latinLnBrk="0" hangingPunct="1">
              <a:defRPr sz="2500" kern="1200">
                <a:solidFill>
                  <a:schemeClr val="lt1"/>
                </a:solidFill>
                <a:latin typeface="+mn-lt"/>
                <a:ea typeface="+mn-ea"/>
                <a:cs typeface="+mn-cs"/>
              </a:defRPr>
            </a:lvl6pPr>
            <a:lvl7pPr marL="3840480" algn="l" defTabSz="1280160" rtl="0" eaLnBrk="1" latinLnBrk="0" hangingPunct="1">
              <a:defRPr sz="2500" kern="1200">
                <a:solidFill>
                  <a:schemeClr val="lt1"/>
                </a:solidFill>
                <a:latin typeface="+mn-lt"/>
                <a:ea typeface="+mn-ea"/>
                <a:cs typeface="+mn-cs"/>
              </a:defRPr>
            </a:lvl7pPr>
            <a:lvl8pPr marL="4480560" algn="l" defTabSz="1280160" rtl="0" eaLnBrk="1" latinLnBrk="0" hangingPunct="1">
              <a:defRPr sz="2500" kern="1200">
                <a:solidFill>
                  <a:schemeClr val="lt1"/>
                </a:solidFill>
                <a:latin typeface="+mn-lt"/>
                <a:ea typeface="+mn-ea"/>
                <a:cs typeface="+mn-cs"/>
              </a:defRPr>
            </a:lvl8pPr>
            <a:lvl9pPr marL="5120640" algn="l" defTabSz="1280160" rtl="0" eaLnBrk="1" latinLnBrk="0" hangingPunct="1">
              <a:defRPr sz="2500" kern="1200">
                <a:solidFill>
                  <a:schemeClr val="lt1"/>
                </a:solidFill>
                <a:latin typeface="+mn-lt"/>
                <a:ea typeface="+mn-ea"/>
                <a:cs typeface="+mn-cs"/>
              </a:defRPr>
            </a:lvl9pPr>
          </a:lstStyle>
          <a:p>
            <a:pPr algn="ctr"/>
            <a:r>
              <a:rPr lang="en-GB" sz="900">
                <a:solidFill>
                  <a:sysClr val="windowText" lastClr="000000"/>
                </a:solidFill>
              </a:rPr>
              <a:t>PCT data</a:t>
            </a:r>
            <a:endParaRPr lang="en-GB" sz="900">
              <a:solidFill>
                <a:sysClr val="windowText" lastClr="000000"/>
              </a:solidFill>
              <a:latin typeface="Arial" panose="020B0604020202020204" pitchFamily="34" charset="0"/>
              <a:cs typeface="Arial" panose="020B0604020202020204" pitchFamily="34" charset="0"/>
            </a:endParaRPr>
          </a:p>
        </xdr:txBody>
      </xdr:sp>
      <xdr:sp macro="" textlink="">
        <xdr:nvSpPr>
          <xdr:cNvPr id="83" name="Rectangle 82"/>
          <xdr:cNvSpPr/>
        </xdr:nvSpPr>
        <xdr:spPr>
          <a:xfrm>
            <a:off x="307892" y="11049000"/>
            <a:ext cx="1008541" cy="504825"/>
          </a:xfrm>
          <a:prstGeom prst="rect">
            <a:avLst/>
          </a:prstGeom>
          <a:solidFill>
            <a:schemeClr val="accent6"/>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chorCtr="0"/>
          <a:lstStyle>
            <a:defPPr>
              <a:defRPr lang="en-US"/>
            </a:defPPr>
            <a:lvl1pPr marL="0" algn="l" defTabSz="1280160" rtl="0" eaLnBrk="1" latinLnBrk="0" hangingPunct="1">
              <a:defRPr sz="2500" kern="1200">
                <a:solidFill>
                  <a:schemeClr val="lt1"/>
                </a:solidFill>
                <a:latin typeface="+mn-lt"/>
                <a:ea typeface="+mn-ea"/>
                <a:cs typeface="+mn-cs"/>
              </a:defRPr>
            </a:lvl1pPr>
            <a:lvl2pPr marL="640080" algn="l" defTabSz="1280160" rtl="0" eaLnBrk="1" latinLnBrk="0" hangingPunct="1">
              <a:defRPr sz="2500" kern="1200">
                <a:solidFill>
                  <a:schemeClr val="lt1"/>
                </a:solidFill>
                <a:latin typeface="+mn-lt"/>
                <a:ea typeface="+mn-ea"/>
                <a:cs typeface="+mn-cs"/>
              </a:defRPr>
            </a:lvl2pPr>
            <a:lvl3pPr marL="1280160" algn="l" defTabSz="1280160" rtl="0" eaLnBrk="1" latinLnBrk="0" hangingPunct="1">
              <a:defRPr sz="2500" kern="1200">
                <a:solidFill>
                  <a:schemeClr val="lt1"/>
                </a:solidFill>
                <a:latin typeface="+mn-lt"/>
                <a:ea typeface="+mn-ea"/>
                <a:cs typeface="+mn-cs"/>
              </a:defRPr>
            </a:lvl3pPr>
            <a:lvl4pPr marL="1920240" algn="l" defTabSz="1280160" rtl="0" eaLnBrk="1" latinLnBrk="0" hangingPunct="1">
              <a:defRPr sz="2500" kern="1200">
                <a:solidFill>
                  <a:schemeClr val="lt1"/>
                </a:solidFill>
                <a:latin typeface="+mn-lt"/>
                <a:ea typeface="+mn-ea"/>
                <a:cs typeface="+mn-cs"/>
              </a:defRPr>
            </a:lvl4pPr>
            <a:lvl5pPr marL="2560320" algn="l" defTabSz="1280160" rtl="0" eaLnBrk="1" latinLnBrk="0" hangingPunct="1">
              <a:defRPr sz="2500" kern="1200">
                <a:solidFill>
                  <a:schemeClr val="lt1"/>
                </a:solidFill>
                <a:latin typeface="+mn-lt"/>
                <a:ea typeface="+mn-ea"/>
                <a:cs typeface="+mn-cs"/>
              </a:defRPr>
            </a:lvl5pPr>
            <a:lvl6pPr marL="3200400" algn="l" defTabSz="1280160" rtl="0" eaLnBrk="1" latinLnBrk="0" hangingPunct="1">
              <a:defRPr sz="2500" kern="1200">
                <a:solidFill>
                  <a:schemeClr val="lt1"/>
                </a:solidFill>
                <a:latin typeface="+mn-lt"/>
                <a:ea typeface="+mn-ea"/>
                <a:cs typeface="+mn-cs"/>
              </a:defRPr>
            </a:lvl6pPr>
            <a:lvl7pPr marL="3840480" algn="l" defTabSz="1280160" rtl="0" eaLnBrk="1" latinLnBrk="0" hangingPunct="1">
              <a:defRPr sz="2500" kern="1200">
                <a:solidFill>
                  <a:schemeClr val="lt1"/>
                </a:solidFill>
                <a:latin typeface="+mn-lt"/>
                <a:ea typeface="+mn-ea"/>
                <a:cs typeface="+mn-cs"/>
              </a:defRPr>
            </a:lvl7pPr>
            <a:lvl8pPr marL="4480560" algn="l" defTabSz="1280160" rtl="0" eaLnBrk="1" latinLnBrk="0" hangingPunct="1">
              <a:defRPr sz="2500" kern="1200">
                <a:solidFill>
                  <a:schemeClr val="lt1"/>
                </a:solidFill>
                <a:latin typeface="+mn-lt"/>
                <a:ea typeface="+mn-ea"/>
                <a:cs typeface="+mn-cs"/>
              </a:defRPr>
            </a:lvl8pPr>
            <a:lvl9pPr marL="5120640" algn="l" defTabSz="1280160" rtl="0" eaLnBrk="1" latinLnBrk="0" hangingPunct="1">
              <a:defRPr sz="2500" kern="1200">
                <a:solidFill>
                  <a:schemeClr val="lt1"/>
                </a:solidFill>
                <a:latin typeface="+mn-lt"/>
                <a:ea typeface="+mn-ea"/>
                <a:cs typeface="+mn-cs"/>
              </a:defRPr>
            </a:lvl9pPr>
          </a:lstStyle>
          <a:p>
            <a:pPr algn="ctr"/>
            <a:r>
              <a:rPr lang="en-GB" sz="900">
                <a:solidFill>
                  <a:sysClr val="windowText" lastClr="000000"/>
                </a:solidFill>
              </a:rPr>
              <a:t>2014-15 MFF Payment values</a:t>
            </a:r>
            <a:endParaRPr lang="en-GB" sz="900">
              <a:solidFill>
                <a:sysClr val="windowText" lastClr="000000"/>
              </a:solidFill>
              <a:latin typeface="Arial" panose="020B0604020202020204" pitchFamily="34" charset="0"/>
              <a:cs typeface="Arial" panose="020B0604020202020204" pitchFamily="34" charset="0"/>
            </a:endParaRPr>
          </a:p>
        </xdr:txBody>
      </xdr:sp>
      <xdr:sp macro="" textlink="">
        <xdr:nvSpPr>
          <xdr:cNvPr id="84" name="Rectangle 83"/>
          <xdr:cNvSpPr/>
        </xdr:nvSpPr>
        <xdr:spPr>
          <a:xfrm>
            <a:off x="3363445" y="2065823"/>
            <a:ext cx="1008541" cy="504825"/>
          </a:xfrm>
          <a:prstGeom prst="rect">
            <a:avLst/>
          </a:prstGeom>
          <a:solidFill>
            <a:srgbClr val="92D050"/>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chorCtr="0"/>
          <a:lstStyle>
            <a:defPPr>
              <a:defRPr lang="en-US"/>
            </a:defPPr>
            <a:lvl1pPr marL="0" algn="l" defTabSz="1280160" rtl="0" eaLnBrk="1" latinLnBrk="0" hangingPunct="1">
              <a:defRPr sz="2500" kern="1200">
                <a:solidFill>
                  <a:schemeClr val="lt1"/>
                </a:solidFill>
                <a:latin typeface="+mn-lt"/>
                <a:ea typeface="+mn-ea"/>
                <a:cs typeface="+mn-cs"/>
              </a:defRPr>
            </a:lvl1pPr>
            <a:lvl2pPr marL="640080" algn="l" defTabSz="1280160" rtl="0" eaLnBrk="1" latinLnBrk="0" hangingPunct="1">
              <a:defRPr sz="2500" kern="1200">
                <a:solidFill>
                  <a:schemeClr val="lt1"/>
                </a:solidFill>
                <a:latin typeface="+mn-lt"/>
                <a:ea typeface="+mn-ea"/>
                <a:cs typeface="+mn-cs"/>
              </a:defRPr>
            </a:lvl2pPr>
            <a:lvl3pPr marL="1280160" algn="l" defTabSz="1280160" rtl="0" eaLnBrk="1" latinLnBrk="0" hangingPunct="1">
              <a:defRPr sz="2500" kern="1200">
                <a:solidFill>
                  <a:schemeClr val="lt1"/>
                </a:solidFill>
                <a:latin typeface="+mn-lt"/>
                <a:ea typeface="+mn-ea"/>
                <a:cs typeface="+mn-cs"/>
              </a:defRPr>
            </a:lvl3pPr>
            <a:lvl4pPr marL="1920240" algn="l" defTabSz="1280160" rtl="0" eaLnBrk="1" latinLnBrk="0" hangingPunct="1">
              <a:defRPr sz="2500" kern="1200">
                <a:solidFill>
                  <a:schemeClr val="lt1"/>
                </a:solidFill>
                <a:latin typeface="+mn-lt"/>
                <a:ea typeface="+mn-ea"/>
                <a:cs typeface="+mn-cs"/>
              </a:defRPr>
            </a:lvl4pPr>
            <a:lvl5pPr marL="2560320" algn="l" defTabSz="1280160" rtl="0" eaLnBrk="1" latinLnBrk="0" hangingPunct="1">
              <a:defRPr sz="2500" kern="1200">
                <a:solidFill>
                  <a:schemeClr val="lt1"/>
                </a:solidFill>
                <a:latin typeface="+mn-lt"/>
                <a:ea typeface="+mn-ea"/>
                <a:cs typeface="+mn-cs"/>
              </a:defRPr>
            </a:lvl5pPr>
            <a:lvl6pPr marL="3200400" algn="l" defTabSz="1280160" rtl="0" eaLnBrk="1" latinLnBrk="0" hangingPunct="1">
              <a:defRPr sz="2500" kern="1200">
                <a:solidFill>
                  <a:schemeClr val="lt1"/>
                </a:solidFill>
                <a:latin typeface="+mn-lt"/>
                <a:ea typeface="+mn-ea"/>
                <a:cs typeface="+mn-cs"/>
              </a:defRPr>
            </a:lvl6pPr>
            <a:lvl7pPr marL="3840480" algn="l" defTabSz="1280160" rtl="0" eaLnBrk="1" latinLnBrk="0" hangingPunct="1">
              <a:defRPr sz="2500" kern="1200">
                <a:solidFill>
                  <a:schemeClr val="lt1"/>
                </a:solidFill>
                <a:latin typeface="+mn-lt"/>
                <a:ea typeface="+mn-ea"/>
                <a:cs typeface="+mn-cs"/>
              </a:defRPr>
            </a:lvl7pPr>
            <a:lvl8pPr marL="4480560" algn="l" defTabSz="1280160" rtl="0" eaLnBrk="1" latinLnBrk="0" hangingPunct="1">
              <a:defRPr sz="2500" kern="1200">
                <a:solidFill>
                  <a:schemeClr val="lt1"/>
                </a:solidFill>
                <a:latin typeface="+mn-lt"/>
                <a:ea typeface="+mn-ea"/>
                <a:cs typeface="+mn-cs"/>
              </a:defRPr>
            </a:lvl8pPr>
            <a:lvl9pPr marL="5120640" algn="l" defTabSz="1280160" rtl="0" eaLnBrk="1" latinLnBrk="0" hangingPunct="1">
              <a:defRPr sz="2500" kern="1200">
                <a:solidFill>
                  <a:schemeClr val="lt1"/>
                </a:solidFill>
                <a:latin typeface="+mn-lt"/>
                <a:ea typeface="+mn-ea"/>
                <a:cs typeface="+mn-cs"/>
              </a:defRPr>
            </a:lvl9pPr>
          </a:lstStyle>
          <a:p>
            <a:pPr algn="ctr"/>
            <a:r>
              <a:rPr lang="en-GB" sz="900">
                <a:solidFill>
                  <a:sysClr val="windowText" lastClr="000000"/>
                </a:solidFill>
              </a:rPr>
              <a:t>Base MFF calcs</a:t>
            </a:r>
            <a:endParaRPr lang="en-GB" sz="900">
              <a:solidFill>
                <a:sysClr val="windowText" lastClr="000000"/>
              </a:solidFill>
              <a:latin typeface="Arial" panose="020B0604020202020204" pitchFamily="34" charset="0"/>
              <a:cs typeface="Arial" panose="020B0604020202020204" pitchFamily="34" charset="0"/>
            </a:endParaRPr>
          </a:p>
        </xdr:txBody>
      </xdr:sp>
      <xdr:sp macro="" textlink="">
        <xdr:nvSpPr>
          <xdr:cNvPr id="85" name="Rectangle 84"/>
          <xdr:cNvSpPr/>
        </xdr:nvSpPr>
        <xdr:spPr>
          <a:xfrm>
            <a:off x="6612959" y="2059782"/>
            <a:ext cx="1008541" cy="504825"/>
          </a:xfrm>
          <a:prstGeom prst="rect">
            <a:avLst/>
          </a:prstGeom>
          <a:solidFill>
            <a:srgbClr val="92D050"/>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chorCtr="0"/>
          <a:lstStyle>
            <a:defPPr>
              <a:defRPr lang="en-US"/>
            </a:defPPr>
            <a:lvl1pPr marL="0" algn="l" defTabSz="1280160" rtl="0" eaLnBrk="1" latinLnBrk="0" hangingPunct="1">
              <a:defRPr sz="2500" kern="1200">
                <a:solidFill>
                  <a:schemeClr val="lt1"/>
                </a:solidFill>
                <a:latin typeface="+mn-lt"/>
                <a:ea typeface="+mn-ea"/>
                <a:cs typeface="+mn-cs"/>
              </a:defRPr>
            </a:lvl1pPr>
            <a:lvl2pPr marL="640080" algn="l" defTabSz="1280160" rtl="0" eaLnBrk="1" latinLnBrk="0" hangingPunct="1">
              <a:defRPr sz="2500" kern="1200">
                <a:solidFill>
                  <a:schemeClr val="lt1"/>
                </a:solidFill>
                <a:latin typeface="+mn-lt"/>
                <a:ea typeface="+mn-ea"/>
                <a:cs typeface="+mn-cs"/>
              </a:defRPr>
            </a:lvl2pPr>
            <a:lvl3pPr marL="1280160" algn="l" defTabSz="1280160" rtl="0" eaLnBrk="1" latinLnBrk="0" hangingPunct="1">
              <a:defRPr sz="2500" kern="1200">
                <a:solidFill>
                  <a:schemeClr val="lt1"/>
                </a:solidFill>
                <a:latin typeface="+mn-lt"/>
                <a:ea typeface="+mn-ea"/>
                <a:cs typeface="+mn-cs"/>
              </a:defRPr>
            </a:lvl3pPr>
            <a:lvl4pPr marL="1920240" algn="l" defTabSz="1280160" rtl="0" eaLnBrk="1" latinLnBrk="0" hangingPunct="1">
              <a:defRPr sz="2500" kern="1200">
                <a:solidFill>
                  <a:schemeClr val="lt1"/>
                </a:solidFill>
                <a:latin typeface="+mn-lt"/>
                <a:ea typeface="+mn-ea"/>
                <a:cs typeface="+mn-cs"/>
              </a:defRPr>
            </a:lvl4pPr>
            <a:lvl5pPr marL="2560320" algn="l" defTabSz="1280160" rtl="0" eaLnBrk="1" latinLnBrk="0" hangingPunct="1">
              <a:defRPr sz="2500" kern="1200">
                <a:solidFill>
                  <a:schemeClr val="lt1"/>
                </a:solidFill>
                <a:latin typeface="+mn-lt"/>
                <a:ea typeface="+mn-ea"/>
                <a:cs typeface="+mn-cs"/>
              </a:defRPr>
            </a:lvl5pPr>
            <a:lvl6pPr marL="3200400" algn="l" defTabSz="1280160" rtl="0" eaLnBrk="1" latinLnBrk="0" hangingPunct="1">
              <a:defRPr sz="2500" kern="1200">
                <a:solidFill>
                  <a:schemeClr val="lt1"/>
                </a:solidFill>
                <a:latin typeface="+mn-lt"/>
                <a:ea typeface="+mn-ea"/>
                <a:cs typeface="+mn-cs"/>
              </a:defRPr>
            </a:lvl6pPr>
            <a:lvl7pPr marL="3840480" algn="l" defTabSz="1280160" rtl="0" eaLnBrk="1" latinLnBrk="0" hangingPunct="1">
              <a:defRPr sz="2500" kern="1200">
                <a:solidFill>
                  <a:schemeClr val="lt1"/>
                </a:solidFill>
                <a:latin typeface="+mn-lt"/>
                <a:ea typeface="+mn-ea"/>
                <a:cs typeface="+mn-cs"/>
              </a:defRPr>
            </a:lvl7pPr>
            <a:lvl8pPr marL="4480560" algn="l" defTabSz="1280160" rtl="0" eaLnBrk="1" latinLnBrk="0" hangingPunct="1">
              <a:defRPr sz="2500" kern="1200">
                <a:solidFill>
                  <a:schemeClr val="lt1"/>
                </a:solidFill>
                <a:latin typeface="+mn-lt"/>
                <a:ea typeface="+mn-ea"/>
                <a:cs typeface="+mn-cs"/>
              </a:defRPr>
            </a:lvl8pPr>
            <a:lvl9pPr marL="5120640" algn="l" defTabSz="1280160" rtl="0" eaLnBrk="1" latinLnBrk="0" hangingPunct="1">
              <a:defRPr sz="2500" kern="1200">
                <a:solidFill>
                  <a:schemeClr val="lt1"/>
                </a:solidFill>
                <a:latin typeface="+mn-lt"/>
                <a:ea typeface="+mn-ea"/>
                <a:cs typeface="+mn-cs"/>
              </a:defRPr>
            </a:lvl9pPr>
          </a:lstStyle>
          <a:p>
            <a:pPr algn="ctr"/>
            <a:r>
              <a:rPr lang="en-GB" sz="900">
                <a:solidFill>
                  <a:sysClr val="windowText" lastClr="000000"/>
                </a:solidFill>
              </a:rPr>
              <a:t>All Trusts</a:t>
            </a:r>
            <a:endParaRPr lang="en-GB" sz="900">
              <a:solidFill>
                <a:sysClr val="windowText" lastClr="000000"/>
              </a:solidFill>
              <a:latin typeface="Arial" panose="020B0604020202020204" pitchFamily="34" charset="0"/>
              <a:cs typeface="Arial" panose="020B0604020202020204" pitchFamily="34" charset="0"/>
            </a:endParaRPr>
          </a:p>
        </xdr:txBody>
      </xdr:sp>
      <xdr:sp macro="" textlink="">
        <xdr:nvSpPr>
          <xdr:cNvPr id="86" name="Rectangle 85"/>
          <xdr:cNvSpPr/>
        </xdr:nvSpPr>
        <xdr:spPr>
          <a:xfrm>
            <a:off x="8284767" y="2065823"/>
            <a:ext cx="1008541" cy="504825"/>
          </a:xfrm>
          <a:prstGeom prst="rect">
            <a:avLst/>
          </a:prstGeom>
          <a:solidFill>
            <a:srgbClr val="FFFF00"/>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chorCtr="0"/>
          <a:lstStyle>
            <a:defPPr>
              <a:defRPr lang="en-US"/>
            </a:defPPr>
            <a:lvl1pPr marL="0" algn="l" defTabSz="1280160" rtl="0" eaLnBrk="1" latinLnBrk="0" hangingPunct="1">
              <a:defRPr sz="2500" kern="1200">
                <a:solidFill>
                  <a:schemeClr val="lt1"/>
                </a:solidFill>
                <a:latin typeface="+mn-lt"/>
                <a:ea typeface="+mn-ea"/>
                <a:cs typeface="+mn-cs"/>
              </a:defRPr>
            </a:lvl1pPr>
            <a:lvl2pPr marL="640080" algn="l" defTabSz="1280160" rtl="0" eaLnBrk="1" latinLnBrk="0" hangingPunct="1">
              <a:defRPr sz="2500" kern="1200">
                <a:solidFill>
                  <a:schemeClr val="lt1"/>
                </a:solidFill>
                <a:latin typeface="+mn-lt"/>
                <a:ea typeface="+mn-ea"/>
                <a:cs typeface="+mn-cs"/>
              </a:defRPr>
            </a:lvl2pPr>
            <a:lvl3pPr marL="1280160" algn="l" defTabSz="1280160" rtl="0" eaLnBrk="1" latinLnBrk="0" hangingPunct="1">
              <a:defRPr sz="2500" kern="1200">
                <a:solidFill>
                  <a:schemeClr val="lt1"/>
                </a:solidFill>
                <a:latin typeface="+mn-lt"/>
                <a:ea typeface="+mn-ea"/>
                <a:cs typeface="+mn-cs"/>
              </a:defRPr>
            </a:lvl3pPr>
            <a:lvl4pPr marL="1920240" algn="l" defTabSz="1280160" rtl="0" eaLnBrk="1" latinLnBrk="0" hangingPunct="1">
              <a:defRPr sz="2500" kern="1200">
                <a:solidFill>
                  <a:schemeClr val="lt1"/>
                </a:solidFill>
                <a:latin typeface="+mn-lt"/>
                <a:ea typeface="+mn-ea"/>
                <a:cs typeface="+mn-cs"/>
              </a:defRPr>
            </a:lvl4pPr>
            <a:lvl5pPr marL="2560320" algn="l" defTabSz="1280160" rtl="0" eaLnBrk="1" latinLnBrk="0" hangingPunct="1">
              <a:defRPr sz="2500" kern="1200">
                <a:solidFill>
                  <a:schemeClr val="lt1"/>
                </a:solidFill>
                <a:latin typeface="+mn-lt"/>
                <a:ea typeface="+mn-ea"/>
                <a:cs typeface="+mn-cs"/>
              </a:defRPr>
            </a:lvl5pPr>
            <a:lvl6pPr marL="3200400" algn="l" defTabSz="1280160" rtl="0" eaLnBrk="1" latinLnBrk="0" hangingPunct="1">
              <a:defRPr sz="2500" kern="1200">
                <a:solidFill>
                  <a:schemeClr val="lt1"/>
                </a:solidFill>
                <a:latin typeface="+mn-lt"/>
                <a:ea typeface="+mn-ea"/>
                <a:cs typeface="+mn-cs"/>
              </a:defRPr>
            </a:lvl6pPr>
            <a:lvl7pPr marL="3840480" algn="l" defTabSz="1280160" rtl="0" eaLnBrk="1" latinLnBrk="0" hangingPunct="1">
              <a:defRPr sz="2500" kern="1200">
                <a:solidFill>
                  <a:schemeClr val="lt1"/>
                </a:solidFill>
                <a:latin typeface="+mn-lt"/>
                <a:ea typeface="+mn-ea"/>
                <a:cs typeface="+mn-cs"/>
              </a:defRPr>
            </a:lvl7pPr>
            <a:lvl8pPr marL="4480560" algn="l" defTabSz="1280160" rtl="0" eaLnBrk="1" latinLnBrk="0" hangingPunct="1">
              <a:defRPr sz="2500" kern="1200">
                <a:solidFill>
                  <a:schemeClr val="lt1"/>
                </a:solidFill>
                <a:latin typeface="+mn-lt"/>
                <a:ea typeface="+mn-ea"/>
                <a:cs typeface="+mn-cs"/>
              </a:defRPr>
            </a:lvl8pPr>
            <a:lvl9pPr marL="5120640" algn="l" defTabSz="1280160" rtl="0" eaLnBrk="1" latinLnBrk="0" hangingPunct="1">
              <a:defRPr sz="2500" kern="1200">
                <a:solidFill>
                  <a:schemeClr val="lt1"/>
                </a:solidFill>
                <a:latin typeface="+mn-lt"/>
                <a:ea typeface="+mn-ea"/>
                <a:cs typeface="+mn-cs"/>
              </a:defRPr>
            </a:lvl9pPr>
          </a:lstStyle>
          <a:p>
            <a:pPr algn="ctr"/>
            <a:r>
              <a:rPr lang="en-GB" sz="900">
                <a:solidFill>
                  <a:sysClr val="windowText" lastClr="000000"/>
                </a:solidFill>
              </a:rPr>
              <a:t>Linked Sheet</a:t>
            </a:r>
            <a:endParaRPr lang="en-GB" sz="900">
              <a:solidFill>
                <a:sysClr val="windowText" lastClr="000000"/>
              </a:solidFill>
              <a:latin typeface="Arial" panose="020B0604020202020204" pitchFamily="34" charset="0"/>
              <a:cs typeface="Arial" panose="020B0604020202020204" pitchFamily="34" charset="0"/>
            </a:endParaRPr>
          </a:p>
        </xdr:txBody>
      </xdr:sp>
      <xdr:cxnSp macro="">
        <xdr:nvCxnSpPr>
          <xdr:cNvPr id="87" name="Elbow Connector 86"/>
          <xdr:cNvCxnSpPr>
            <a:stCxn id="128" idx="3"/>
            <a:endCxn id="118" idx="2"/>
          </xdr:cNvCxnSpPr>
        </xdr:nvCxnSpPr>
        <xdr:spPr>
          <a:xfrm flipV="1">
            <a:off x="4391024" y="4181475"/>
            <a:ext cx="2723989" cy="7448550"/>
          </a:xfrm>
          <a:prstGeom prst="bentConnector2">
            <a:avLst/>
          </a:prstGeom>
          <a:ln w="19050">
            <a:solidFill>
              <a:srgbClr val="00B050"/>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88" name="Elbow Connector 87"/>
          <xdr:cNvCxnSpPr>
            <a:stCxn id="82" idx="3"/>
            <a:endCxn id="84" idx="1"/>
          </xdr:cNvCxnSpPr>
        </xdr:nvCxnSpPr>
        <xdr:spPr>
          <a:xfrm flipV="1">
            <a:off x="2514600" y="2318236"/>
            <a:ext cx="848845" cy="717672"/>
          </a:xfrm>
          <a:prstGeom prst="bentConnector3">
            <a:avLst/>
          </a:prstGeom>
          <a:ln w="19050">
            <a:solidFill>
              <a:srgbClr val="00B050"/>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89" name="Elbow Connector 88"/>
          <xdr:cNvCxnSpPr>
            <a:endCxn id="85" idx="2"/>
          </xdr:cNvCxnSpPr>
        </xdr:nvCxnSpPr>
        <xdr:spPr>
          <a:xfrm rot="5400000" flipH="1" flipV="1">
            <a:off x="6448819" y="3230801"/>
            <a:ext cx="1334604" cy="2216"/>
          </a:xfrm>
          <a:prstGeom prst="bentConnector3">
            <a:avLst>
              <a:gd name="adj1" fmla="val 50000"/>
            </a:avLst>
          </a:prstGeom>
          <a:ln w="19050">
            <a:solidFill>
              <a:srgbClr val="00B050"/>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90" name="Elbow Connector 89"/>
          <xdr:cNvCxnSpPr>
            <a:stCxn id="84" idx="3"/>
            <a:endCxn id="85" idx="1"/>
          </xdr:cNvCxnSpPr>
        </xdr:nvCxnSpPr>
        <xdr:spPr>
          <a:xfrm flipV="1">
            <a:off x="4371986" y="2312194"/>
            <a:ext cx="2240973" cy="6041"/>
          </a:xfrm>
          <a:prstGeom prst="bentConnector3">
            <a:avLst>
              <a:gd name="adj1" fmla="val 50000"/>
            </a:avLst>
          </a:prstGeom>
          <a:ln w="19050">
            <a:solidFill>
              <a:srgbClr val="00B050"/>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91" name="Elbow Connector 90"/>
          <xdr:cNvCxnSpPr>
            <a:stCxn id="85" idx="3"/>
            <a:endCxn id="86" idx="1"/>
          </xdr:cNvCxnSpPr>
        </xdr:nvCxnSpPr>
        <xdr:spPr>
          <a:xfrm>
            <a:off x="7621500" y="2312194"/>
            <a:ext cx="663267" cy="6041"/>
          </a:xfrm>
          <a:prstGeom prst="bentConnector3">
            <a:avLst/>
          </a:prstGeom>
          <a:ln w="19050">
            <a:solidFill>
              <a:srgbClr val="00B050"/>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92" name="Rectangle 91"/>
          <xdr:cNvSpPr/>
        </xdr:nvSpPr>
        <xdr:spPr>
          <a:xfrm>
            <a:off x="3372959" y="3810000"/>
            <a:ext cx="1008541" cy="504825"/>
          </a:xfrm>
          <a:prstGeom prst="rect">
            <a:avLst/>
          </a:prstGeom>
          <a:solidFill>
            <a:srgbClr val="92D050"/>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chorCtr="0"/>
          <a:lstStyle>
            <a:defPPr>
              <a:defRPr lang="en-US"/>
            </a:defPPr>
            <a:lvl1pPr marL="0" algn="l" defTabSz="1280160" rtl="0" eaLnBrk="1" latinLnBrk="0" hangingPunct="1">
              <a:defRPr sz="2500" kern="1200">
                <a:solidFill>
                  <a:schemeClr val="lt1"/>
                </a:solidFill>
                <a:latin typeface="+mn-lt"/>
                <a:ea typeface="+mn-ea"/>
                <a:cs typeface="+mn-cs"/>
              </a:defRPr>
            </a:lvl1pPr>
            <a:lvl2pPr marL="640080" algn="l" defTabSz="1280160" rtl="0" eaLnBrk="1" latinLnBrk="0" hangingPunct="1">
              <a:defRPr sz="2500" kern="1200">
                <a:solidFill>
                  <a:schemeClr val="lt1"/>
                </a:solidFill>
                <a:latin typeface="+mn-lt"/>
                <a:ea typeface="+mn-ea"/>
                <a:cs typeface="+mn-cs"/>
              </a:defRPr>
            </a:lvl2pPr>
            <a:lvl3pPr marL="1280160" algn="l" defTabSz="1280160" rtl="0" eaLnBrk="1" latinLnBrk="0" hangingPunct="1">
              <a:defRPr sz="2500" kern="1200">
                <a:solidFill>
                  <a:schemeClr val="lt1"/>
                </a:solidFill>
                <a:latin typeface="+mn-lt"/>
                <a:ea typeface="+mn-ea"/>
                <a:cs typeface="+mn-cs"/>
              </a:defRPr>
            </a:lvl3pPr>
            <a:lvl4pPr marL="1920240" algn="l" defTabSz="1280160" rtl="0" eaLnBrk="1" latinLnBrk="0" hangingPunct="1">
              <a:defRPr sz="2500" kern="1200">
                <a:solidFill>
                  <a:schemeClr val="lt1"/>
                </a:solidFill>
                <a:latin typeface="+mn-lt"/>
                <a:ea typeface="+mn-ea"/>
                <a:cs typeface="+mn-cs"/>
              </a:defRPr>
            </a:lvl4pPr>
            <a:lvl5pPr marL="2560320" algn="l" defTabSz="1280160" rtl="0" eaLnBrk="1" latinLnBrk="0" hangingPunct="1">
              <a:defRPr sz="2500" kern="1200">
                <a:solidFill>
                  <a:schemeClr val="lt1"/>
                </a:solidFill>
                <a:latin typeface="+mn-lt"/>
                <a:ea typeface="+mn-ea"/>
                <a:cs typeface="+mn-cs"/>
              </a:defRPr>
            </a:lvl5pPr>
            <a:lvl6pPr marL="3200400" algn="l" defTabSz="1280160" rtl="0" eaLnBrk="1" latinLnBrk="0" hangingPunct="1">
              <a:defRPr sz="2500" kern="1200">
                <a:solidFill>
                  <a:schemeClr val="lt1"/>
                </a:solidFill>
                <a:latin typeface="+mn-lt"/>
                <a:ea typeface="+mn-ea"/>
                <a:cs typeface="+mn-cs"/>
              </a:defRPr>
            </a:lvl6pPr>
            <a:lvl7pPr marL="3840480" algn="l" defTabSz="1280160" rtl="0" eaLnBrk="1" latinLnBrk="0" hangingPunct="1">
              <a:defRPr sz="2500" kern="1200">
                <a:solidFill>
                  <a:schemeClr val="lt1"/>
                </a:solidFill>
                <a:latin typeface="+mn-lt"/>
                <a:ea typeface="+mn-ea"/>
                <a:cs typeface="+mn-cs"/>
              </a:defRPr>
            </a:lvl7pPr>
            <a:lvl8pPr marL="4480560" algn="l" defTabSz="1280160" rtl="0" eaLnBrk="1" latinLnBrk="0" hangingPunct="1">
              <a:defRPr sz="2500" kern="1200">
                <a:solidFill>
                  <a:schemeClr val="lt1"/>
                </a:solidFill>
                <a:latin typeface="+mn-lt"/>
                <a:ea typeface="+mn-ea"/>
                <a:cs typeface="+mn-cs"/>
              </a:defRPr>
            </a:lvl8pPr>
            <a:lvl9pPr marL="5120640" algn="l" defTabSz="1280160" rtl="0" eaLnBrk="1" latinLnBrk="0" hangingPunct="1">
              <a:defRPr sz="2500" kern="1200">
                <a:solidFill>
                  <a:schemeClr val="lt1"/>
                </a:solidFill>
                <a:latin typeface="+mn-lt"/>
                <a:ea typeface="+mn-ea"/>
                <a:cs typeface="+mn-cs"/>
              </a:defRPr>
            </a:lvl9pPr>
          </a:lstStyle>
          <a:p>
            <a:pPr algn="ctr"/>
            <a:r>
              <a:rPr lang="en-GB" sz="900">
                <a:solidFill>
                  <a:sysClr val="windowText" lastClr="000000"/>
                </a:solidFill>
              </a:rPr>
              <a:t>Queen Mary to Oxleas</a:t>
            </a:r>
            <a:endParaRPr lang="en-GB" sz="900">
              <a:solidFill>
                <a:sysClr val="windowText" lastClr="000000"/>
              </a:solidFill>
              <a:latin typeface="Arial" panose="020B0604020202020204" pitchFamily="34" charset="0"/>
              <a:cs typeface="Arial" panose="020B0604020202020204" pitchFamily="34" charset="0"/>
            </a:endParaRPr>
          </a:p>
        </xdr:txBody>
      </xdr:sp>
      <xdr:sp macro="" textlink="">
        <xdr:nvSpPr>
          <xdr:cNvPr id="93" name="Rectangle 92"/>
          <xdr:cNvSpPr/>
        </xdr:nvSpPr>
        <xdr:spPr>
          <a:xfrm>
            <a:off x="3375158" y="5657850"/>
            <a:ext cx="1008541" cy="504825"/>
          </a:xfrm>
          <a:prstGeom prst="rect">
            <a:avLst/>
          </a:prstGeom>
          <a:solidFill>
            <a:srgbClr val="92D050"/>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chorCtr="0"/>
          <a:lstStyle>
            <a:defPPr>
              <a:defRPr lang="en-US"/>
            </a:defPPr>
            <a:lvl1pPr marL="0" algn="l" defTabSz="1280160" rtl="0" eaLnBrk="1" latinLnBrk="0" hangingPunct="1">
              <a:defRPr sz="2500" kern="1200">
                <a:solidFill>
                  <a:schemeClr val="lt1"/>
                </a:solidFill>
                <a:latin typeface="+mn-lt"/>
                <a:ea typeface="+mn-ea"/>
                <a:cs typeface="+mn-cs"/>
              </a:defRPr>
            </a:lvl1pPr>
            <a:lvl2pPr marL="640080" algn="l" defTabSz="1280160" rtl="0" eaLnBrk="1" latinLnBrk="0" hangingPunct="1">
              <a:defRPr sz="2500" kern="1200">
                <a:solidFill>
                  <a:schemeClr val="lt1"/>
                </a:solidFill>
                <a:latin typeface="+mn-lt"/>
                <a:ea typeface="+mn-ea"/>
                <a:cs typeface="+mn-cs"/>
              </a:defRPr>
            </a:lvl2pPr>
            <a:lvl3pPr marL="1280160" algn="l" defTabSz="1280160" rtl="0" eaLnBrk="1" latinLnBrk="0" hangingPunct="1">
              <a:defRPr sz="2500" kern="1200">
                <a:solidFill>
                  <a:schemeClr val="lt1"/>
                </a:solidFill>
                <a:latin typeface="+mn-lt"/>
                <a:ea typeface="+mn-ea"/>
                <a:cs typeface="+mn-cs"/>
              </a:defRPr>
            </a:lvl3pPr>
            <a:lvl4pPr marL="1920240" algn="l" defTabSz="1280160" rtl="0" eaLnBrk="1" latinLnBrk="0" hangingPunct="1">
              <a:defRPr sz="2500" kern="1200">
                <a:solidFill>
                  <a:schemeClr val="lt1"/>
                </a:solidFill>
                <a:latin typeface="+mn-lt"/>
                <a:ea typeface="+mn-ea"/>
                <a:cs typeface="+mn-cs"/>
              </a:defRPr>
            </a:lvl4pPr>
            <a:lvl5pPr marL="2560320" algn="l" defTabSz="1280160" rtl="0" eaLnBrk="1" latinLnBrk="0" hangingPunct="1">
              <a:defRPr sz="2500" kern="1200">
                <a:solidFill>
                  <a:schemeClr val="lt1"/>
                </a:solidFill>
                <a:latin typeface="+mn-lt"/>
                <a:ea typeface="+mn-ea"/>
                <a:cs typeface="+mn-cs"/>
              </a:defRPr>
            </a:lvl5pPr>
            <a:lvl6pPr marL="3200400" algn="l" defTabSz="1280160" rtl="0" eaLnBrk="1" latinLnBrk="0" hangingPunct="1">
              <a:defRPr sz="2500" kern="1200">
                <a:solidFill>
                  <a:schemeClr val="lt1"/>
                </a:solidFill>
                <a:latin typeface="+mn-lt"/>
                <a:ea typeface="+mn-ea"/>
                <a:cs typeface="+mn-cs"/>
              </a:defRPr>
            </a:lvl6pPr>
            <a:lvl7pPr marL="3840480" algn="l" defTabSz="1280160" rtl="0" eaLnBrk="1" latinLnBrk="0" hangingPunct="1">
              <a:defRPr sz="2500" kern="1200">
                <a:solidFill>
                  <a:schemeClr val="lt1"/>
                </a:solidFill>
                <a:latin typeface="+mn-lt"/>
                <a:ea typeface="+mn-ea"/>
                <a:cs typeface="+mn-cs"/>
              </a:defRPr>
            </a:lvl7pPr>
            <a:lvl8pPr marL="4480560" algn="l" defTabSz="1280160" rtl="0" eaLnBrk="1" latinLnBrk="0" hangingPunct="1">
              <a:defRPr sz="2500" kern="1200">
                <a:solidFill>
                  <a:schemeClr val="lt1"/>
                </a:solidFill>
                <a:latin typeface="+mn-lt"/>
                <a:ea typeface="+mn-ea"/>
                <a:cs typeface="+mn-cs"/>
              </a:defRPr>
            </a:lvl8pPr>
            <a:lvl9pPr marL="5120640" algn="l" defTabSz="1280160" rtl="0" eaLnBrk="1" latinLnBrk="0" hangingPunct="1">
              <a:defRPr sz="2500" kern="1200">
                <a:solidFill>
                  <a:schemeClr val="lt1"/>
                </a:solidFill>
                <a:latin typeface="+mn-lt"/>
                <a:ea typeface="+mn-ea"/>
                <a:cs typeface="+mn-cs"/>
              </a:defRPr>
            </a:lvl9pPr>
          </a:lstStyle>
          <a:p>
            <a:pPr algn="ctr"/>
            <a:r>
              <a:rPr lang="en-GB" sz="900">
                <a:solidFill>
                  <a:sysClr val="windowText" lastClr="000000"/>
                </a:solidFill>
              </a:rPr>
              <a:t>QMS to Dartford</a:t>
            </a:r>
            <a:endParaRPr lang="en-GB" sz="900">
              <a:solidFill>
                <a:sysClr val="windowText" lastClr="000000"/>
              </a:solidFill>
              <a:latin typeface="Arial" panose="020B0604020202020204" pitchFamily="34" charset="0"/>
              <a:cs typeface="Arial" panose="020B0604020202020204" pitchFamily="34" charset="0"/>
            </a:endParaRPr>
          </a:p>
        </xdr:txBody>
      </xdr:sp>
      <xdr:sp macro="" textlink="">
        <xdr:nvSpPr>
          <xdr:cNvPr id="94" name="Rectangle 93"/>
          <xdr:cNvSpPr/>
        </xdr:nvSpPr>
        <xdr:spPr>
          <a:xfrm>
            <a:off x="3372959" y="5043851"/>
            <a:ext cx="1008541" cy="504825"/>
          </a:xfrm>
          <a:prstGeom prst="rect">
            <a:avLst/>
          </a:prstGeom>
          <a:solidFill>
            <a:srgbClr val="92D050"/>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chorCtr="0"/>
          <a:lstStyle>
            <a:defPPr>
              <a:defRPr lang="en-US"/>
            </a:defPPr>
            <a:lvl1pPr marL="0" algn="l" defTabSz="1280160" rtl="0" eaLnBrk="1" latinLnBrk="0" hangingPunct="1">
              <a:defRPr sz="2500" kern="1200">
                <a:solidFill>
                  <a:schemeClr val="lt1"/>
                </a:solidFill>
                <a:latin typeface="+mn-lt"/>
                <a:ea typeface="+mn-ea"/>
                <a:cs typeface="+mn-cs"/>
              </a:defRPr>
            </a:lvl1pPr>
            <a:lvl2pPr marL="640080" algn="l" defTabSz="1280160" rtl="0" eaLnBrk="1" latinLnBrk="0" hangingPunct="1">
              <a:defRPr sz="2500" kern="1200">
                <a:solidFill>
                  <a:schemeClr val="lt1"/>
                </a:solidFill>
                <a:latin typeface="+mn-lt"/>
                <a:ea typeface="+mn-ea"/>
                <a:cs typeface="+mn-cs"/>
              </a:defRPr>
            </a:lvl2pPr>
            <a:lvl3pPr marL="1280160" algn="l" defTabSz="1280160" rtl="0" eaLnBrk="1" latinLnBrk="0" hangingPunct="1">
              <a:defRPr sz="2500" kern="1200">
                <a:solidFill>
                  <a:schemeClr val="lt1"/>
                </a:solidFill>
                <a:latin typeface="+mn-lt"/>
                <a:ea typeface="+mn-ea"/>
                <a:cs typeface="+mn-cs"/>
              </a:defRPr>
            </a:lvl3pPr>
            <a:lvl4pPr marL="1920240" algn="l" defTabSz="1280160" rtl="0" eaLnBrk="1" latinLnBrk="0" hangingPunct="1">
              <a:defRPr sz="2500" kern="1200">
                <a:solidFill>
                  <a:schemeClr val="lt1"/>
                </a:solidFill>
                <a:latin typeface="+mn-lt"/>
                <a:ea typeface="+mn-ea"/>
                <a:cs typeface="+mn-cs"/>
              </a:defRPr>
            </a:lvl4pPr>
            <a:lvl5pPr marL="2560320" algn="l" defTabSz="1280160" rtl="0" eaLnBrk="1" latinLnBrk="0" hangingPunct="1">
              <a:defRPr sz="2500" kern="1200">
                <a:solidFill>
                  <a:schemeClr val="lt1"/>
                </a:solidFill>
                <a:latin typeface="+mn-lt"/>
                <a:ea typeface="+mn-ea"/>
                <a:cs typeface="+mn-cs"/>
              </a:defRPr>
            </a:lvl5pPr>
            <a:lvl6pPr marL="3200400" algn="l" defTabSz="1280160" rtl="0" eaLnBrk="1" latinLnBrk="0" hangingPunct="1">
              <a:defRPr sz="2500" kern="1200">
                <a:solidFill>
                  <a:schemeClr val="lt1"/>
                </a:solidFill>
                <a:latin typeface="+mn-lt"/>
                <a:ea typeface="+mn-ea"/>
                <a:cs typeface="+mn-cs"/>
              </a:defRPr>
            </a:lvl6pPr>
            <a:lvl7pPr marL="3840480" algn="l" defTabSz="1280160" rtl="0" eaLnBrk="1" latinLnBrk="0" hangingPunct="1">
              <a:defRPr sz="2500" kern="1200">
                <a:solidFill>
                  <a:schemeClr val="lt1"/>
                </a:solidFill>
                <a:latin typeface="+mn-lt"/>
                <a:ea typeface="+mn-ea"/>
                <a:cs typeface="+mn-cs"/>
              </a:defRPr>
            </a:lvl7pPr>
            <a:lvl8pPr marL="4480560" algn="l" defTabSz="1280160" rtl="0" eaLnBrk="1" latinLnBrk="0" hangingPunct="1">
              <a:defRPr sz="2500" kern="1200">
                <a:solidFill>
                  <a:schemeClr val="lt1"/>
                </a:solidFill>
                <a:latin typeface="+mn-lt"/>
                <a:ea typeface="+mn-ea"/>
                <a:cs typeface="+mn-cs"/>
              </a:defRPr>
            </a:lvl8pPr>
            <a:lvl9pPr marL="5120640" algn="l" defTabSz="1280160" rtl="0" eaLnBrk="1" latinLnBrk="0" hangingPunct="1">
              <a:defRPr sz="2500" kern="1200">
                <a:solidFill>
                  <a:schemeClr val="lt1"/>
                </a:solidFill>
                <a:latin typeface="+mn-lt"/>
                <a:ea typeface="+mn-ea"/>
                <a:cs typeface="+mn-cs"/>
              </a:defRPr>
            </a:lvl9pPr>
          </a:lstStyle>
          <a:p>
            <a:pPr algn="ctr"/>
            <a:r>
              <a:rPr lang="en-GB" sz="900">
                <a:solidFill>
                  <a:sysClr val="windowText" lastClr="000000"/>
                </a:solidFill>
              </a:rPr>
              <a:t>QMS to GSTT</a:t>
            </a:r>
            <a:endParaRPr lang="en-GB" sz="900">
              <a:solidFill>
                <a:sysClr val="windowText" lastClr="000000"/>
              </a:solidFill>
              <a:latin typeface="Arial" panose="020B0604020202020204" pitchFamily="34" charset="0"/>
              <a:cs typeface="Arial" panose="020B0604020202020204" pitchFamily="34" charset="0"/>
            </a:endParaRPr>
          </a:p>
        </xdr:txBody>
      </xdr:sp>
      <xdr:sp macro="" textlink="">
        <xdr:nvSpPr>
          <xdr:cNvPr id="95" name="Rectangle 94"/>
          <xdr:cNvSpPr/>
        </xdr:nvSpPr>
        <xdr:spPr>
          <a:xfrm>
            <a:off x="1496524" y="602270"/>
            <a:ext cx="1008541" cy="504825"/>
          </a:xfrm>
          <a:prstGeom prst="rect">
            <a:avLst/>
          </a:prstGeom>
          <a:solidFill>
            <a:schemeClr val="accent6"/>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chorCtr="0"/>
          <a:lstStyle>
            <a:defPPr>
              <a:defRPr lang="en-US"/>
            </a:defPPr>
            <a:lvl1pPr marL="0" algn="l" defTabSz="1280160" rtl="0" eaLnBrk="1" latinLnBrk="0" hangingPunct="1">
              <a:defRPr sz="2500" kern="1200">
                <a:solidFill>
                  <a:schemeClr val="lt1"/>
                </a:solidFill>
                <a:latin typeface="+mn-lt"/>
                <a:ea typeface="+mn-ea"/>
                <a:cs typeface="+mn-cs"/>
              </a:defRPr>
            </a:lvl1pPr>
            <a:lvl2pPr marL="640080" algn="l" defTabSz="1280160" rtl="0" eaLnBrk="1" latinLnBrk="0" hangingPunct="1">
              <a:defRPr sz="2500" kern="1200">
                <a:solidFill>
                  <a:schemeClr val="lt1"/>
                </a:solidFill>
                <a:latin typeface="+mn-lt"/>
                <a:ea typeface="+mn-ea"/>
                <a:cs typeface="+mn-cs"/>
              </a:defRPr>
            </a:lvl2pPr>
            <a:lvl3pPr marL="1280160" algn="l" defTabSz="1280160" rtl="0" eaLnBrk="1" latinLnBrk="0" hangingPunct="1">
              <a:defRPr sz="2500" kern="1200">
                <a:solidFill>
                  <a:schemeClr val="lt1"/>
                </a:solidFill>
                <a:latin typeface="+mn-lt"/>
                <a:ea typeface="+mn-ea"/>
                <a:cs typeface="+mn-cs"/>
              </a:defRPr>
            </a:lvl3pPr>
            <a:lvl4pPr marL="1920240" algn="l" defTabSz="1280160" rtl="0" eaLnBrk="1" latinLnBrk="0" hangingPunct="1">
              <a:defRPr sz="2500" kern="1200">
                <a:solidFill>
                  <a:schemeClr val="lt1"/>
                </a:solidFill>
                <a:latin typeface="+mn-lt"/>
                <a:ea typeface="+mn-ea"/>
                <a:cs typeface="+mn-cs"/>
              </a:defRPr>
            </a:lvl4pPr>
            <a:lvl5pPr marL="2560320" algn="l" defTabSz="1280160" rtl="0" eaLnBrk="1" latinLnBrk="0" hangingPunct="1">
              <a:defRPr sz="2500" kern="1200">
                <a:solidFill>
                  <a:schemeClr val="lt1"/>
                </a:solidFill>
                <a:latin typeface="+mn-lt"/>
                <a:ea typeface="+mn-ea"/>
                <a:cs typeface="+mn-cs"/>
              </a:defRPr>
            </a:lvl5pPr>
            <a:lvl6pPr marL="3200400" algn="l" defTabSz="1280160" rtl="0" eaLnBrk="1" latinLnBrk="0" hangingPunct="1">
              <a:defRPr sz="2500" kern="1200">
                <a:solidFill>
                  <a:schemeClr val="lt1"/>
                </a:solidFill>
                <a:latin typeface="+mn-lt"/>
                <a:ea typeface="+mn-ea"/>
                <a:cs typeface="+mn-cs"/>
              </a:defRPr>
            </a:lvl6pPr>
            <a:lvl7pPr marL="3840480" algn="l" defTabSz="1280160" rtl="0" eaLnBrk="1" latinLnBrk="0" hangingPunct="1">
              <a:defRPr sz="2500" kern="1200">
                <a:solidFill>
                  <a:schemeClr val="lt1"/>
                </a:solidFill>
                <a:latin typeface="+mn-lt"/>
                <a:ea typeface="+mn-ea"/>
                <a:cs typeface="+mn-cs"/>
              </a:defRPr>
            </a:lvl7pPr>
            <a:lvl8pPr marL="4480560" algn="l" defTabSz="1280160" rtl="0" eaLnBrk="1" latinLnBrk="0" hangingPunct="1">
              <a:defRPr sz="2500" kern="1200">
                <a:solidFill>
                  <a:schemeClr val="lt1"/>
                </a:solidFill>
                <a:latin typeface="+mn-lt"/>
                <a:ea typeface="+mn-ea"/>
                <a:cs typeface="+mn-cs"/>
              </a:defRPr>
            </a:lvl8pPr>
            <a:lvl9pPr marL="5120640" algn="l" defTabSz="1280160" rtl="0" eaLnBrk="1" latinLnBrk="0" hangingPunct="1">
              <a:defRPr sz="2500" kern="1200">
                <a:solidFill>
                  <a:schemeClr val="lt1"/>
                </a:solidFill>
                <a:latin typeface="+mn-lt"/>
                <a:ea typeface="+mn-ea"/>
                <a:cs typeface="+mn-cs"/>
              </a:defRPr>
            </a:lvl9pPr>
          </a:lstStyle>
          <a:p>
            <a:pPr algn="ctr"/>
            <a:r>
              <a:rPr lang="en-GB" sz="900">
                <a:solidFill>
                  <a:sysClr val="windowText" lastClr="000000"/>
                </a:solidFill>
              </a:rPr>
              <a:t>Staff data</a:t>
            </a:r>
            <a:endParaRPr lang="en-GB" sz="900">
              <a:solidFill>
                <a:sysClr val="windowText" lastClr="000000"/>
              </a:solidFill>
              <a:latin typeface="Arial" panose="020B0604020202020204" pitchFamily="34" charset="0"/>
              <a:cs typeface="Arial" panose="020B0604020202020204" pitchFamily="34" charset="0"/>
            </a:endParaRPr>
          </a:p>
        </xdr:txBody>
      </xdr:sp>
      <xdr:sp macro="" textlink="">
        <xdr:nvSpPr>
          <xdr:cNvPr id="96" name="Rectangle 95"/>
          <xdr:cNvSpPr/>
        </xdr:nvSpPr>
        <xdr:spPr>
          <a:xfrm>
            <a:off x="3372959" y="4438650"/>
            <a:ext cx="1008541" cy="504825"/>
          </a:xfrm>
          <a:prstGeom prst="rect">
            <a:avLst/>
          </a:prstGeom>
          <a:solidFill>
            <a:srgbClr val="92D050"/>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chorCtr="0"/>
          <a:lstStyle>
            <a:defPPr>
              <a:defRPr lang="en-US"/>
            </a:defPPr>
            <a:lvl1pPr marL="0" algn="l" defTabSz="1280160" rtl="0" eaLnBrk="1" latinLnBrk="0" hangingPunct="1">
              <a:defRPr sz="2500" kern="1200">
                <a:solidFill>
                  <a:schemeClr val="lt1"/>
                </a:solidFill>
                <a:latin typeface="+mn-lt"/>
                <a:ea typeface="+mn-ea"/>
                <a:cs typeface="+mn-cs"/>
              </a:defRPr>
            </a:lvl1pPr>
            <a:lvl2pPr marL="640080" algn="l" defTabSz="1280160" rtl="0" eaLnBrk="1" latinLnBrk="0" hangingPunct="1">
              <a:defRPr sz="2500" kern="1200">
                <a:solidFill>
                  <a:schemeClr val="lt1"/>
                </a:solidFill>
                <a:latin typeface="+mn-lt"/>
                <a:ea typeface="+mn-ea"/>
                <a:cs typeface="+mn-cs"/>
              </a:defRPr>
            </a:lvl2pPr>
            <a:lvl3pPr marL="1280160" algn="l" defTabSz="1280160" rtl="0" eaLnBrk="1" latinLnBrk="0" hangingPunct="1">
              <a:defRPr sz="2500" kern="1200">
                <a:solidFill>
                  <a:schemeClr val="lt1"/>
                </a:solidFill>
                <a:latin typeface="+mn-lt"/>
                <a:ea typeface="+mn-ea"/>
                <a:cs typeface="+mn-cs"/>
              </a:defRPr>
            </a:lvl3pPr>
            <a:lvl4pPr marL="1920240" algn="l" defTabSz="1280160" rtl="0" eaLnBrk="1" latinLnBrk="0" hangingPunct="1">
              <a:defRPr sz="2500" kern="1200">
                <a:solidFill>
                  <a:schemeClr val="lt1"/>
                </a:solidFill>
                <a:latin typeface="+mn-lt"/>
                <a:ea typeface="+mn-ea"/>
                <a:cs typeface="+mn-cs"/>
              </a:defRPr>
            </a:lvl4pPr>
            <a:lvl5pPr marL="2560320" algn="l" defTabSz="1280160" rtl="0" eaLnBrk="1" latinLnBrk="0" hangingPunct="1">
              <a:defRPr sz="2500" kern="1200">
                <a:solidFill>
                  <a:schemeClr val="lt1"/>
                </a:solidFill>
                <a:latin typeface="+mn-lt"/>
                <a:ea typeface="+mn-ea"/>
                <a:cs typeface="+mn-cs"/>
              </a:defRPr>
            </a:lvl5pPr>
            <a:lvl6pPr marL="3200400" algn="l" defTabSz="1280160" rtl="0" eaLnBrk="1" latinLnBrk="0" hangingPunct="1">
              <a:defRPr sz="2500" kern="1200">
                <a:solidFill>
                  <a:schemeClr val="lt1"/>
                </a:solidFill>
                <a:latin typeface="+mn-lt"/>
                <a:ea typeface="+mn-ea"/>
                <a:cs typeface="+mn-cs"/>
              </a:defRPr>
            </a:lvl6pPr>
            <a:lvl7pPr marL="3840480" algn="l" defTabSz="1280160" rtl="0" eaLnBrk="1" latinLnBrk="0" hangingPunct="1">
              <a:defRPr sz="2500" kern="1200">
                <a:solidFill>
                  <a:schemeClr val="lt1"/>
                </a:solidFill>
                <a:latin typeface="+mn-lt"/>
                <a:ea typeface="+mn-ea"/>
                <a:cs typeface="+mn-cs"/>
              </a:defRPr>
            </a:lvl7pPr>
            <a:lvl8pPr marL="4480560" algn="l" defTabSz="1280160" rtl="0" eaLnBrk="1" latinLnBrk="0" hangingPunct="1">
              <a:defRPr sz="2500" kern="1200">
                <a:solidFill>
                  <a:schemeClr val="lt1"/>
                </a:solidFill>
                <a:latin typeface="+mn-lt"/>
                <a:ea typeface="+mn-ea"/>
                <a:cs typeface="+mn-cs"/>
              </a:defRPr>
            </a:lvl8pPr>
            <a:lvl9pPr marL="5120640" algn="l" defTabSz="1280160" rtl="0" eaLnBrk="1" latinLnBrk="0" hangingPunct="1">
              <a:defRPr sz="2500" kern="1200">
                <a:solidFill>
                  <a:schemeClr val="lt1"/>
                </a:solidFill>
                <a:latin typeface="+mn-lt"/>
                <a:ea typeface="+mn-ea"/>
                <a:cs typeface="+mn-cs"/>
              </a:defRPr>
            </a:lvl9pPr>
          </a:lstStyle>
          <a:p>
            <a:pPr algn="ctr"/>
            <a:r>
              <a:rPr lang="en-GB" sz="900">
                <a:solidFill>
                  <a:sysClr val="windowText" lastClr="000000"/>
                </a:solidFill>
              </a:rPr>
              <a:t>QMS &amp; QE to Lewisham</a:t>
            </a:r>
            <a:endParaRPr lang="en-GB" sz="900">
              <a:solidFill>
                <a:sysClr val="windowText" lastClr="000000"/>
              </a:solidFill>
              <a:latin typeface="Arial" panose="020B0604020202020204" pitchFamily="34" charset="0"/>
              <a:cs typeface="Arial" panose="020B0604020202020204" pitchFamily="34" charset="0"/>
            </a:endParaRPr>
          </a:p>
        </xdr:txBody>
      </xdr:sp>
      <xdr:sp macro="" textlink="">
        <xdr:nvSpPr>
          <xdr:cNvPr id="97" name="Rectangle 96"/>
          <xdr:cNvSpPr/>
        </xdr:nvSpPr>
        <xdr:spPr>
          <a:xfrm>
            <a:off x="1506059" y="3533775"/>
            <a:ext cx="1008541" cy="504825"/>
          </a:xfrm>
          <a:prstGeom prst="rect">
            <a:avLst/>
          </a:prstGeom>
          <a:solidFill>
            <a:schemeClr val="accent6"/>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chorCtr="0"/>
          <a:lstStyle>
            <a:defPPr>
              <a:defRPr lang="en-US"/>
            </a:defPPr>
            <a:lvl1pPr marL="0" algn="l" defTabSz="1280160" rtl="0" eaLnBrk="1" latinLnBrk="0" hangingPunct="1">
              <a:defRPr sz="2500" kern="1200">
                <a:solidFill>
                  <a:schemeClr val="lt1"/>
                </a:solidFill>
                <a:latin typeface="+mn-lt"/>
                <a:ea typeface="+mn-ea"/>
                <a:cs typeface="+mn-cs"/>
              </a:defRPr>
            </a:lvl1pPr>
            <a:lvl2pPr marL="640080" algn="l" defTabSz="1280160" rtl="0" eaLnBrk="1" latinLnBrk="0" hangingPunct="1">
              <a:defRPr sz="2500" kern="1200">
                <a:solidFill>
                  <a:schemeClr val="lt1"/>
                </a:solidFill>
                <a:latin typeface="+mn-lt"/>
                <a:ea typeface="+mn-ea"/>
                <a:cs typeface="+mn-cs"/>
              </a:defRPr>
            </a:lvl2pPr>
            <a:lvl3pPr marL="1280160" algn="l" defTabSz="1280160" rtl="0" eaLnBrk="1" latinLnBrk="0" hangingPunct="1">
              <a:defRPr sz="2500" kern="1200">
                <a:solidFill>
                  <a:schemeClr val="lt1"/>
                </a:solidFill>
                <a:latin typeface="+mn-lt"/>
                <a:ea typeface="+mn-ea"/>
                <a:cs typeface="+mn-cs"/>
              </a:defRPr>
            </a:lvl3pPr>
            <a:lvl4pPr marL="1920240" algn="l" defTabSz="1280160" rtl="0" eaLnBrk="1" latinLnBrk="0" hangingPunct="1">
              <a:defRPr sz="2500" kern="1200">
                <a:solidFill>
                  <a:schemeClr val="lt1"/>
                </a:solidFill>
                <a:latin typeface="+mn-lt"/>
                <a:ea typeface="+mn-ea"/>
                <a:cs typeface="+mn-cs"/>
              </a:defRPr>
            </a:lvl4pPr>
            <a:lvl5pPr marL="2560320" algn="l" defTabSz="1280160" rtl="0" eaLnBrk="1" latinLnBrk="0" hangingPunct="1">
              <a:defRPr sz="2500" kern="1200">
                <a:solidFill>
                  <a:schemeClr val="lt1"/>
                </a:solidFill>
                <a:latin typeface="+mn-lt"/>
                <a:ea typeface="+mn-ea"/>
                <a:cs typeface="+mn-cs"/>
              </a:defRPr>
            </a:lvl5pPr>
            <a:lvl6pPr marL="3200400" algn="l" defTabSz="1280160" rtl="0" eaLnBrk="1" latinLnBrk="0" hangingPunct="1">
              <a:defRPr sz="2500" kern="1200">
                <a:solidFill>
                  <a:schemeClr val="lt1"/>
                </a:solidFill>
                <a:latin typeface="+mn-lt"/>
                <a:ea typeface="+mn-ea"/>
                <a:cs typeface="+mn-cs"/>
              </a:defRPr>
            </a:lvl6pPr>
            <a:lvl7pPr marL="3840480" algn="l" defTabSz="1280160" rtl="0" eaLnBrk="1" latinLnBrk="0" hangingPunct="1">
              <a:defRPr sz="2500" kern="1200">
                <a:solidFill>
                  <a:schemeClr val="lt1"/>
                </a:solidFill>
                <a:latin typeface="+mn-lt"/>
                <a:ea typeface="+mn-ea"/>
                <a:cs typeface="+mn-cs"/>
              </a:defRPr>
            </a:lvl7pPr>
            <a:lvl8pPr marL="4480560" algn="l" defTabSz="1280160" rtl="0" eaLnBrk="1" latinLnBrk="0" hangingPunct="1">
              <a:defRPr sz="2500" kern="1200">
                <a:solidFill>
                  <a:schemeClr val="lt1"/>
                </a:solidFill>
                <a:latin typeface="+mn-lt"/>
                <a:ea typeface="+mn-ea"/>
                <a:cs typeface="+mn-cs"/>
              </a:defRPr>
            </a:lvl8pPr>
            <a:lvl9pPr marL="5120640" algn="l" defTabSz="1280160" rtl="0" eaLnBrk="1" latinLnBrk="0" hangingPunct="1">
              <a:defRPr sz="2500" kern="1200">
                <a:solidFill>
                  <a:schemeClr val="lt1"/>
                </a:solidFill>
                <a:latin typeface="+mn-lt"/>
                <a:ea typeface="+mn-ea"/>
                <a:cs typeface="+mn-cs"/>
              </a:defRPr>
            </a:lvl9pPr>
          </a:lstStyle>
          <a:p>
            <a:pPr algn="ctr"/>
            <a:r>
              <a:rPr lang="en-GB" sz="900">
                <a:solidFill>
                  <a:sysClr val="windowText" lastClr="000000"/>
                </a:solidFill>
                <a:latin typeface="Arial" panose="020B0604020202020204" pitchFamily="34" charset="0"/>
                <a:cs typeface="Arial" panose="020B0604020202020204" pitchFamily="34" charset="0"/>
              </a:rPr>
              <a:t>Land data</a:t>
            </a:r>
          </a:p>
        </xdr:txBody>
      </xdr:sp>
      <xdr:sp macro="" textlink="">
        <xdr:nvSpPr>
          <xdr:cNvPr id="98" name="Rectangle 97"/>
          <xdr:cNvSpPr/>
        </xdr:nvSpPr>
        <xdr:spPr>
          <a:xfrm>
            <a:off x="3372959" y="6265255"/>
            <a:ext cx="1008541" cy="504825"/>
          </a:xfrm>
          <a:prstGeom prst="rect">
            <a:avLst/>
          </a:prstGeom>
          <a:solidFill>
            <a:srgbClr val="92D050"/>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chorCtr="0"/>
          <a:lstStyle>
            <a:defPPr>
              <a:defRPr lang="en-US"/>
            </a:defPPr>
            <a:lvl1pPr marL="0" algn="l" defTabSz="1280160" rtl="0" eaLnBrk="1" latinLnBrk="0" hangingPunct="1">
              <a:defRPr sz="2500" kern="1200">
                <a:solidFill>
                  <a:schemeClr val="lt1"/>
                </a:solidFill>
                <a:latin typeface="+mn-lt"/>
                <a:ea typeface="+mn-ea"/>
                <a:cs typeface="+mn-cs"/>
              </a:defRPr>
            </a:lvl1pPr>
            <a:lvl2pPr marL="640080" algn="l" defTabSz="1280160" rtl="0" eaLnBrk="1" latinLnBrk="0" hangingPunct="1">
              <a:defRPr sz="2500" kern="1200">
                <a:solidFill>
                  <a:schemeClr val="lt1"/>
                </a:solidFill>
                <a:latin typeface="+mn-lt"/>
                <a:ea typeface="+mn-ea"/>
                <a:cs typeface="+mn-cs"/>
              </a:defRPr>
            </a:lvl2pPr>
            <a:lvl3pPr marL="1280160" algn="l" defTabSz="1280160" rtl="0" eaLnBrk="1" latinLnBrk="0" hangingPunct="1">
              <a:defRPr sz="2500" kern="1200">
                <a:solidFill>
                  <a:schemeClr val="lt1"/>
                </a:solidFill>
                <a:latin typeface="+mn-lt"/>
                <a:ea typeface="+mn-ea"/>
                <a:cs typeface="+mn-cs"/>
              </a:defRPr>
            </a:lvl3pPr>
            <a:lvl4pPr marL="1920240" algn="l" defTabSz="1280160" rtl="0" eaLnBrk="1" latinLnBrk="0" hangingPunct="1">
              <a:defRPr sz="2500" kern="1200">
                <a:solidFill>
                  <a:schemeClr val="lt1"/>
                </a:solidFill>
                <a:latin typeface="+mn-lt"/>
                <a:ea typeface="+mn-ea"/>
                <a:cs typeface="+mn-cs"/>
              </a:defRPr>
            </a:lvl4pPr>
            <a:lvl5pPr marL="2560320" algn="l" defTabSz="1280160" rtl="0" eaLnBrk="1" latinLnBrk="0" hangingPunct="1">
              <a:defRPr sz="2500" kern="1200">
                <a:solidFill>
                  <a:schemeClr val="lt1"/>
                </a:solidFill>
                <a:latin typeface="+mn-lt"/>
                <a:ea typeface="+mn-ea"/>
                <a:cs typeface="+mn-cs"/>
              </a:defRPr>
            </a:lvl5pPr>
            <a:lvl6pPr marL="3200400" algn="l" defTabSz="1280160" rtl="0" eaLnBrk="1" latinLnBrk="0" hangingPunct="1">
              <a:defRPr sz="2500" kern="1200">
                <a:solidFill>
                  <a:schemeClr val="lt1"/>
                </a:solidFill>
                <a:latin typeface="+mn-lt"/>
                <a:ea typeface="+mn-ea"/>
                <a:cs typeface="+mn-cs"/>
              </a:defRPr>
            </a:lvl6pPr>
            <a:lvl7pPr marL="3840480" algn="l" defTabSz="1280160" rtl="0" eaLnBrk="1" latinLnBrk="0" hangingPunct="1">
              <a:defRPr sz="2500" kern="1200">
                <a:solidFill>
                  <a:schemeClr val="lt1"/>
                </a:solidFill>
                <a:latin typeface="+mn-lt"/>
                <a:ea typeface="+mn-ea"/>
                <a:cs typeface="+mn-cs"/>
              </a:defRPr>
            </a:lvl7pPr>
            <a:lvl8pPr marL="4480560" algn="l" defTabSz="1280160" rtl="0" eaLnBrk="1" latinLnBrk="0" hangingPunct="1">
              <a:defRPr sz="2500" kern="1200">
                <a:solidFill>
                  <a:schemeClr val="lt1"/>
                </a:solidFill>
                <a:latin typeface="+mn-lt"/>
                <a:ea typeface="+mn-ea"/>
                <a:cs typeface="+mn-cs"/>
              </a:defRPr>
            </a:lvl8pPr>
            <a:lvl9pPr marL="5120640" algn="l" defTabSz="1280160" rtl="0" eaLnBrk="1" latinLnBrk="0" hangingPunct="1">
              <a:defRPr sz="2500" kern="1200">
                <a:solidFill>
                  <a:schemeClr val="lt1"/>
                </a:solidFill>
                <a:latin typeface="+mn-lt"/>
                <a:ea typeface="+mn-ea"/>
                <a:cs typeface="+mn-cs"/>
              </a:defRPr>
            </a:lvl9pPr>
          </a:lstStyle>
          <a:p>
            <a:pPr algn="ctr"/>
            <a:r>
              <a:rPr lang="en-GB" sz="900">
                <a:solidFill>
                  <a:sysClr val="windowText" lastClr="000000"/>
                </a:solidFill>
              </a:rPr>
              <a:t>QMS &amp; PRUH to Kings</a:t>
            </a:r>
            <a:endParaRPr lang="en-GB" sz="900">
              <a:solidFill>
                <a:sysClr val="windowText" lastClr="000000"/>
              </a:solidFill>
              <a:latin typeface="Arial" panose="020B0604020202020204" pitchFamily="34" charset="0"/>
              <a:cs typeface="Arial" panose="020B0604020202020204" pitchFamily="34" charset="0"/>
            </a:endParaRPr>
          </a:p>
        </xdr:txBody>
      </xdr:sp>
      <xdr:sp macro="" textlink="">
        <xdr:nvSpPr>
          <xdr:cNvPr id="99" name="Rectangle 98"/>
          <xdr:cNvSpPr/>
        </xdr:nvSpPr>
        <xdr:spPr>
          <a:xfrm>
            <a:off x="1496524" y="1351076"/>
            <a:ext cx="1008541" cy="504825"/>
          </a:xfrm>
          <a:prstGeom prst="rect">
            <a:avLst/>
          </a:prstGeom>
          <a:solidFill>
            <a:schemeClr val="accent6"/>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chorCtr="0"/>
          <a:lstStyle>
            <a:defPPr>
              <a:defRPr lang="en-US"/>
            </a:defPPr>
            <a:lvl1pPr marL="0" algn="l" defTabSz="1280160" rtl="0" eaLnBrk="1" latinLnBrk="0" hangingPunct="1">
              <a:defRPr sz="2500" kern="1200">
                <a:solidFill>
                  <a:schemeClr val="lt1"/>
                </a:solidFill>
                <a:latin typeface="+mn-lt"/>
                <a:ea typeface="+mn-ea"/>
                <a:cs typeface="+mn-cs"/>
              </a:defRPr>
            </a:lvl1pPr>
            <a:lvl2pPr marL="640080" algn="l" defTabSz="1280160" rtl="0" eaLnBrk="1" latinLnBrk="0" hangingPunct="1">
              <a:defRPr sz="2500" kern="1200">
                <a:solidFill>
                  <a:schemeClr val="lt1"/>
                </a:solidFill>
                <a:latin typeface="+mn-lt"/>
                <a:ea typeface="+mn-ea"/>
                <a:cs typeface="+mn-cs"/>
              </a:defRPr>
            </a:lvl2pPr>
            <a:lvl3pPr marL="1280160" algn="l" defTabSz="1280160" rtl="0" eaLnBrk="1" latinLnBrk="0" hangingPunct="1">
              <a:defRPr sz="2500" kern="1200">
                <a:solidFill>
                  <a:schemeClr val="lt1"/>
                </a:solidFill>
                <a:latin typeface="+mn-lt"/>
                <a:ea typeface="+mn-ea"/>
                <a:cs typeface="+mn-cs"/>
              </a:defRPr>
            </a:lvl3pPr>
            <a:lvl4pPr marL="1920240" algn="l" defTabSz="1280160" rtl="0" eaLnBrk="1" latinLnBrk="0" hangingPunct="1">
              <a:defRPr sz="2500" kern="1200">
                <a:solidFill>
                  <a:schemeClr val="lt1"/>
                </a:solidFill>
                <a:latin typeface="+mn-lt"/>
                <a:ea typeface="+mn-ea"/>
                <a:cs typeface="+mn-cs"/>
              </a:defRPr>
            </a:lvl4pPr>
            <a:lvl5pPr marL="2560320" algn="l" defTabSz="1280160" rtl="0" eaLnBrk="1" latinLnBrk="0" hangingPunct="1">
              <a:defRPr sz="2500" kern="1200">
                <a:solidFill>
                  <a:schemeClr val="lt1"/>
                </a:solidFill>
                <a:latin typeface="+mn-lt"/>
                <a:ea typeface="+mn-ea"/>
                <a:cs typeface="+mn-cs"/>
              </a:defRPr>
            </a:lvl5pPr>
            <a:lvl6pPr marL="3200400" algn="l" defTabSz="1280160" rtl="0" eaLnBrk="1" latinLnBrk="0" hangingPunct="1">
              <a:defRPr sz="2500" kern="1200">
                <a:solidFill>
                  <a:schemeClr val="lt1"/>
                </a:solidFill>
                <a:latin typeface="+mn-lt"/>
                <a:ea typeface="+mn-ea"/>
                <a:cs typeface="+mn-cs"/>
              </a:defRPr>
            </a:lvl6pPr>
            <a:lvl7pPr marL="3840480" algn="l" defTabSz="1280160" rtl="0" eaLnBrk="1" latinLnBrk="0" hangingPunct="1">
              <a:defRPr sz="2500" kern="1200">
                <a:solidFill>
                  <a:schemeClr val="lt1"/>
                </a:solidFill>
                <a:latin typeface="+mn-lt"/>
                <a:ea typeface="+mn-ea"/>
                <a:cs typeface="+mn-cs"/>
              </a:defRPr>
            </a:lvl7pPr>
            <a:lvl8pPr marL="4480560" algn="l" defTabSz="1280160" rtl="0" eaLnBrk="1" latinLnBrk="0" hangingPunct="1">
              <a:defRPr sz="2500" kern="1200">
                <a:solidFill>
                  <a:schemeClr val="lt1"/>
                </a:solidFill>
                <a:latin typeface="+mn-lt"/>
                <a:ea typeface="+mn-ea"/>
                <a:cs typeface="+mn-cs"/>
              </a:defRPr>
            </a:lvl8pPr>
            <a:lvl9pPr marL="5120640" algn="l" defTabSz="1280160" rtl="0" eaLnBrk="1" latinLnBrk="0" hangingPunct="1">
              <a:defRPr sz="2500" kern="1200">
                <a:solidFill>
                  <a:schemeClr val="lt1"/>
                </a:solidFill>
                <a:latin typeface="+mn-lt"/>
                <a:ea typeface="+mn-ea"/>
                <a:cs typeface="+mn-cs"/>
              </a:defRPr>
            </a:lvl9pPr>
          </a:lstStyle>
          <a:p>
            <a:pPr algn="ctr"/>
            <a:r>
              <a:rPr lang="en-GB" sz="900">
                <a:solidFill>
                  <a:sysClr val="windowText" lastClr="000000"/>
                </a:solidFill>
              </a:rPr>
              <a:t>M&amp;D data</a:t>
            </a:r>
            <a:endParaRPr lang="en-GB" sz="900">
              <a:solidFill>
                <a:sysClr val="windowText" lastClr="000000"/>
              </a:solidFill>
              <a:latin typeface="Arial" panose="020B0604020202020204" pitchFamily="34" charset="0"/>
              <a:cs typeface="Arial" panose="020B0604020202020204" pitchFamily="34" charset="0"/>
            </a:endParaRPr>
          </a:p>
        </xdr:txBody>
      </xdr:sp>
      <xdr:cxnSp macro="">
        <xdr:nvCxnSpPr>
          <xdr:cNvPr id="100" name="Elbow Connector 99"/>
          <xdr:cNvCxnSpPr>
            <a:stCxn id="98" idx="3"/>
            <a:endCxn id="114" idx="1"/>
          </xdr:cNvCxnSpPr>
        </xdr:nvCxnSpPr>
        <xdr:spPr>
          <a:xfrm flipV="1">
            <a:off x="4381500" y="5281613"/>
            <a:ext cx="553559" cy="1236055"/>
          </a:xfrm>
          <a:prstGeom prst="bentConnector3">
            <a:avLst>
              <a:gd name="adj1" fmla="val 50000"/>
            </a:avLst>
          </a:prstGeom>
          <a:ln w="19050">
            <a:solidFill>
              <a:srgbClr val="00B050"/>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01" name="Elbow Connector 100"/>
          <xdr:cNvCxnSpPr>
            <a:stCxn id="92" idx="3"/>
            <a:endCxn id="114" idx="1"/>
          </xdr:cNvCxnSpPr>
        </xdr:nvCxnSpPr>
        <xdr:spPr>
          <a:xfrm>
            <a:off x="4381500" y="4062413"/>
            <a:ext cx="553559" cy="1219200"/>
          </a:xfrm>
          <a:prstGeom prst="bentConnector3">
            <a:avLst>
              <a:gd name="adj1" fmla="val 50000"/>
            </a:avLst>
          </a:prstGeom>
          <a:ln w="19050">
            <a:solidFill>
              <a:srgbClr val="00B050"/>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02" name="Elbow Connector 101"/>
          <xdr:cNvCxnSpPr>
            <a:stCxn id="96" idx="3"/>
            <a:endCxn id="114" idx="1"/>
          </xdr:cNvCxnSpPr>
        </xdr:nvCxnSpPr>
        <xdr:spPr>
          <a:xfrm>
            <a:off x="4381500" y="4691063"/>
            <a:ext cx="553559" cy="590550"/>
          </a:xfrm>
          <a:prstGeom prst="bentConnector3">
            <a:avLst>
              <a:gd name="adj1" fmla="val 50000"/>
            </a:avLst>
          </a:prstGeom>
          <a:ln w="19050">
            <a:solidFill>
              <a:srgbClr val="00B050"/>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03" name="Elbow Connector 102"/>
          <xdr:cNvCxnSpPr>
            <a:stCxn id="94" idx="3"/>
            <a:endCxn id="114" idx="1"/>
          </xdr:cNvCxnSpPr>
        </xdr:nvCxnSpPr>
        <xdr:spPr>
          <a:xfrm flipV="1">
            <a:off x="4381500" y="5281613"/>
            <a:ext cx="553559" cy="14651"/>
          </a:xfrm>
          <a:prstGeom prst="bentConnector3">
            <a:avLst>
              <a:gd name="adj1" fmla="val 50000"/>
            </a:avLst>
          </a:prstGeom>
          <a:ln w="19050">
            <a:solidFill>
              <a:srgbClr val="00B050"/>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4" name="Rectangle 103"/>
          <xdr:cNvSpPr/>
        </xdr:nvSpPr>
        <xdr:spPr>
          <a:xfrm>
            <a:off x="1503839" y="2065823"/>
            <a:ext cx="1008541" cy="504825"/>
          </a:xfrm>
          <a:prstGeom prst="rect">
            <a:avLst/>
          </a:prstGeom>
          <a:solidFill>
            <a:schemeClr val="accent6"/>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chorCtr="0"/>
          <a:lstStyle>
            <a:defPPr>
              <a:defRPr lang="en-US"/>
            </a:defPPr>
            <a:lvl1pPr marL="0" algn="l" defTabSz="1280160" rtl="0" eaLnBrk="1" latinLnBrk="0" hangingPunct="1">
              <a:defRPr sz="2500" kern="1200">
                <a:solidFill>
                  <a:schemeClr val="lt1"/>
                </a:solidFill>
                <a:latin typeface="+mn-lt"/>
                <a:ea typeface="+mn-ea"/>
                <a:cs typeface="+mn-cs"/>
              </a:defRPr>
            </a:lvl1pPr>
            <a:lvl2pPr marL="640080" algn="l" defTabSz="1280160" rtl="0" eaLnBrk="1" latinLnBrk="0" hangingPunct="1">
              <a:defRPr sz="2500" kern="1200">
                <a:solidFill>
                  <a:schemeClr val="lt1"/>
                </a:solidFill>
                <a:latin typeface="+mn-lt"/>
                <a:ea typeface="+mn-ea"/>
                <a:cs typeface="+mn-cs"/>
              </a:defRPr>
            </a:lvl2pPr>
            <a:lvl3pPr marL="1280160" algn="l" defTabSz="1280160" rtl="0" eaLnBrk="1" latinLnBrk="0" hangingPunct="1">
              <a:defRPr sz="2500" kern="1200">
                <a:solidFill>
                  <a:schemeClr val="lt1"/>
                </a:solidFill>
                <a:latin typeface="+mn-lt"/>
                <a:ea typeface="+mn-ea"/>
                <a:cs typeface="+mn-cs"/>
              </a:defRPr>
            </a:lvl3pPr>
            <a:lvl4pPr marL="1920240" algn="l" defTabSz="1280160" rtl="0" eaLnBrk="1" latinLnBrk="0" hangingPunct="1">
              <a:defRPr sz="2500" kern="1200">
                <a:solidFill>
                  <a:schemeClr val="lt1"/>
                </a:solidFill>
                <a:latin typeface="+mn-lt"/>
                <a:ea typeface="+mn-ea"/>
                <a:cs typeface="+mn-cs"/>
              </a:defRPr>
            </a:lvl4pPr>
            <a:lvl5pPr marL="2560320" algn="l" defTabSz="1280160" rtl="0" eaLnBrk="1" latinLnBrk="0" hangingPunct="1">
              <a:defRPr sz="2500" kern="1200">
                <a:solidFill>
                  <a:schemeClr val="lt1"/>
                </a:solidFill>
                <a:latin typeface="+mn-lt"/>
                <a:ea typeface="+mn-ea"/>
                <a:cs typeface="+mn-cs"/>
              </a:defRPr>
            </a:lvl5pPr>
            <a:lvl6pPr marL="3200400" algn="l" defTabSz="1280160" rtl="0" eaLnBrk="1" latinLnBrk="0" hangingPunct="1">
              <a:defRPr sz="2500" kern="1200">
                <a:solidFill>
                  <a:schemeClr val="lt1"/>
                </a:solidFill>
                <a:latin typeface="+mn-lt"/>
                <a:ea typeface="+mn-ea"/>
                <a:cs typeface="+mn-cs"/>
              </a:defRPr>
            </a:lvl6pPr>
            <a:lvl7pPr marL="3840480" algn="l" defTabSz="1280160" rtl="0" eaLnBrk="1" latinLnBrk="0" hangingPunct="1">
              <a:defRPr sz="2500" kern="1200">
                <a:solidFill>
                  <a:schemeClr val="lt1"/>
                </a:solidFill>
                <a:latin typeface="+mn-lt"/>
                <a:ea typeface="+mn-ea"/>
                <a:cs typeface="+mn-cs"/>
              </a:defRPr>
            </a:lvl7pPr>
            <a:lvl8pPr marL="4480560" algn="l" defTabSz="1280160" rtl="0" eaLnBrk="1" latinLnBrk="0" hangingPunct="1">
              <a:defRPr sz="2500" kern="1200">
                <a:solidFill>
                  <a:schemeClr val="lt1"/>
                </a:solidFill>
                <a:latin typeface="+mn-lt"/>
                <a:ea typeface="+mn-ea"/>
                <a:cs typeface="+mn-cs"/>
              </a:defRPr>
            </a:lvl8pPr>
            <a:lvl9pPr marL="5120640" algn="l" defTabSz="1280160" rtl="0" eaLnBrk="1" latinLnBrk="0" hangingPunct="1">
              <a:defRPr sz="2500" kern="1200">
                <a:solidFill>
                  <a:schemeClr val="lt1"/>
                </a:solidFill>
                <a:latin typeface="+mn-lt"/>
                <a:ea typeface="+mn-ea"/>
                <a:cs typeface="+mn-cs"/>
              </a:defRPr>
            </a:lvl9pPr>
          </a:lstStyle>
          <a:p>
            <a:pPr algn="ctr"/>
            <a:r>
              <a:rPr lang="en-GB" sz="900">
                <a:solidFill>
                  <a:sysClr val="windowText" lastClr="000000"/>
                </a:solidFill>
              </a:rPr>
              <a:t>Buildings data</a:t>
            </a:r>
            <a:endParaRPr lang="en-GB" sz="900">
              <a:solidFill>
                <a:sysClr val="windowText" lastClr="000000"/>
              </a:solidFill>
              <a:latin typeface="Arial" panose="020B0604020202020204" pitchFamily="34" charset="0"/>
              <a:cs typeface="Arial" panose="020B0604020202020204" pitchFamily="34" charset="0"/>
            </a:endParaRPr>
          </a:p>
        </xdr:txBody>
      </xdr:sp>
      <xdr:cxnSp macro="">
        <xdr:nvCxnSpPr>
          <xdr:cNvPr id="105" name="Elbow Connector 104"/>
          <xdr:cNvCxnSpPr>
            <a:stCxn id="83" idx="3"/>
            <a:endCxn id="128" idx="1"/>
          </xdr:cNvCxnSpPr>
        </xdr:nvCxnSpPr>
        <xdr:spPr>
          <a:xfrm>
            <a:off x="1316433" y="11301413"/>
            <a:ext cx="2066050" cy="328612"/>
          </a:xfrm>
          <a:prstGeom prst="bentConnector3">
            <a:avLst>
              <a:gd name="adj1" fmla="val 50000"/>
            </a:avLst>
          </a:prstGeom>
          <a:ln w="19050">
            <a:solidFill>
              <a:schemeClr val="accent6">
                <a:lumMod val="50000"/>
              </a:schemeClr>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06" name="Elbow Connector 105"/>
          <xdr:cNvCxnSpPr>
            <a:stCxn id="114" idx="3"/>
            <a:endCxn id="118" idx="2"/>
          </xdr:cNvCxnSpPr>
        </xdr:nvCxnSpPr>
        <xdr:spPr>
          <a:xfrm flipV="1">
            <a:off x="5943600" y="4181475"/>
            <a:ext cx="1171413" cy="1100138"/>
          </a:xfrm>
          <a:prstGeom prst="bentConnector2">
            <a:avLst/>
          </a:prstGeom>
          <a:ln w="19050">
            <a:solidFill>
              <a:srgbClr val="00B050"/>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7" name="Rectangle 106"/>
          <xdr:cNvSpPr/>
        </xdr:nvSpPr>
        <xdr:spPr>
          <a:xfrm>
            <a:off x="307892" y="10163175"/>
            <a:ext cx="1008541" cy="504825"/>
          </a:xfrm>
          <a:prstGeom prst="rect">
            <a:avLst/>
          </a:prstGeom>
          <a:solidFill>
            <a:schemeClr val="accent6"/>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chorCtr="0"/>
          <a:lstStyle>
            <a:defPPr>
              <a:defRPr lang="en-US"/>
            </a:defPPr>
            <a:lvl1pPr marL="0" algn="l" defTabSz="1280160" rtl="0" eaLnBrk="1" latinLnBrk="0" hangingPunct="1">
              <a:defRPr sz="2500" kern="1200">
                <a:solidFill>
                  <a:schemeClr val="lt1"/>
                </a:solidFill>
                <a:latin typeface="+mn-lt"/>
                <a:ea typeface="+mn-ea"/>
                <a:cs typeface="+mn-cs"/>
              </a:defRPr>
            </a:lvl1pPr>
            <a:lvl2pPr marL="640080" algn="l" defTabSz="1280160" rtl="0" eaLnBrk="1" latinLnBrk="0" hangingPunct="1">
              <a:defRPr sz="2500" kern="1200">
                <a:solidFill>
                  <a:schemeClr val="lt1"/>
                </a:solidFill>
                <a:latin typeface="+mn-lt"/>
                <a:ea typeface="+mn-ea"/>
                <a:cs typeface="+mn-cs"/>
              </a:defRPr>
            </a:lvl2pPr>
            <a:lvl3pPr marL="1280160" algn="l" defTabSz="1280160" rtl="0" eaLnBrk="1" latinLnBrk="0" hangingPunct="1">
              <a:defRPr sz="2500" kern="1200">
                <a:solidFill>
                  <a:schemeClr val="lt1"/>
                </a:solidFill>
                <a:latin typeface="+mn-lt"/>
                <a:ea typeface="+mn-ea"/>
                <a:cs typeface="+mn-cs"/>
              </a:defRPr>
            </a:lvl3pPr>
            <a:lvl4pPr marL="1920240" algn="l" defTabSz="1280160" rtl="0" eaLnBrk="1" latinLnBrk="0" hangingPunct="1">
              <a:defRPr sz="2500" kern="1200">
                <a:solidFill>
                  <a:schemeClr val="lt1"/>
                </a:solidFill>
                <a:latin typeface="+mn-lt"/>
                <a:ea typeface="+mn-ea"/>
                <a:cs typeface="+mn-cs"/>
              </a:defRPr>
            </a:lvl4pPr>
            <a:lvl5pPr marL="2560320" algn="l" defTabSz="1280160" rtl="0" eaLnBrk="1" latinLnBrk="0" hangingPunct="1">
              <a:defRPr sz="2500" kern="1200">
                <a:solidFill>
                  <a:schemeClr val="lt1"/>
                </a:solidFill>
                <a:latin typeface="+mn-lt"/>
                <a:ea typeface="+mn-ea"/>
                <a:cs typeface="+mn-cs"/>
              </a:defRPr>
            </a:lvl5pPr>
            <a:lvl6pPr marL="3200400" algn="l" defTabSz="1280160" rtl="0" eaLnBrk="1" latinLnBrk="0" hangingPunct="1">
              <a:defRPr sz="2500" kern="1200">
                <a:solidFill>
                  <a:schemeClr val="lt1"/>
                </a:solidFill>
                <a:latin typeface="+mn-lt"/>
                <a:ea typeface="+mn-ea"/>
                <a:cs typeface="+mn-cs"/>
              </a:defRPr>
            </a:lvl6pPr>
            <a:lvl7pPr marL="3840480" algn="l" defTabSz="1280160" rtl="0" eaLnBrk="1" latinLnBrk="0" hangingPunct="1">
              <a:defRPr sz="2500" kern="1200">
                <a:solidFill>
                  <a:schemeClr val="lt1"/>
                </a:solidFill>
                <a:latin typeface="+mn-lt"/>
                <a:ea typeface="+mn-ea"/>
                <a:cs typeface="+mn-cs"/>
              </a:defRPr>
            </a:lvl7pPr>
            <a:lvl8pPr marL="4480560" algn="l" defTabSz="1280160" rtl="0" eaLnBrk="1" latinLnBrk="0" hangingPunct="1">
              <a:defRPr sz="2500" kern="1200">
                <a:solidFill>
                  <a:schemeClr val="lt1"/>
                </a:solidFill>
                <a:latin typeface="+mn-lt"/>
                <a:ea typeface="+mn-ea"/>
                <a:cs typeface="+mn-cs"/>
              </a:defRPr>
            </a:lvl8pPr>
            <a:lvl9pPr marL="5120640" algn="l" defTabSz="1280160" rtl="0" eaLnBrk="1" latinLnBrk="0" hangingPunct="1">
              <a:defRPr sz="2500" kern="1200">
                <a:solidFill>
                  <a:schemeClr val="lt1"/>
                </a:solidFill>
                <a:latin typeface="+mn-lt"/>
                <a:ea typeface="+mn-ea"/>
                <a:cs typeface="+mn-cs"/>
              </a:defRPr>
            </a:lvl9pPr>
          </a:lstStyle>
          <a:p>
            <a:pPr algn="ctr"/>
            <a:r>
              <a:rPr lang="en-GB" sz="900">
                <a:solidFill>
                  <a:sysClr val="windowText" lastClr="000000"/>
                </a:solidFill>
              </a:rPr>
              <a:t>RJD ERIC 2008|09</a:t>
            </a:r>
            <a:endParaRPr lang="en-GB" sz="900">
              <a:solidFill>
                <a:sysClr val="windowText" lastClr="000000"/>
              </a:solidFill>
              <a:latin typeface="Arial" panose="020B0604020202020204" pitchFamily="34" charset="0"/>
              <a:cs typeface="Arial" panose="020B0604020202020204" pitchFamily="34" charset="0"/>
            </a:endParaRPr>
          </a:p>
        </xdr:txBody>
      </xdr:sp>
      <xdr:sp macro="" textlink="">
        <xdr:nvSpPr>
          <xdr:cNvPr id="108" name="Rectangle 107"/>
          <xdr:cNvSpPr/>
        </xdr:nvSpPr>
        <xdr:spPr>
          <a:xfrm>
            <a:off x="152400" y="3124200"/>
            <a:ext cx="1008541" cy="504825"/>
          </a:xfrm>
          <a:prstGeom prst="rect">
            <a:avLst/>
          </a:prstGeom>
          <a:solidFill>
            <a:schemeClr val="accent6"/>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chorCtr="0"/>
          <a:lstStyle>
            <a:defPPr>
              <a:defRPr lang="en-US"/>
            </a:defPPr>
            <a:lvl1pPr marL="0" algn="l" defTabSz="1280160" rtl="0" eaLnBrk="1" latinLnBrk="0" hangingPunct="1">
              <a:defRPr sz="2500" kern="1200">
                <a:solidFill>
                  <a:schemeClr val="lt1"/>
                </a:solidFill>
                <a:latin typeface="+mn-lt"/>
                <a:ea typeface="+mn-ea"/>
                <a:cs typeface="+mn-cs"/>
              </a:defRPr>
            </a:lvl1pPr>
            <a:lvl2pPr marL="640080" algn="l" defTabSz="1280160" rtl="0" eaLnBrk="1" latinLnBrk="0" hangingPunct="1">
              <a:defRPr sz="2500" kern="1200">
                <a:solidFill>
                  <a:schemeClr val="lt1"/>
                </a:solidFill>
                <a:latin typeface="+mn-lt"/>
                <a:ea typeface="+mn-ea"/>
                <a:cs typeface="+mn-cs"/>
              </a:defRPr>
            </a:lvl2pPr>
            <a:lvl3pPr marL="1280160" algn="l" defTabSz="1280160" rtl="0" eaLnBrk="1" latinLnBrk="0" hangingPunct="1">
              <a:defRPr sz="2500" kern="1200">
                <a:solidFill>
                  <a:schemeClr val="lt1"/>
                </a:solidFill>
                <a:latin typeface="+mn-lt"/>
                <a:ea typeface="+mn-ea"/>
                <a:cs typeface="+mn-cs"/>
              </a:defRPr>
            </a:lvl3pPr>
            <a:lvl4pPr marL="1920240" algn="l" defTabSz="1280160" rtl="0" eaLnBrk="1" latinLnBrk="0" hangingPunct="1">
              <a:defRPr sz="2500" kern="1200">
                <a:solidFill>
                  <a:schemeClr val="lt1"/>
                </a:solidFill>
                <a:latin typeface="+mn-lt"/>
                <a:ea typeface="+mn-ea"/>
                <a:cs typeface="+mn-cs"/>
              </a:defRPr>
            </a:lvl4pPr>
            <a:lvl5pPr marL="2560320" algn="l" defTabSz="1280160" rtl="0" eaLnBrk="1" latinLnBrk="0" hangingPunct="1">
              <a:defRPr sz="2500" kern="1200">
                <a:solidFill>
                  <a:schemeClr val="lt1"/>
                </a:solidFill>
                <a:latin typeface="+mn-lt"/>
                <a:ea typeface="+mn-ea"/>
                <a:cs typeface="+mn-cs"/>
              </a:defRPr>
            </a:lvl5pPr>
            <a:lvl6pPr marL="3200400" algn="l" defTabSz="1280160" rtl="0" eaLnBrk="1" latinLnBrk="0" hangingPunct="1">
              <a:defRPr sz="2500" kern="1200">
                <a:solidFill>
                  <a:schemeClr val="lt1"/>
                </a:solidFill>
                <a:latin typeface="+mn-lt"/>
                <a:ea typeface="+mn-ea"/>
                <a:cs typeface="+mn-cs"/>
              </a:defRPr>
            </a:lvl6pPr>
            <a:lvl7pPr marL="3840480" algn="l" defTabSz="1280160" rtl="0" eaLnBrk="1" latinLnBrk="0" hangingPunct="1">
              <a:defRPr sz="2500" kern="1200">
                <a:solidFill>
                  <a:schemeClr val="lt1"/>
                </a:solidFill>
                <a:latin typeface="+mn-lt"/>
                <a:ea typeface="+mn-ea"/>
                <a:cs typeface="+mn-cs"/>
              </a:defRPr>
            </a:lvl7pPr>
            <a:lvl8pPr marL="4480560" algn="l" defTabSz="1280160" rtl="0" eaLnBrk="1" latinLnBrk="0" hangingPunct="1">
              <a:defRPr sz="2500" kern="1200">
                <a:solidFill>
                  <a:schemeClr val="lt1"/>
                </a:solidFill>
                <a:latin typeface="+mn-lt"/>
                <a:ea typeface="+mn-ea"/>
                <a:cs typeface="+mn-cs"/>
              </a:defRPr>
            </a:lvl8pPr>
            <a:lvl9pPr marL="5120640" algn="l" defTabSz="1280160" rtl="0" eaLnBrk="1" latinLnBrk="0" hangingPunct="1">
              <a:defRPr sz="2500" kern="1200">
                <a:solidFill>
                  <a:schemeClr val="lt1"/>
                </a:solidFill>
                <a:latin typeface="+mn-lt"/>
                <a:ea typeface="+mn-ea"/>
                <a:cs typeface="+mn-cs"/>
              </a:defRPr>
            </a:lvl9pPr>
          </a:lstStyle>
          <a:p>
            <a:pPr algn="ctr"/>
            <a:r>
              <a:rPr lang="en-GB" sz="900">
                <a:solidFill>
                  <a:sysClr val="windowText" lastClr="000000"/>
                </a:solidFill>
              </a:rPr>
              <a:t>Other corrections needed</a:t>
            </a:r>
            <a:endParaRPr lang="en-GB" sz="900">
              <a:solidFill>
                <a:sysClr val="windowText" lastClr="000000"/>
              </a:solidFill>
              <a:latin typeface="Arial" panose="020B0604020202020204" pitchFamily="34" charset="0"/>
              <a:cs typeface="Arial" panose="020B0604020202020204" pitchFamily="34" charset="0"/>
            </a:endParaRPr>
          </a:p>
        </xdr:txBody>
      </xdr:sp>
      <xdr:cxnSp macro="">
        <xdr:nvCxnSpPr>
          <xdr:cNvPr id="109" name="Elbow Connector 108"/>
          <xdr:cNvCxnSpPr>
            <a:stCxn id="108" idx="0"/>
            <a:endCxn id="82" idx="1"/>
          </xdr:cNvCxnSpPr>
        </xdr:nvCxnSpPr>
        <xdr:spPr>
          <a:xfrm rot="5400000" flipH="1" flipV="1">
            <a:off x="1037219" y="2655360"/>
            <a:ext cx="88292" cy="849388"/>
          </a:xfrm>
          <a:prstGeom prst="bentConnector2">
            <a:avLst/>
          </a:prstGeom>
          <a:ln w="19050">
            <a:solidFill>
              <a:srgbClr val="00B050"/>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0" name="Rectangle 109"/>
          <xdr:cNvSpPr/>
        </xdr:nvSpPr>
        <xdr:spPr>
          <a:xfrm>
            <a:off x="152399" y="5048250"/>
            <a:ext cx="1008541" cy="504825"/>
          </a:xfrm>
          <a:prstGeom prst="rect">
            <a:avLst/>
          </a:prstGeom>
          <a:solidFill>
            <a:schemeClr val="accent6"/>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chorCtr="0"/>
          <a:lstStyle>
            <a:defPPr>
              <a:defRPr lang="en-US"/>
            </a:defPPr>
            <a:lvl1pPr marL="0" algn="l" defTabSz="1280160" rtl="0" eaLnBrk="1" latinLnBrk="0" hangingPunct="1">
              <a:defRPr sz="2500" kern="1200">
                <a:solidFill>
                  <a:schemeClr val="lt1"/>
                </a:solidFill>
                <a:latin typeface="+mn-lt"/>
                <a:ea typeface="+mn-ea"/>
                <a:cs typeface="+mn-cs"/>
              </a:defRPr>
            </a:lvl1pPr>
            <a:lvl2pPr marL="640080" algn="l" defTabSz="1280160" rtl="0" eaLnBrk="1" latinLnBrk="0" hangingPunct="1">
              <a:defRPr sz="2500" kern="1200">
                <a:solidFill>
                  <a:schemeClr val="lt1"/>
                </a:solidFill>
                <a:latin typeface="+mn-lt"/>
                <a:ea typeface="+mn-ea"/>
                <a:cs typeface="+mn-cs"/>
              </a:defRPr>
            </a:lvl2pPr>
            <a:lvl3pPr marL="1280160" algn="l" defTabSz="1280160" rtl="0" eaLnBrk="1" latinLnBrk="0" hangingPunct="1">
              <a:defRPr sz="2500" kern="1200">
                <a:solidFill>
                  <a:schemeClr val="lt1"/>
                </a:solidFill>
                <a:latin typeface="+mn-lt"/>
                <a:ea typeface="+mn-ea"/>
                <a:cs typeface="+mn-cs"/>
              </a:defRPr>
            </a:lvl3pPr>
            <a:lvl4pPr marL="1920240" algn="l" defTabSz="1280160" rtl="0" eaLnBrk="1" latinLnBrk="0" hangingPunct="1">
              <a:defRPr sz="2500" kern="1200">
                <a:solidFill>
                  <a:schemeClr val="lt1"/>
                </a:solidFill>
                <a:latin typeface="+mn-lt"/>
                <a:ea typeface="+mn-ea"/>
                <a:cs typeface="+mn-cs"/>
              </a:defRPr>
            </a:lvl4pPr>
            <a:lvl5pPr marL="2560320" algn="l" defTabSz="1280160" rtl="0" eaLnBrk="1" latinLnBrk="0" hangingPunct="1">
              <a:defRPr sz="2500" kern="1200">
                <a:solidFill>
                  <a:schemeClr val="lt1"/>
                </a:solidFill>
                <a:latin typeface="+mn-lt"/>
                <a:ea typeface="+mn-ea"/>
                <a:cs typeface="+mn-cs"/>
              </a:defRPr>
            </a:lvl5pPr>
            <a:lvl6pPr marL="3200400" algn="l" defTabSz="1280160" rtl="0" eaLnBrk="1" latinLnBrk="0" hangingPunct="1">
              <a:defRPr sz="2500" kern="1200">
                <a:solidFill>
                  <a:schemeClr val="lt1"/>
                </a:solidFill>
                <a:latin typeface="+mn-lt"/>
                <a:ea typeface="+mn-ea"/>
                <a:cs typeface="+mn-cs"/>
              </a:defRPr>
            </a:lvl6pPr>
            <a:lvl7pPr marL="3840480" algn="l" defTabSz="1280160" rtl="0" eaLnBrk="1" latinLnBrk="0" hangingPunct="1">
              <a:defRPr sz="2500" kern="1200">
                <a:solidFill>
                  <a:schemeClr val="lt1"/>
                </a:solidFill>
                <a:latin typeface="+mn-lt"/>
                <a:ea typeface="+mn-ea"/>
                <a:cs typeface="+mn-cs"/>
              </a:defRPr>
            </a:lvl7pPr>
            <a:lvl8pPr marL="4480560" algn="l" defTabSz="1280160" rtl="0" eaLnBrk="1" latinLnBrk="0" hangingPunct="1">
              <a:defRPr sz="2500" kern="1200">
                <a:solidFill>
                  <a:schemeClr val="lt1"/>
                </a:solidFill>
                <a:latin typeface="+mn-lt"/>
                <a:ea typeface="+mn-ea"/>
                <a:cs typeface="+mn-cs"/>
              </a:defRPr>
            </a:lvl8pPr>
            <a:lvl9pPr marL="5120640" algn="l" defTabSz="1280160" rtl="0" eaLnBrk="1" latinLnBrk="0" hangingPunct="1">
              <a:defRPr sz="2500" kern="1200">
                <a:solidFill>
                  <a:schemeClr val="lt1"/>
                </a:solidFill>
                <a:latin typeface="+mn-lt"/>
                <a:ea typeface="+mn-ea"/>
                <a:cs typeface="+mn-cs"/>
              </a:defRPr>
            </a:lvl9pPr>
          </a:lstStyle>
          <a:p>
            <a:pPr algn="ctr"/>
            <a:r>
              <a:rPr lang="en-GB" sz="900">
                <a:solidFill>
                  <a:sysClr val="windowText" lastClr="000000"/>
                </a:solidFill>
              </a:rPr>
              <a:t>Index values</a:t>
            </a:r>
            <a:endParaRPr lang="en-GB" sz="900">
              <a:solidFill>
                <a:sysClr val="windowText" lastClr="000000"/>
              </a:solidFill>
              <a:latin typeface="Arial" panose="020B0604020202020204" pitchFamily="34" charset="0"/>
              <a:cs typeface="Arial" panose="020B0604020202020204" pitchFamily="34" charset="0"/>
            </a:endParaRPr>
          </a:p>
        </xdr:txBody>
      </xdr:sp>
      <xdr:cxnSp macro="">
        <xdr:nvCxnSpPr>
          <xdr:cNvPr id="111" name="Elbow Connector 110"/>
          <xdr:cNvCxnSpPr>
            <a:stCxn id="95" idx="3"/>
            <a:endCxn id="92" idx="1"/>
          </xdr:cNvCxnSpPr>
        </xdr:nvCxnSpPr>
        <xdr:spPr>
          <a:xfrm>
            <a:off x="2505065" y="854683"/>
            <a:ext cx="867894" cy="3207730"/>
          </a:xfrm>
          <a:prstGeom prst="bentConnector3">
            <a:avLst>
              <a:gd name="adj1" fmla="val 50000"/>
            </a:avLst>
          </a:prstGeom>
          <a:ln w="19050">
            <a:solidFill>
              <a:srgbClr val="00B050"/>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12" name="Elbow Connector 111"/>
          <xdr:cNvCxnSpPr>
            <a:stCxn id="99" idx="3"/>
            <a:endCxn id="96" idx="1"/>
          </xdr:cNvCxnSpPr>
        </xdr:nvCxnSpPr>
        <xdr:spPr>
          <a:xfrm>
            <a:off x="2505065" y="1603489"/>
            <a:ext cx="867894" cy="3087574"/>
          </a:xfrm>
          <a:prstGeom prst="bentConnector3">
            <a:avLst>
              <a:gd name="adj1" fmla="val 50000"/>
            </a:avLst>
          </a:prstGeom>
          <a:ln w="19050">
            <a:solidFill>
              <a:srgbClr val="00B050"/>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13" name="Elbow Connector 112"/>
          <xdr:cNvCxnSpPr>
            <a:stCxn id="104" idx="3"/>
            <a:endCxn id="94" idx="1"/>
          </xdr:cNvCxnSpPr>
        </xdr:nvCxnSpPr>
        <xdr:spPr>
          <a:xfrm>
            <a:off x="2512380" y="2318236"/>
            <a:ext cx="860579" cy="2978027"/>
          </a:xfrm>
          <a:prstGeom prst="bentConnector3">
            <a:avLst>
              <a:gd name="adj1" fmla="val 50000"/>
            </a:avLst>
          </a:prstGeom>
          <a:ln w="19050">
            <a:solidFill>
              <a:srgbClr val="00B050"/>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4" name="Rectangle 113"/>
          <xdr:cNvSpPr/>
        </xdr:nvSpPr>
        <xdr:spPr>
          <a:xfrm>
            <a:off x="4935059" y="5029200"/>
            <a:ext cx="1008541" cy="504825"/>
          </a:xfrm>
          <a:prstGeom prst="rect">
            <a:avLst/>
          </a:prstGeom>
          <a:solidFill>
            <a:srgbClr val="92D050"/>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chorCtr="0"/>
          <a:lstStyle>
            <a:defPPr>
              <a:defRPr lang="en-US"/>
            </a:defPPr>
            <a:lvl1pPr marL="0" algn="l" defTabSz="1280160" rtl="0" eaLnBrk="1" latinLnBrk="0" hangingPunct="1">
              <a:defRPr sz="2500" kern="1200">
                <a:solidFill>
                  <a:schemeClr val="lt1"/>
                </a:solidFill>
                <a:latin typeface="+mn-lt"/>
                <a:ea typeface="+mn-ea"/>
                <a:cs typeface="+mn-cs"/>
              </a:defRPr>
            </a:lvl1pPr>
            <a:lvl2pPr marL="640080" algn="l" defTabSz="1280160" rtl="0" eaLnBrk="1" latinLnBrk="0" hangingPunct="1">
              <a:defRPr sz="2500" kern="1200">
                <a:solidFill>
                  <a:schemeClr val="lt1"/>
                </a:solidFill>
                <a:latin typeface="+mn-lt"/>
                <a:ea typeface="+mn-ea"/>
                <a:cs typeface="+mn-cs"/>
              </a:defRPr>
            </a:lvl2pPr>
            <a:lvl3pPr marL="1280160" algn="l" defTabSz="1280160" rtl="0" eaLnBrk="1" latinLnBrk="0" hangingPunct="1">
              <a:defRPr sz="2500" kern="1200">
                <a:solidFill>
                  <a:schemeClr val="lt1"/>
                </a:solidFill>
                <a:latin typeface="+mn-lt"/>
                <a:ea typeface="+mn-ea"/>
                <a:cs typeface="+mn-cs"/>
              </a:defRPr>
            </a:lvl3pPr>
            <a:lvl4pPr marL="1920240" algn="l" defTabSz="1280160" rtl="0" eaLnBrk="1" latinLnBrk="0" hangingPunct="1">
              <a:defRPr sz="2500" kern="1200">
                <a:solidFill>
                  <a:schemeClr val="lt1"/>
                </a:solidFill>
                <a:latin typeface="+mn-lt"/>
                <a:ea typeface="+mn-ea"/>
                <a:cs typeface="+mn-cs"/>
              </a:defRPr>
            </a:lvl4pPr>
            <a:lvl5pPr marL="2560320" algn="l" defTabSz="1280160" rtl="0" eaLnBrk="1" latinLnBrk="0" hangingPunct="1">
              <a:defRPr sz="2500" kern="1200">
                <a:solidFill>
                  <a:schemeClr val="lt1"/>
                </a:solidFill>
                <a:latin typeface="+mn-lt"/>
                <a:ea typeface="+mn-ea"/>
                <a:cs typeface="+mn-cs"/>
              </a:defRPr>
            </a:lvl5pPr>
            <a:lvl6pPr marL="3200400" algn="l" defTabSz="1280160" rtl="0" eaLnBrk="1" latinLnBrk="0" hangingPunct="1">
              <a:defRPr sz="2500" kern="1200">
                <a:solidFill>
                  <a:schemeClr val="lt1"/>
                </a:solidFill>
                <a:latin typeface="+mn-lt"/>
                <a:ea typeface="+mn-ea"/>
                <a:cs typeface="+mn-cs"/>
              </a:defRPr>
            </a:lvl6pPr>
            <a:lvl7pPr marL="3840480" algn="l" defTabSz="1280160" rtl="0" eaLnBrk="1" latinLnBrk="0" hangingPunct="1">
              <a:defRPr sz="2500" kern="1200">
                <a:solidFill>
                  <a:schemeClr val="lt1"/>
                </a:solidFill>
                <a:latin typeface="+mn-lt"/>
                <a:ea typeface="+mn-ea"/>
                <a:cs typeface="+mn-cs"/>
              </a:defRPr>
            </a:lvl7pPr>
            <a:lvl8pPr marL="4480560" algn="l" defTabSz="1280160" rtl="0" eaLnBrk="1" latinLnBrk="0" hangingPunct="1">
              <a:defRPr sz="2500" kern="1200">
                <a:solidFill>
                  <a:schemeClr val="lt1"/>
                </a:solidFill>
                <a:latin typeface="+mn-lt"/>
                <a:ea typeface="+mn-ea"/>
                <a:cs typeface="+mn-cs"/>
              </a:defRPr>
            </a:lvl8pPr>
            <a:lvl9pPr marL="5120640" algn="l" defTabSz="1280160" rtl="0" eaLnBrk="1" latinLnBrk="0" hangingPunct="1">
              <a:defRPr sz="2500" kern="1200">
                <a:solidFill>
                  <a:schemeClr val="lt1"/>
                </a:solidFill>
                <a:latin typeface="+mn-lt"/>
                <a:ea typeface="+mn-ea"/>
                <a:cs typeface="+mn-cs"/>
              </a:defRPr>
            </a:lvl9pPr>
          </a:lstStyle>
          <a:p>
            <a:pPr algn="ctr"/>
            <a:r>
              <a:rPr lang="en-GB" sz="900">
                <a:solidFill>
                  <a:sysClr val="windowText" lastClr="000000"/>
                </a:solidFill>
              </a:rPr>
              <a:t>1. Summary</a:t>
            </a:r>
            <a:endParaRPr lang="en-GB" sz="900">
              <a:solidFill>
                <a:sysClr val="windowText" lastClr="000000"/>
              </a:solidFill>
              <a:latin typeface="Arial" panose="020B0604020202020204" pitchFamily="34" charset="0"/>
              <a:cs typeface="Arial" panose="020B0604020202020204" pitchFamily="34" charset="0"/>
            </a:endParaRPr>
          </a:p>
        </xdr:txBody>
      </xdr:sp>
      <xdr:sp macro="" textlink="">
        <xdr:nvSpPr>
          <xdr:cNvPr id="115" name="Rectangle 114"/>
          <xdr:cNvSpPr/>
        </xdr:nvSpPr>
        <xdr:spPr>
          <a:xfrm>
            <a:off x="4935059" y="2895600"/>
            <a:ext cx="1008541" cy="504825"/>
          </a:xfrm>
          <a:prstGeom prst="rect">
            <a:avLst/>
          </a:prstGeom>
          <a:solidFill>
            <a:srgbClr val="92D050"/>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chorCtr="0"/>
          <a:lstStyle>
            <a:defPPr>
              <a:defRPr lang="en-US"/>
            </a:defPPr>
            <a:lvl1pPr marL="0" algn="l" defTabSz="1280160" rtl="0" eaLnBrk="1" latinLnBrk="0" hangingPunct="1">
              <a:defRPr sz="2500" kern="1200">
                <a:solidFill>
                  <a:schemeClr val="lt1"/>
                </a:solidFill>
                <a:latin typeface="+mn-lt"/>
                <a:ea typeface="+mn-ea"/>
                <a:cs typeface="+mn-cs"/>
              </a:defRPr>
            </a:lvl1pPr>
            <a:lvl2pPr marL="640080" algn="l" defTabSz="1280160" rtl="0" eaLnBrk="1" latinLnBrk="0" hangingPunct="1">
              <a:defRPr sz="2500" kern="1200">
                <a:solidFill>
                  <a:schemeClr val="lt1"/>
                </a:solidFill>
                <a:latin typeface="+mn-lt"/>
                <a:ea typeface="+mn-ea"/>
                <a:cs typeface="+mn-cs"/>
              </a:defRPr>
            </a:lvl2pPr>
            <a:lvl3pPr marL="1280160" algn="l" defTabSz="1280160" rtl="0" eaLnBrk="1" latinLnBrk="0" hangingPunct="1">
              <a:defRPr sz="2500" kern="1200">
                <a:solidFill>
                  <a:schemeClr val="lt1"/>
                </a:solidFill>
                <a:latin typeface="+mn-lt"/>
                <a:ea typeface="+mn-ea"/>
                <a:cs typeface="+mn-cs"/>
              </a:defRPr>
            </a:lvl3pPr>
            <a:lvl4pPr marL="1920240" algn="l" defTabSz="1280160" rtl="0" eaLnBrk="1" latinLnBrk="0" hangingPunct="1">
              <a:defRPr sz="2500" kern="1200">
                <a:solidFill>
                  <a:schemeClr val="lt1"/>
                </a:solidFill>
                <a:latin typeface="+mn-lt"/>
                <a:ea typeface="+mn-ea"/>
                <a:cs typeface="+mn-cs"/>
              </a:defRPr>
            </a:lvl4pPr>
            <a:lvl5pPr marL="2560320" algn="l" defTabSz="1280160" rtl="0" eaLnBrk="1" latinLnBrk="0" hangingPunct="1">
              <a:defRPr sz="2500" kern="1200">
                <a:solidFill>
                  <a:schemeClr val="lt1"/>
                </a:solidFill>
                <a:latin typeface="+mn-lt"/>
                <a:ea typeface="+mn-ea"/>
                <a:cs typeface="+mn-cs"/>
              </a:defRPr>
            </a:lvl5pPr>
            <a:lvl6pPr marL="3200400" algn="l" defTabSz="1280160" rtl="0" eaLnBrk="1" latinLnBrk="0" hangingPunct="1">
              <a:defRPr sz="2500" kern="1200">
                <a:solidFill>
                  <a:schemeClr val="lt1"/>
                </a:solidFill>
                <a:latin typeface="+mn-lt"/>
                <a:ea typeface="+mn-ea"/>
                <a:cs typeface="+mn-cs"/>
              </a:defRPr>
            </a:lvl6pPr>
            <a:lvl7pPr marL="3840480" algn="l" defTabSz="1280160" rtl="0" eaLnBrk="1" latinLnBrk="0" hangingPunct="1">
              <a:defRPr sz="2500" kern="1200">
                <a:solidFill>
                  <a:schemeClr val="lt1"/>
                </a:solidFill>
                <a:latin typeface="+mn-lt"/>
                <a:ea typeface="+mn-ea"/>
                <a:cs typeface="+mn-cs"/>
              </a:defRPr>
            </a:lvl7pPr>
            <a:lvl8pPr marL="4480560" algn="l" defTabSz="1280160" rtl="0" eaLnBrk="1" latinLnBrk="0" hangingPunct="1">
              <a:defRPr sz="2500" kern="1200">
                <a:solidFill>
                  <a:schemeClr val="lt1"/>
                </a:solidFill>
                <a:latin typeface="+mn-lt"/>
                <a:ea typeface="+mn-ea"/>
                <a:cs typeface="+mn-cs"/>
              </a:defRPr>
            </a:lvl8pPr>
            <a:lvl9pPr marL="5120640" algn="l" defTabSz="1280160" rtl="0" eaLnBrk="1" latinLnBrk="0" hangingPunct="1">
              <a:defRPr sz="2500" kern="1200">
                <a:solidFill>
                  <a:schemeClr val="lt1"/>
                </a:solidFill>
                <a:latin typeface="+mn-lt"/>
                <a:ea typeface="+mn-ea"/>
                <a:cs typeface="+mn-cs"/>
              </a:defRPr>
            </a:lvl9pPr>
          </a:lstStyle>
          <a:p>
            <a:pPr algn="ctr"/>
            <a:r>
              <a:rPr lang="en-GB" sz="900">
                <a:solidFill>
                  <a:sysClr val="windowText" lastClr="000000"/>
                </a:solidFill>
              </a:rPr>
              <a:t>Mergers &amp; new Provs to 2013-14</a:t>
            </a:r>
            <a:endParaRPr lang="en-GB" sz="900">
              <a:solidFill>
                <a:sysClr val="windowText" lastClr="000000"/>
              </a:solidFill>
              <a:latin typeface="Arial" panose="020B0604020202020204" pitchFamily="34" charset="0"/>
              <a:cs typeface="Arial" panose="020B0604020202020204" pitchFamily="34" charset="0"/>
            </a:endParaRPr>
          </a:p>
        </xdr:txBody>
      </xdr:sp>
      <xdr:cxnSp macro="">
        <xdr:nvCxnSpPr>
          <xdr:cNvPr id="116" name="Elbow Connector 115"/>
          <xdr:cNvCxnSpPr>
            <a:stCxn id="84" idx="2"/>
            <a:endCxn id="115" idx="1"/>
          </xdr:cNvCxnSpPr>
        </xdr:nvCxnSpPr>
        <xdr:spPr>
          <a:xfrm rot="16200000" flipH="1">
            <a:off x="4112706" y="2325658"/>
            <a:ext cx="577364" cy="1067343"/>
          </a:xfrm>
          <a:prstGeom prst="bentConnector2">
            <a:avLst/>
          </a:prstGeom>
          <a:ln w="19050">
            <a:solidFill>
              <a:srgbClr val="00B050"/>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17" name="Elbow Connector 116"/>
          <xdr:cNvCxnSpPr>
            <a:stCxn id="115" idx="3"/>
            <a:endCxn id="118" idx="1"/>
          </xdr:cNvCxnSpPr>
        </xdr:nvCxnSpPr>
        <xdr:spPr>
          <a:xfrm>
            <a:off x="5943600" y="3148013"/>
            <a:ext cx="667142" cy="781050"/>
          </a:xfrm>
          <a:prstGeom prst="bentConnector3">
            <a:avLst>
              <a:gd name="adj1" fmla="val 50000"/>
            </a:avLst>
          </a:prstGeom>
          <a:ln w="19050">
            <a:solidFill>
              <a:srgbClr val="00B050"/>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8" name="Rectangle 117"/>
          <xdr:cNvSpPr/>
        </xdr:nvSpPr>
        <xdr:spPr>
          <a:xfrm>
            <a:off x="6610742" y="3676650"/>
            <a:ext cx="1008541" cy="504825"/>
          </a:xfrm>
          <a:prstGeom prst="rect">
            <a:avLst/>
          </a:prstGeom>
          <a:solidFill>
            <a:srgbClr val="92D050"/>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chorCtr="0"/>
          <a:lstStyle>
            <a:defPPr>
              <a:defRPr lang="en-US"/>
            </a:defPPr>
            <a:lvl1pPr marL="0" algn="l" defTabSz="1280160" rtl="0" eaLnBrk="1" latinLnBrk="0" hangingPunct="1">
              <a:defRPr sz="2500" kern="1200">
                <a:solidFill>
                  <a:schemeClr val="lt1"/>
                </a:solidFill>
                <a:latin typeface="+mn-lt"/>
                <a:ea typeface="+mn-ea"/>
                <a:cs typeface="+mn-cs"/>
              </a:defRPr>
            </a:lvl1pPr>
            <a:lvl2pPr marL="640080" algn="l" defTabSz="1280160" rtl="0" eaLnBrk="1" latinLnBrk="0" hangingPunct="1">
              <a:defRPr sz="2500" kern="1200">
                <a:solidFill>
                  <a:schemeClr val="lt1"/>
                </a:solidFill>
                <a:latin typeface="+mn-lt"/>
                <a:ea typeface="+mn-ea"/>
                <a:cs typeface="+mn-cs"/>
              </a:defRPr>
            </a:lvl2pPr>
            <a:lvl3pPr marL="1280160" algn="l" defTabSz="1280160" rtl="0" eaLnBrk="1" latinLnBrk="0" hangingPunct="1">
              <a:defRPr sz="2500" kern="1200">
                <a:solidFill>
                  <a:schemeClr val="lt1"/>
                </a:solidFill>
                <a:latin typeface="+mn-lt"/>
                <a:ea typeface="+mn-ea"/>
                <a:cs typeface="+mn-cs"/>
              </a:defRPr>
            </a:lvl3pPr>
            <a:lvl4pPr marL="1920240" algn="l" defTabSz="1280160" rtl="0" eaLnBrk="1" latinLnBrk="0" hangingPunct="1">
              <a:defRPr sz="2500" kern="1200">
                <a:solidFill>
                  <a:schemeClr val="lt1"/>
                </a:solidFill>
                <a:latin typeface="+mn-lt"/>
                <a:ea typeface="+mn-ea"/>
                <a:cs typeface="+mn-cs"/>
              </a:defRPr>
            </a:lvl4pPr>
            <a:lvl5pPr marL="2560320" algn="l" defTabSz="1280160" rtl="0" eaLnBrk="1" latinLnBrk="0" hangingPunct="1">
              <a:defRPr sz="2500" kern="1200">
                <a:solidFill>
                  <a:schemeClr val="lt1"/>
                </a:solidFill>
                <a:latin typeface="+mn-lt"/>
                <a:ea typeface="+mn-ea"/>
                <a:cs typeface="+mn-cs"/>
              </a:defRPr>
            </a:lvl5pPr>
            <a:lvl6pPr marL="3200400" algn="l" defTabSz="1280160" rtl="0" eaLnBrk="1" latinLnBrk="0" hangingPunct="1">
              <a:defRPr sz="2500" kern="1200">
                <a:solidFill>
                  <a:schemeClr val="lt1"/>
                </a:solidFill>
                <a:latin typeface="+mn-lt"/>
                <a:ea typeface="+mn-ea"/>
                <a:cs typeface="+mn-cs"/>
              </a:defRPr>
            </a:lvl6pPr>
            <a:lvl7pPr marL="3840480" algn="l" defTabSz="1280160" rtl="0" eaLnBrk="1" latinLnBrk="0" hangingPunct="1">
              <a:defRPr sz="2500" kern="1200">
                <a:solidFill>
                  <a:schemeClr val="lt1"/>
                </a:solidFill>
                <a:latin typeface="+mn-lt"/>
                <a:ea typeface="+mn-ea"/>
                <a:cs typeface="+mn-cs"/>
              </a:defRPr>
            </a:lvl7pPr>
            <a:lvl8pPr marL="4480560" algn="l" defTabSz="1280160" rtl="0" eaLnBrk="1" latinLnBrk="0" hangingPunct="1">
              <a:defRPr sz="2500" kern="1200">
                <a:solidFill>
                  <a:schemeClr val="lt1"/>
                </a:solidFill>
                <a:latin typeface="+mn-lt"/>
                <a:ea typeface="+mn-ea"/>
                <a:cs typeface="+mn-cs"/>
              </a:defRPr>
            </a:lvl8pPr>
            <a:lvl9pPr marL="5120640" algn="l" defTabSz="1280160" rtl="0" eaLnBrk="1" latinLnBrk="0" hangingPunct="1">
              <a:defRPr sz="2500" kern="1200">
                <a:solidFill>
                  <a:schemeClr val="lt1"/>
                </a:solidFill>
                <a:latin typeface="+mn-lt"/>
                <a:ea typeface="+mn-ea"/>
                <a:cs typeface="+mn-cs"/>
              </a:defRPr>
            </a:lvl9pPr>
          </a:lstStyle>
          <a:p>
            <a:pPr algn="ctr"/>
            <a:r>
              <a:rPr lang="en-GB" sz="900">
                <a:solidFill>
                  <a:sysClr val="windowText" lastClr="000000"/>
                </a:solidFill>
              </a:rPr>
              <a:t>Merged Trusts and MFF year</a:t>
            </a:r>
            <a:endParaRPr lang="en-GB" sz="900">
              <a:solidFill>
                <a:sysClr val="windowText" lastClr="000000"/>
              </a:solidFill>
              <a:latin typeface="Arial" panose="020B0604020202020204" pitchFamily="34" charset="0"/>
              <a:cs typeface="Arial" panose="020B0604020202020204" pitchFamily="34" charset="0"/>
            </a:endParaRPr>
          </a:p>
        </xdr:txBody>
      </xdr:sp>
      <xdr:sp macro="" textlink="">
        <xdr:nvSpPr>
          <xdr:cNvPr id="119" name="Rectangle 118"/>
          <xdr:cNvSpPr/>
        </xdr:nvSpPr>
        <xdr:spPr>
          <a:xfrm>
            <a:off x="3380285" y="7239000"/>
            <a:ext cx="1008541" cy="504825"/>
          </a:xfrm>
          <a:prstGeom prst="rect">
            <a:avLst/>
          </a:prstGeom>
          <a:solidFill>
            <a:srgbClr val="92D050"/>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chorCtr="0"/>
          <a:lstStyle>
            <a:defPPr>
              <a:defRPr lang="en-US"/>
            </a:defPPr>
            <a:lvl1pPr marL="0" algn="l" defTabSz="1280160" rtl="0" eaLnBrk="1" latinLnBrk="0" hangingPunct="1">
              <a:defRPr sz="2500" kern="1200">
                <a:solidFill>
                  <a:schemeClr val="lt1"/>
                </a:solidFill>
                <a:latin typeface="+mn-lt"/>
                <a:ea typeface="+mn-ea"/>
                <a:cs typeface="+mn-cs"/>
              </a:defRPr>
            </a:lvl1pPr>
            <a:lvl2pPr marL="640080" algn="l" defTabSz="1280160" rtl="0" eaLnBrk="1" latinLnBrk="0" hangingPunct="1">
              <a:defRPr sz="2500" kern="1200">
                <a:solidFill>
                  <a:schemeClr val="lt1"/>
                </a:solidFill>
                <a:latin typeface="+mn-lt"/>
                <a:ea typeface="+mn-ea"/>
                <a:cs typeface="+mn-cs"/>
              </a:defRPr>
            </a:lvl2pPr>
            <a:lvl3pPr marL="1280160" algn="l" defTabSz="1280160" rtl="0" eaLnBrk="1" latinLnBrk="0" hangingPunct="1">
              <a:defRPr sz="2500" kern="1200">
                <a:solidFill>
                  <a:schemeClr val="lt1"/>
                </a:solidFill>
                <a:latin typeface="+mn-lt"/>
                <a:ea typeface="+mn-ea"/>
                <a:cs typeface="+mn-cs"/>
              </a:defRPr>
            </a:lvl3pPr>
            <a:lvl4pPr marL="1920240" algn="l" defTabSz="1280160" rtl="0" eaLnBrk="1" latinLnBrk="0" hangingPunct="1">
              <a:defRPr sz="2500" kern="1200">
                <a:solidFill>
                  <a:schemeClr val="lt1"/>
                </a:solidFill>
                <a:latin typeface="+mn-lt"/>
                <a:ea typeface="+mn-ea"/>
                <a:cs typeface="+mn-cs"/>
              </a:defRPr>
            </a:lvl4pPr>
            <a:lvl5pPr marL="2560320" algn="l" defTabSz="1280160" rtl="0" eaLnBrk="1" latinLnBrk="0" hangingPunct="1">
              <a:defRPr sz="2500" kern="1200">
                <a:solidFill>
                  <a:schemeClr val="lt1"/>
                </a:solidFill>
                <a:latin typeface="+mn-lt"/>
                <a:ea typeface="+mn-ea"/>
                <a:cs typeface="+mn-cs"/>
              </a:defRPr>
            </a:lvl5pPr>
            <a:lvl6pPr marL="3200400" algn="l" defTabSz="1280160" rtl="0" eaLnBrk="1" latinLnBrk="0" hangingPunct="1">
              <a:defRPr sz="2500" kern="1200">
                <a:solidFill>
                  <a:schemeClr val="lt1"/>
                </a:solidFill>
                <a:latin typeface="+mn-lt"/>
                <a:ea typeface="+mn-ea"/>
                <a:cs typeface="+mn-cs"/>
              </a:defRPr>
            </a:lvl6pPr>
            <a:lvl7pPr marL="3840480" algn="l" defTabSz="1280160" rtl="0" eaLnBrk="1" latinLnBrk="0" hangingPunct="1">
              <a:defRPr sz="2500" kern="1200">
                <a:solidFill>
                  <a:schemeClr val="lt1"/>
                </a:solidFill>
                <a:latin typeface="+mn-lt"/>
                <a:ea typeface="+mn-ea"/>
                <a:cs typeface="+mn-cs"/>
              </a:defRPr>
            </a:lvl7pPr>
            <a:lvl8pPr marL="4480560" algn="l" defTabSz="1280160" rtl="0" eaLnBrk="1" latinLnBrk="0" hangingPunct="1">
              <a:defRPr sz="2500" kern="1200">
                <a:solidFill>
                  <a:schemeClr val="lt1"/>
                </a:solidFill>
                <a:latin typeface="+mn-lt"/>
                <a:ea typeface="+mn-ea"/>
                <a:cs typeface="+mn-cs"/>
              </a:defRPr>
            </a:lvl8pPr>
            <a:lvl9pPr marL="5120640" algn="l" defTabSz="1280160" rtl="0" eaLnBrk="1" latinLnBrk="0" hangingPunct="1">
              <a:defRPr sz="2500" kern="1200">
                <a:solidFill>
                  <a:schemeClr val="lt1"/>
                </a:solidFill>
                <a:latin typeface="+mn-lt"/>
                <a:ea typeface="+mn-ea"/>
                <a:cs typeface="+mn-cs"/>
              </a:defRPr>
            </a:lvl9pPr>
          </a:lstStyle>
          <a:p>
            <a:pPr algn="ctr"/>
            <a:r>
              <a:rPr lang="en-GB" sz="900">
                <a:solidFill>
                  <a:sysClr val="windowText" lastClr="000000"/>
                </a:solidFill>
              </a:rPr>
              <a:t>Royal Free + Barnet|Chase Farm</a:t>
            </a:r>
            <a:endParaRPr lang="en-GB" sz="900">
              <a:solidFill>
                <a:sysClr val="windowText" lastClr="000000"/>
              </a:solidFill>
              <a:latin typeface="Arial" panose="020B0604020202020204" pitchFamily="34" charset="0"/>
              <a:cs typeface="Arial" panose="020B0604020202020204" pitchFamily="34" charset="0"/>
            </a:endParaRPr>
          </a:p>
        </xdr:txBody>
      </xdr:sp>
      <xdr:sp macro="" textlink="">
        <xdr:nvSpPr>
          <xdr:cNvPr id="120" name="Rectangle 119"/>
          <xdr:cNvSpPr/>
        </xdr:nvSpPr>
        <xdr:spPr>
          <a:xfrm>
            <a:off x="3382484" y="7896225"/>
            <a:ext cx="1008541" cy="504825"/>
          </a:xfrm>
          <a:prstGeom prst="rect">
            <a:avLst/>
          </a:prstGeom>
          <a:solidFill>
            <a:srgbClr val="92D050"/>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chorCtr="0"/>
          <a:lstStyle>
            <a:defPPr>
              <a:defRPr lang="en-US"/>
            </a:defPPr>
            <a:lvl1pPr marL="0" algn="l" defTabSz="1280160" rtl="0" eaLnBrk="1" latinLnBrk="0" hangingPunct="1">
              <a:defRPr sz="2500" kern="1200">
                <a:solidFill>
                  <a:schemeClr val="lt1"/>
                </a:solidFill>
                <a:latin typeface="+mn-lt"/>
                <a:ea typeface="+mn-ea"/>
                <a:cs typeface="+mn-cs"/>
              </a:defRPr>
            </a:lvl1pPr>
            <a:lvl2pPr marL="640080" algn="l" defTabSz="1280160" rtl="0" eaLnBrk="1" latinLnBrk="0" hangingPunct="1">
              <a:defRPr sz="2500" kern="1200">
                <a:solidFill>
                  <a:schemeClr val="lt1"/>
                </a:solidFill>
                <a:latin typeface="+mn-lt"/>
                <a:ea typeface="+mn-ea"/>
                <a:cs typeface="+mn-cs"/>
              </a:defRPr>
            </a:lvl2pPr>
            <a:lvl3pPr marL="1280160" algn="l" defTabSz="1280160" rtl="0" eaLnBrk="1" latinLnBrk="0" hangingPunct="1">
              <a:defRPr sz="2500" kern="1200">
                <a:solidFill>
                  <a:schemeClr val="lt1"/>
                </a:solidFill>
                <a:latin typeface="+mn-lt"/>
                <a:ea typeface="+mn-ea"/>
                <a:cs typeface="+mn-cs"/>
              </a:defRPr>
            </a:lvl3pPr>
            <a:lvl4pPr marL="1920240" algn="l" defTabSz="1280160" rtl="0" eaLnBrk="1" latinLnBrk="0" hangingPunct="1">
              <a:defRPr sz="2500" kern="1200">
                <a:solidFill>
                  <a:schemeClr val="lt1"/>
                </a:solidFill>
                <a:latin typeface="+mn-lt"/>
                <a:ea typeface="+mn-ea"/>
                <a:cs typeface="+mn-cs"/>
              </a:defRPr>
            </a:lvl4pPr>
            <a:lvl5pPr marL="2560320" algn="l" defTabSz="1280160" rtl="0" eaLnBrk="1" latinLnBrk="0" hangingPunct="1">
              <a:defRPr sz="2500" kern="1200">
                <a:solidFill>
                  <a:schemeClr val="lt1"/>
                </a:solidFill>
                <a:latin typeface="+mn-lt"/>
                <a:ea typeface="+mn-ea"/>
                <a:cs typeface="+mn-cs"/>
              </a:defRPr>
            </a:lvl5pPr>
            <a:lvl6pPr marL="3200400" algn="l" defTabSz="1280160" rtl="0" eaLnBrk="1" latinLnBrk="0" hangingPunct="1">
              <a:defRPr sz="2500" kern="1200">
                <a:solidFill>
                  <a:schemeClr val="lt1"/>
                </a:solidFill>
                <a:latin typeface="+mn-lt"/>
                <a:ea typeface="+mn-ea"/>
                <a:cs typeface="+mn-cs"/>
              </a:defRPr>
            </a:lvl6pPr>
            <a:lvl7pPr marL="3840480" algn="l" defTabSz="1280160" rtl="0" eaLnBrk="1" latinLnBrk="0" hangingPunct="1">
              <a:defRPr sz="2500" kern="1200">
                <a:solidFill>
                  <a:schemeClr val="lt1"/>
                </a:solidFill>
                <a:latin typeface="+mn-lt"/>
                <a:ea typeface="+mn-ea"/>
                <a:cs typeface="+mn-cs"/>
              </a:defRPr>
            </a:lvl7pPr>
            <a:lvl8pPr marL="4480560" algn="l" defTabSz="1280160" rtl="0" eaLnBrk="1" latinLnBrk="0" hangingPunct="1">
              <a:defRPr sz="2500" kern="1200">
                <a:solidFill>
                  <a:schemeClr val="lt1"/>
                </a:solidFill>
                <a:latin typeface="+mn-lt"/>
                <a:ea typeface="+mn-ea"/>
                <a:cs typeface="+mn-cs"/>
              </a:defRPr>
            </a:lvl8pPr>
            <a:lvl9pPr marL="5120640" algn="l" defTabSz="1280160" rtl="0" eaLnBrk="1" latinLnBrk="0" hangingPunct="1">
              <a:defRPr sz="2500" kern="1200">
                <a:solidFill>
                  <a:schemeClr val="lt1"/>
                </a:solidFill>
                <a:latin typeface="+mn-lt"/>
                <a:ea typeface="+mn-ea"/>
                <a:cs typeface="+mn-cs"/>
              </a:defRPr>
            </a:lvl9pPr>
          </a:lstStyle>
          <a:p>
            <a:pPr algn="ctr"/>
            <a:r>
              <a:rPr lang="en-GB" sz="900">
                <a:solidFill>
                  <a:sysClr val="windowText" lastClr="000000"/>
                </a:solidFill>
              </a:rPr>
              <a:t>Frimley + Heatherwood|Wexham</a:t>
            </a:r>
            <a:endParaRPr lang="en-GB" sz="900">
              <a:solidFill>
                <a:sysClr val="windowText" lastClr="000000"/>
              </a:solidFill>
              <a:latin typeface="Arial" panose="020B0604020202020204" pitchFamily="34" charset="0"/>
              <a:cs typeface="Arial" panose="020B0604020202020204" pitchFamily="34" charset="0"/>
            </a:endParaRPr>
          </a:p>
        </xdr:txBody>
      </xdr:sp>
      <xdr:sp macro="" textlink="">
        <xdr:nvSpPr>
          <xdr:cNvPr id="121" name="Rectangle 120"/>
          <xdr:cNvSpPr/>
        </xdr:nvSpPr>
        <xdr:spPr>
          <a:xfrm>
            <a:off x="3377827" y="10391775"/>
            <a:ext cx="1008541" cy="504825"/>
          </a:xfrm>
          <a:prstGeom prst="rect">
            <a:avLst/>
          </a:prstGeom>
          <a:solidFill>
            <a:srgbClr val="92D050"/>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chorCtr="0"/>
          <a:lstStyle>
            <a:defPPr>
              <a:defRPr lang="en-US"/>
            </a:defPPr>
            <a:lvl1pPr marL="0" algn="l" defTabSz="1280160" rtl="0" eaLnBrk="1" latinLnBrk="0" hangingPunct="1">
              <a:defRPr sz="2500" kern="1200">
                <a:solidFill>
                  <a:schemeClr val="lt1"/>
                </a:solidFill>
                <a:latin typeface="+mn-lt"/>
                <a:ea typeface="+mn-ea"/>
                <a:cs typeface="+mn-cs"/>
              </a:defRPr>
            </a:lvl1pPr>
            <a:lvl2pPr marL="640080" algn="l" defTabSz="1280160" rtl="0" eaLnBrk="1" latinLnBrk="0" hangingPunct="1">
              <a:defRPr sz="2500" kern="1200">
                <a:solidFill>
                  <a:schemeClr val="lt1"/>
                </a:solidFill>
                <a:latin typeface="+mn-lt"/>
                <a:ea typeface="+mn-ea"/>
                <a:cs typeface="+mn-cs"/>
              </a:defRPr>
            </a:lvl2pPr>
            <a:lvl3pPr marL="1280160" algn="l" defTabSz="1280160" rtl="0" eaLnBrk="1" latinLnBrk="0" hangingPunct="1">
              <a:defRPr sz="2500" kern="1200">
                <a:solidFill>
                  <a:schemeClr val="lt1"/>
                </a:solidFill>
                <a:latin typeface="+mn-lt"/>
                <a:ea typeface="+mn-ea"/>
                <a:cs typeface="+mn-cs"/>
              </a:defRPr>
            </a:lvl3pPr>
            <a:lvl4pPr marL="1920240" algn="l" defTabSz="1280160" rtl="0" eaLnBrk="1" latinLnBrk="0" hangingPunct="1">
              <a:defRPr sz="2500" kern="1200">
                <a:solidFill>
                  <a:schemeClr val="lt1"/>
                </a:solidFill>
                <a:latin typeface="+mn-lt"/>
                <a:ea typeface="+mn-ea"/>
                <a:cs typeface="+mn-cs"/>
              </a:defRPr>
            </a:lvl4pPr>
            <a:lvl5pPr marL="2560320" algn="l" defTabSz="1280160" rtl="0" eaLnBrk="1" latinLnBrk="0" hangingPunct="1">
              <a:defRPr sz="2500" kern="1200">
                <a:solidFill>
                  <a:schemeClr val="lt1"/>
                </a:solidFill>
                <a:latin typeface="+mn-lt"/>
                <a:ea typeface="+mn-ea"/>
                <a:cs typeface="+mn-cs"/>
              </a:defRPr>
            </a:lvl5pPr>
            <a:lvl6pPr marL="3200400" algn="l" defTabSz="1280160" rtl="0" eaLnBrk="1" latinLnBrk="0" hangingPunct="1">
              <a:defRPr sz="2500" kern="1200">
                <a:solidFill>
                  <a:schemeClr val="lt1"/>
                </a:solidFill>
                <a:latin typeface="+mn-lt"/>
                <a:ea typeface="+mn-ea"/>
                <a:cs typeface="+mn-cs"/>
              </a:defRPr>
            </a:lvl6pPr>
            <a:lvl7pPr marL="3840480" algn="l" defTabSz="1280160" rtl="0" eaLnBrk="1" latinLnBrk="0" hangingPunct="1">
              <a:defRPr sz="2500" kern="1200">
                <a:solidFill>
                  <a:schemeClr val="lt1"/>
                </a:solidFill>
                <a:latin typeface="+mn-lt"/>
                <a:ea typeface="+mn-ea"/>
                <a:cs typeface="+mn-cs"/>
              </a:defRPr>
            </a:lvl7pPr>
            <a:lvl8pPr marL="4480560" algn="l" defTabSz="1280160" rtl="0" eaLnBrk="1" latinLnBrk="0" hangingPunct="1">
              <a:defRPr sz="2500" kern="1200">
                <a:solidFill>
                  <a:schemeClr val="lt1"/>
                </a:solidFill>
                <a:latin typeface="+mn-lt"/>
                <a:ea typeface="+mn-ea"/>
                <a:cs typeface="+mn-cs"/>
              </a:defRPr>
            </a:lvl8pPr>
            <a:lvl9pPr marL="5120640" algn="l" defTabSz="1280160" rtl="0" eaLnBrk="1" latinLnBrk="0" hangingPunct="1">
              <a:defRPr sz="2500" kern="1200">
                <a:solidFill>
                  <a:schemeClr val="lt1"/>
                </a:solidFill>
                <a:latin typeface="+mn-lt"/>
                <a:ea typeface="+mn-ea"/>
                <a:cs typeface="+mn-cs"/>
              </a:defRPr>
            </a:lvl9pPr>
          </a:lstStyle>
          <a:p>
            <a:pPr algn="ctr"/>
            <a:r>
              <a:rPr lang="en-GB" sz="900">
                <a:solidFill>
                  <a:sysClr val="windowText" lastClr="000000"/>
                </a:solidFill>
              </a:rPr>
              <a:t>Mid Staff|UHNS</a:t>
            </a:r>
            <a:endParaRPr lang="en-GB" sz="900">
              <a:solidFill>
                <a:sysClr val="windowText" lastClr="000000"/>
              </a:solidFill>
              <a:latin typeface="Arial" panose="020B0604020202020204" pitchFamily="34" charset="0"/>
              <a:cs typeface="Arial" panose="020B0604020202020204" pitchFamily="34" charset="0"/>
            </a:endParaRPr>
          </a:p>
        </xdr:txBody>
      </xdr:sp>
      <xdr:sp macro="" textlink="">
        <xdr:nvSpPr>
          <xdr:cNvPr id="122" name="Rectangle 121"/>
          <xdr:cNvSpPr/>
        </xdr:nvSpPr>
        <xdr:spPr>
          <a:xfrm>
            <a:off x="3382484" y="9766791"/>
            <a:ext cx="1008541" cy="504825"/>
          </a:xfrm>
          <a:prstGeom prst="rect">
            <a:avLst/>
          </a:prstGeom>
          <a:solidFill>
            <a:srgbClr val="92D050"/>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chorCtr="0"/>
          <a:lstStyle>
            <a:defPPr>
              <a:defRPr lang="en-US"/>
            </a:defPPr>
            <a:lvl1pPr marL="0" algn="l" defTabSz="1280160" rtl="0" eaLnBrk="1" latinLnBrk="0" hangingPunct="1">
              <a:defRPr sz="2500" kern="1200">
                <a:solidFill>
                  <a:schemeClr val="lt1"/>
                </a:solidFill>
                <a:latin typeface="+mn-lt"/>
                <a:ea typeface="+mn-ea"/>
                <a:cs typeface="+mn-cs"/>
              </a:defRPr>
            </a:lvl1pPr>
            <a:lvl2pPr marL="640080" algn="l" defTabSz="1280160" rtl="0" eaLnBrk="1" latinLnBrk="0" hangingPunct="1">
              <a:defRPr sz="2500" kern="1200">
                <a:solidFill>
                  <a:schemeClr val="lt1"/>
                </a:solidFill>
                <a:latin typeface="+mn-lt"/>
                <a:ea typeface="+mn-ea"/>
                <a:cs typeface="+mn-cs"/>
              </a:defRPr>
            </a:lvl2pPr>
            <a:lvl3pPr marL="1280160" algn="l" defTabSz="1280160" rtl="0" eaLnBrk="1" latinLnBrk="0" hangingPunct="1">
              <a:defRPr sz="2500" kern="1200">
                <a:solidFill>
                  <a:schemeClr val="lt1"/>
                </a:solidFill>
                <a:latin typeface="+mn-lt"/>
                <a:ea typeface="+mn-ea"/>
                <a:cs typeface="+mn-cs"/>
              </a:defRPr>
            </a:lvl3pPr>
            <a:lvl4pPr marL="1920240" algn="l" defTabSz="1280160" rtl="0" eaLnBrk="1" latinLnBrk="0" hangingPunct="1">
              <a:defRPr sz="2500" kern="1200">
                <a:solidFill>
                  <a:schemeClr val="lt1"/>
                </a:solidFill>
                <a:latin typeface="+mn-lt"/>
                <a:ea typeface="+mn-ea"/>
                <a:cs typeface="+mn-cs"/>
              </a:defRPr>
            </a:lvl4pPr>
            <a:lvl5pPr marL="2560320" algn="l" defTabSz="1280160" rtl="0" eaLnBrk="1" latinLnBrk="0" hangingPunct="1">
              <a:defRPr sz="2500" kern="1200">
                <a:solidFill>
                  <a:schemeClr val="lt1"/>
                </a:solidFill>
                <a:latin typeface="+mn-lt"/>
                <a:ea typeface="+mn-ea"/>
                <a:cs typeface="+mn-cs"/>
              </a:defRPr>
            </a:lvl5pPr>
            <a:lvl6pPr marL="3200400" algn="l" defTabSz="1280160" rtl="0" eaLnBrk="1" latinLnBrk="0" hangingPunct="1">
              <a:defRPr sz="2500" kern="1200">
                <a:solidFill>
                  <a:schemeClr val="lt1"/>
                </a:solidFill>
                <a:latin typeface="+mn-lt"/>
                <a:ea typeface="+mn-ea"/>
                <a:cs typeface="+mn-cs"/>
              </a:defRPr>
            </a:lvl6pPr>
            <a:lvl7pPr marL="3840480" algn="l" defTabSz="1280160" rtl="0" eaLnBrk="1" latinLnBrk="0" hangingPunct="1">
              <a:defRPr sz="2500" kern="1200">
                <a:solidFill>
                  <a:schemeClr val="lt1"/>
                </a:solidFill>
                <a:latin typeface="+mn-lt"/>
                <a:ea typeface="+mn-ea"/>
                <a:cs typeface="+mn-cs"/>
              </a:defRPr>
            </a:lvl7pPr>
            <a:lvl8pPr marL="4480560" algn="l" defTabSz="1280160" rtl="0" eaLnBrk="1" latinLnBrk="0" hangingPunct="1">
              <a:defRPr sz="2500" kern="1200">
                <a:solidFill>
                  <a:schemeClr val="lt1"/>
                </a:solidFill>
                <a:latin typeface="+mn-lt"/>
                <a:ea typeface="+mn-ea"/>
                <a:cs typeface="+mn-cs"/>
              </a:defRPr>
            </a:lvl8pPr>
            <a:lvl9pPr marL="5120640" algn="l" defTabSz="1280160" rtl="0" eaLnBrk="1" latinLnBrk="0" hangingPunct="1">
              <a:defRPr sz="2500" kern="1200">
                <a:solidFill>
                  <a:schemeClr val="lt1"/>
                </a:solidFill>
                <a:latin typeface="+mn-lt"/>
                <a:ea typeface="+mn-ea"/>
                <a:cs typeface="+mn-cs"/>
              </a:defRPr>
            </a:lvl9pPr>
          </a:lstStyle>
          <a:p>
            <a:pPr algn="ctr"/>
            <a:r>
              <a:rPr lang="en-GB" sz="900">
                <a:solidFill>
                  <a:sysClr val="windowText" lastClr="000000"/>
                </a:solidFill>
              </a:rPr>
              <a:t>Mid Staff|Royal Wolverhampton</a:t>
            </a:r>
            <a:endParaRPr lang="en-GB" sz="900">
              <a:solidFill>
                <a:sysClr val="windowText" lastClr="000000"/>
              </a:solidFill>
              <a:latin typeface="Arial" panose="020B0604020202020204" pitchFamily="34" charset="0"/>
              <a:cs typeface="Arial" panose="020B0604020202020204" pitchFamily="34" charset="0"/>
            </a:endParaRPr>
          </a:p>
        </xdr:txBody>
      </xdr:sp>
      <xdr:sp macro="" textlink="">
        <xdr:nvSpPr>
          <xdr:cNvPr id="123" name="Rectangle 122"/>
          <xdr:cNvSpPr/>
        </xdr:nvSpPr>
        <xdr:spPr>
          <a:xfrm>
            <a:off x="3380285" y="8503630"/>
            <a:ext cx="1008541" cy="504825"/>
          </a:xfrm>
          <a:prstGeom prst="rect">
            <a:avLst/>
          </a:prstGeom>
          <a:solidFill>
            <a:srgbClr val="92D050"/>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chorCtr="0"/>
          <a:lstStyle>
            <a:defPPr>
              <a:defRPr lang="en-US"/>
            </a:defPPr>
            <a:lvl1pPr marL="0" algn="l" defTabSz="1280160" rtl="0" eaLnBrk="1" latinLnBrk="0" hangingPunct="1">
              <a:defRPr sz="2500" kern="1200">
                <a:solidFill>
                  <a:schemeClr val="lt1"/>
                </a:solidFill>
                <a:latin typeface="+mn-lt"/>
                <a:ea typeface="+mn-ea"/>
                <a:cs typeface="+mn-cs"/>
              </a:defRPr>
            </a:lvl1pPr>
            <a:lvl2pPr marL="640080" algn="l" defTabSz="1280160" rtl="0" eaLnBrk="1" latinLnBrk="0" hangingPunct="1">
              <a:defRPr sz="2500" kern="1200">
                <a:solidFill>
                  <a:schemeClr val="lt1"/>
                </a:solidFill>
                <a:latin typeface="+mn-lt"/>
                <a:ea typeface="+mn-ea"/>
                <a:cs typeface="+mn-cs"/>
              </a:defRPr>
            </a:lvl2pPr>
            <a:lvl3pPr marL="1280160" algn="l" defTabSz="1280160" rtl="0" eaLnBrk="1" latinLnBrk="0" hangingPunct="1">
              <a:defRPr sz="2500" kern="1200">
                <a:solidFill>
                  <a:schemeClr val="lt1"/>
                </a:solidFill>
                <a:latin typeface="+mn-lt"/>
                <a:ea typeface="+mn-ea"/>
                <a:cs typeface="+mn-cs"/>
              </a:defRPr>
            </a:lvl3pPr>
            <a:lvl4pPr marL="1920240" algn="l" defTabSz="1280160" rtl="0" eaLnBrk="1" latinLnBrk="0" hangingPunct="1">
              <a:defRPr sz="2500" kern="1200">
                <a:solidFill>
                  <a:schemeClr val="lt1"/>
                </a:solidFill>
                <a:latin typeface="+mn-lt"/>
                <a:ea typeface="+mn-ea"/>
                <a:cs typeface="+mn-cs"/>
              </a:defRPr>
            </a:lvl4pPr>
            <a:lvl5pPr marL="2560320" algn="l" defTabSz="1280160" rtl="0" eaLnBrk="1" latinLnBrk="0" hangingPunct="1">
              <a:defRPr sz="2500" kern="1200">
                <a:solidFill>
                  <a:schemeClr val="lt1"/>
                </a:solidFill>
                <a:latin typeface="+mn-lt"/>
                <a:ea typeface="+mn-ea"/>
                <a:cs typeface="+mn-cs"/>
              </a:defRPr>
            </a:lvl5pPr>
            <a:lvl6pPr marL="3200400" algn="l" defTabSz="1280160" rtl="0" eaLnBrk="1" latinLnBrk="0" hangingPunct="1">
              <a:defRPr sz="2500" kern="1200">
                <a:solidFill>
                  <a:schemeClr val="lt1"/>
                </a:solidFill>
                <a:latin typeface="+mn-lt"/>
                <a:ea typeface="+mn-ea"/>
                <a:cs typeface="+mn-cs"/>
              </a:defRPr>
            </a:lvl6pPr>
            <a:lvl7pPr marL="3840480" algn="l" defTabSz="1280160" rtl="0" eaLnBrk="1" latinLnBrk="0" hangingPunct="1">
              <a:defRPr sz="2500" kern="1200">
                <a:solidFill>
                  <a:schemeClr val="lt1"/>
                </a:solidFill>
                <a:latin typeface="+mn-lt"/>
                <a:ea typeface="+mn-ea"/>
                <a:cs typeface="+mn-cs"/>
              </a:defRPr>
            </a:lvl7pPr>
            <a:lvl8pPr marL="4480560" algn="l" defTabSz="1280160" rtl="0" eaLnBrk="1" latinLnBrk="0" hangingPunct="1">
              <a:defRPr sz="2500" kern="1200">
                <a:solidFill>
                  <a:schemeClr val="lt1"/>
                </a:solidFill>
                <a:latin typeface="+mn-lt"/>
                <a:ea typeface="+mn-ea"/>
                <a:cs typeface="+mn-cs"/>
              </a:defRPr>
            </a:lvl8pPr>
            <a:lvl9pPr marL="5120640" algn="l" defTabSz="1280160" rtl="0" eaLnBrk="1" latinLnBrk="0" hangingPunct="1">
              <a:defRPr sz="2500" kern="1200">
                <a:solidFill>
                  <a:schemeClr val="lt1"/>
                </a:solidFill>
                <a:latin typeface="+mn-lt"/>
                <a:ea typeface="+mn-ea"/>
                <a:cs typeface="+mn-cs"/>
              </a:defRPr>
            </a:lvl9pPr>
          </a:lstStyle>
          <a:p>
            <a:pPr algn="ctr"/>
            <a:r>
              <a:rPr lang="en-GB" sz="900">
                <a:solidFill>
                  <a:sysClr val="windowText" lastClr="000000"/>
                </a:solidFill>
              </a:rPr>
              <a:t>London North West Trust</a:t>
            </a:r>
            <a:endParaRPr lang="en-GB" sz="900">
              <a:solidFill>
                <a:sysClr val="windowText" lastClr="000000"/>
              </a:solidFill>
              <a:latin typeface="Arial" panose="020B0604020202020204" pitchFamily="34" charset="0"/>
              <a:cs typeface="Arial" panose="020B0604020202020204" pitchFamily="34" charset="0"/>
            </a:endParaRPr>
          </a:p>
        </xdr:txBody>
      </xdr:sp>
      <xdr:cxnSp macro="">
        <xdr:nvCxnSpPr>
          <xdr:cNvPr id="124" name="Elbow Connector 123"/>
          <xdr:cNvCxnSpPr>
            <a:stCxn id="97" idx="3"/>
            <a:endCxn id="122" idx="1"/>
          </xdr:cNvCxnSpPr>
        </xdr:nvCxnSpPr>
        <xdr:spPr>
          <a:xfrm>
            <a:off x="2514600" y="3786188"/>
            <a:ext cx="867884" cy="6233016"/>
          </a:xfrm>
          <a:prstGeom prst="bentConnector3">
            <a:avLst>
              <a:gd name="adj1" fmla="val 50000"/>
            </a:avLst>
          </a:prstGeom>
          <a:ln w="19050">
            <a:solidFill>
              <a:srgbClr val="00B050"/>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25" name="Elbow Connector 124"/>
          <xdr:cNvCxnSpPr>
            <a:stCxn id="97" idx="3"/>
            <a:endCxn id="121" idx="1"/>
          </xdr:cNvCxnSpPr>
        </xdr:nvCxnSpPr>
        <xdr:spPr>
          <a:xfrm>
            <a:off x="2514600" y="3786188"/>
            <a:ext cx="863227" cy="6858000"/>
          </a:xfrm>
          <a:prstGeom prst="bentConnector3">
            <a:avLst>
              <a:gd name="adj1" fmla="val 50000"/>
            </a:avLst>
          </a:prstGeom>
          <a:ln w="19050">
            <a:solidFill>
              <a:srgbClr val="00B050"/>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26" name="Elbow Connector 125"/>
          <xdr:cNvCxnSpPr>
            <a:stCxn id="104" idx="3"/>
            <a:endCxn id="123" idx="1"/>
          </xdr:cNvCxnSpPr>
        </xdr:nvCxnSpPr>
        <xdr:spPr>
          <a:xfrm>
            <a:off x="2512380" y="2318236"/>
            <a:ext cx="867905" cy="6437807"/>
          </a:xfrm>
          <a:prstGeom prst="bentConnector3">
            <a:avLst>
              <a:gd name="adj1" fmla="val 50000"/>
            </a:avLst>
          </a:prstGeom>
          <a:ln w="19050">
            <a:solidFill>
              <a:srgbClr val="00B050"/>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7" name="Rectangle 126"/>
          <xdr:cNvSpPr/>
        </xdr:nvSpPr>
        <xdr:spPr>
          <a:xfrm>
            <a:off x="3382483" y="12006625"/>
            <a:ext cx="1008541" cy="585424"/>
          </a:xfrm>
          <a:prstGeom prst="rect">
            <a:avLst/>
          </a:prstGeom>
          <a:solidFill>
            <a:srgbClr val="92D050"/>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chorCtr="0"/>
          <a:lstStyle>
            <a:defPPr>
              <a:defRPr lang="en-US"/>
            </a:defPPr>
            <a:lvl1pPr marL="0" algn="l" defTabSz="1280160" rtl="0" eaLnBrk="1" latinLnBrk="0" hangingPunct="1">
              <a:defRPr sz="2500" kern="1200">
                <a:solidFill>
                  <a:schemeClr val="lt1"/>
                </a:solidFill>
                <a:latin typeface="+mn-lt"/>
                <a:ea typeface="+mn-ea"/>
                <a:cs typeface="+mn-cs"/>
              </a:defRPr>
            </a:lvl1pPr>
            <a:lvl2pPr marL="640080" algn="l" defTabSz="1280160" rtl="0" eaLnBrk="1" latinLnBrk="0" hangingPunct="1">
              <a:defRPr sz="2500" kern="1200">
                <a:solidFill>
                  <a:schemeClr val="lt1"/>
                </a:solidFill>
                <a:latin typeface="+mn-lt"/>
                <a:ea typeface="+mn-ea"/>
                <a:cs typeface="+mn-cs"/>
              </a:defRPr>
            </a:lvl2pPr>
            <a:lvl3pPr marL="1280160" algn="l" defTabSz="1280160" rtl="0" eaLnBrk="1" latinLnBrk="0" hangingPunct="1">
              <a:defRPr sz="2500" kern="1200">
                <a:solidFill>
                  <a:schemeClr val="lt1"/>
                </a:solidFill>
                <a:latin typeface="+mn-lt"/>
                <a:ea typeface="+mn-ea"/>
                <a:cs typeface="+mn-cs"/>
              </a:defRPr>
            </a:lvl3pPr>
            <a:lvl4pPr marL="1920240" algn="l" defTabSz="1280160" rtl="0" eaLnBrk="1" latinLnBrk="0" hangingPunct="1">
              <a:defRPr sz="2500" kern="1200">
                <a:solidFill>
                  <a:schemeClr val="lt1"/>
                </a:solidFill>
                <a:latin typeface="+mn-lt"/>
                <a:ea typeface="+mn-ea"/>
                <a:cs typeface="+mn-cs"/>
              </a:defRPr>
            </a:lvl4pPr>
            <a:lvl5pPr marL="2560320" algn="l" defTabSz="1280160" rtl="0" eaLnBrk="1" latinLnBrk="0" hangingPunct="1">
              <a:defRPr sz="2500" kern="1200">
                <a:solidFill>
                  <a:schemeClr val="lt1"/>
                </a:solidFill>
                <a:latin typeface="+mn-lt"/>
                <a:ea typeface="+mn-ea"/>
                <a:cs typeface="+mn-cs"/>
              </a:defRPr>
            </a:lvl5pPr>
            <a:lvl6pPr marL="3200400" algn="l" defTabSz="1280160" rtl="0" eaLnBrk="1" latinLnBrk="0" hangingPunct="1">
              <a:defRPr sz="2500" kern="1200">
                <a:solidFill>
                  <a:schemeClr val="lt1"/>
                </a:solidFill>
                <a:latin typeface="+mn-lt"/>
                <a:ea typeface="+mn-ea"/>
                <a:cs typeface="+mn-cs"/>
              </a:defRPr>
            </a:lvl6pPr>
            <a:lvl7pPr marL="3840480" algn="l" defTabSz="1280160" rtl="0" eaLnBrk="1" latinLnBrk="0" hangingPunct="1">
              <a:defRPr sz="2500" kern="1200">
                <a:solidFill>
                  <a:schemeClr val="lt1"/>
                </a:solidFill>
                <a:latin typeface="+mn-lt"/>
                <a:ea typeface="+mn-ea"/>
                <a:cs typeface="+mn-cs"/>
              </a:defRPr>
            </a:lvl7pPr>
            <a:lvl8pPr marL="4480560" algn="l" defTabSz="1280160" rtl="0" eaLnBrk="1" latinLnBrk="0" hangingPunct="1">
              <a:defRPr sz="2500" kern="1200">
                <a:solidFill>
                  <a:schemeClr val="lt1"/>
                </a:solidFill>
                <a:latin typeface="+mn-lt"/>
                <a:ea typeface="+mn-ea"/>
                <a:cs typeface="+mn-cs"/>
              </a:defRPr>
            </a:lvl8pPr>
            <a:lvl9pPr marL="5120640" algn="l" defTabSz="1280160" rtl="0" eaLnBrk="1" latinLnBrk="0" hangingPunct="1">
              <a:defRPr sz="2500" kern="1200">
                <a:solidFill>
                  <a:schemeClr val="lt1"/>
                </a:solidFill>
                <a:latin typeface="+mn-lt"/>
                <a:ea typeface="+mn-ea"/>
                <a:cs typeface="+mn-cs"/>
              </a:defRPr>
            </a:lvl9pPr>
          </a:lstStyle>
          <a:p>
            <a:pPr algn="ctr"/>
            <a:r>
              <a:rPr lang="en-GB" sz="900">
                <a:solidFill>
                  <a:sysClr val="windowText" lastClr="000000"/>
                </a:solidFill>
              </a:rPr>
              <a:t>South Devon + Torbay|Sthn Devon</a:t>
            </a:r>
            <a:endParaRPr lang="en-GB" sz="900">
              <a:solidFill>
                <a:sysClr val="windowText" lastClr="000000"/>
              </a:solidFill>
              <a:latin typeface="Arial" panose="020B0604020202020204" pitchFamily="34" charset="0"/>
              <a:cs typeface="Arial" panose="020B0604020202020204" pitchFamily="34" charset="0"/>
            </a:endParaRPr>
          </a:p>
        </xdr:txBody>
      </xdr:sp>
      <xdr:sp macro="" textlink="">
        <xdr:nvSpPr>
          <xdr:cNvPr id="128" name="Rectangle 127"/>
          <xdr:cNvSpPr/>
        </xdr:nvSpPr>
        <xdr:spPr>
          <a:xfrm>
            <a:off x="3382483" y="11353800"/>
            <a:ext cx="1008541" cy="552450"/>
          </a:xfrm>
          <a:prstGeom prst="rect">
            <a:avLst/>
          </a:prstGeom>
          <a:solidFill>
            <a:srgbClr val="92D050"/>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chorCtr="0"/>
          <a:lstStyle>
            <a:defPPr>
              <a:defRPr lang="en-US"/>
            </a:defPPr>
            <a:lvl1pPr marL="0" algn="l" defTabSz="1280160" rtl="0" eaLnBrk="1" latinLnBrk="0" hangingPunct="1">
              <a:defRPr sz="2500" kern="1200">
                <a:solidFill>
                  <a:schemeClr val="lt1"/>
                </a:solidFill>
                <a:latin typeface="+mn-lt"/>
                <a:ea typeface="+mn-ea"/>
                <a:cs typeface="+mn-cs"/>
              </a:defRPr>
            </a:lvl1pPr>
            <a:lvl2pPr marL="640080" algn="l" defTabSz="1280160" rtl="0" eaLnBrk="1" latinLnBrk="0" hangingPunct="1">
              <a:defRPr sz="2500" kern="1200">
                <a:solidFill>
                  <a:schemeClr val="lt1"/>
                </a:solidFill>
                <a:latin typeface="+mn-lt"/>
                <a:ea typeface="+mn-ea"/>
                <a:cs typeface="+mn-cs"/>
              </a:defRPr>
            </a:lvl2pPr>
            <a:lvl3pPr marL="1280160" algn="l" defTabSz="1280160" rtl="0" eaLnBrk="1" latinLnBrk="0" hangingPunct="1">
              <a:defRPr sz="2500" kern="1200">
                <a:solidFill>
                  <a:schemeClr val="lt1"/>
                </a:solidFill>
                <a:latin typeface="+mn-lt"/>
                <a:ea typeface="+mn-ea"/>
                <a:cs typeface="+mn-cs"/>
              </a:defRPr>
            </a:lvl3pPr>
            <a:lvl4pPr marL="1920240" algn="l" defTabSz="1280160" rtl="0" eaLnBrk="1" latinLnBrk="0" hangingPunct="1">
              <a:defRPr sz="2500" kern="1200">
                <a:solidFill>
                  <a:schemeClr val="lt1"/>
                </a:solidFill>
                <a:latin typeface="+mn-lt"/>
                <a:ea typeface="+mn-ea"/>
                <a:cs typeface="+mn-cs"/>
              </a:defRPr>
            </a:lvl4pPr>
            <a:lvl5pPr marL="2560320" algn="l" defTabSz="1280160" rtl="0" eaLnBrk="1" latinLnBrk="0" hangingPunct="1">
              <a:defRPr sz="2500" kern="1200">
                <a:solidFill>
                  <a:schemeClr val="lt1"/>
                </a:solidFill>
                <a:latin typeface="+mn-lt"/>
                <a:ea typeface="+mn-ea"/>
                <a:cs typeface="+mn-cs"/>
              </a:defRPr>
            </a:lvl5pPr>
            <a:lvl6pPr marL="3200400" algn="l" defTabSz="1280160" rtl="0" eaLnBrk="1" latinLnBrk="0" hangingPunct="1">
              <a:defRPr sz="2500" kern="1200">
                <a:solidFill>
                  <a:schemeClr val="lt1"/>
                </a:solidFill>
                <a:latin typeface="+mn-lt"/>
                <a:ea typeface="+mn-ea"/>
                <a:cs typeface="+mn-cs"/>
              </a:defRPr>
            </a:lvl6pPr>
            <a:lvl7pPr marL="3840480" algn="l" defTabSz="1280160" rtl="0" eaLnBrk="1" latinLnBrk="0" hangingPunct="1">
              <a:defRPr sz="2500" kern="1200">
                <a:solidFill>
                  <a:schemeClr val="lt1"/>
                </a:solidFill>
                <a:latin typeface="+mn-lt"/>
                <a:ea typeface="+mn-ea"/>
                <a:cs typeface="+mn-cs"/>
              </a:defRPr>
            </a:lvl7pPr>
            <a:lvl8pPr marL="4480560" algn="l" defTabSz="1280160" rtl="0" eaLnBrk="1" latinLnBrk="0" hangingPunct="1">
              <a:defRPr sz="2500" kern="1200">
                <a:solidFill>
                  <a:schemeClr val="lt1"/>
                </a:solidFill>
                <a:latin typeface="+mn-lt"/>
                <a:ea typeface="+mn-ea"/>
                <a:cs typeface="+mn-cs"/>
              </a:defRPr>
            </a:lvl8pPr>
            <a:lvl9pPr marL="5120640" algn="l" defTabSz="1280160" rtl="0" eaLnBrk="1" latinLnBrk="0" hangingPunct="1">
              <a:defRPr sz="2500" kern="1200">
                <a:solidFill>
                  <a:schemeClr val="lt1"/>
                </a:solidFill>
                <a:latin typeface="+mn-lt"/>
                <a:ea typeface="+mn-ea"/>
                <a:cs typeface="+mn-cs"/>
              </a:defRPr>
            </a:lvl9pPr>
          </a:lstStyle>
          <a:p>
            <a:pPr algn="ctr"/>
            <a:r>
              <a:rPr lang="en-GB" sz="900">
                <a:solidFill>
                  <a:sysClr val="windowText" lastClr="000000"/>
                </a:solidFill>
              </a:rPr>
              <a:t>Chelsea Westminster+West Midsx</a:t>
            </a:r>
            <a:endParaRPr lang="en-GB" sz="900">
              <a:solidFill>
                <a:sysClr val="windowText" lastClr="000000"/>
              </a:solidFill>
              <a:latin typeface="Arial" panose="020B0604020202020204" pitchFamily="34" charset="0"/>
              <a:cs typeface="Arial" panose="020B0604020202020204" pitchFamily="34" charset="0"/>
            </a:endParaRPr>
          </a:p>
        </xdr:txBody>
      </xdr:sp>
      <xdr:cxnSp macro="">
        <xdr:nvCxnSpPr>
          <xdr:cNvPr id="129" name="Elbow Connector 128"/>
          <xdr:cNvCxnSpPr>
            <a:stCxn id="97" idx="3"/>
            <a:endCxn id="98" idx="1"/>
          </xdr:cNvCxnSpPr>
        </xdr:nvCxnSpPr>
        <xdr:spPr>
          <a:xfrm>
            <a:off x="2514600" y="3786188"/>
            <a:ext cx="858359" cy="2731480"/>
          </a:xfrm>
          <a:prstGeom prst="bentConnector3">
            <a:avLst>
              <a:gd name="adj1" fmla="val 50000"/>
            </a:avLst>
          </a:prstGeom>
          <a:ln w="19050">
            <a:solidFill>
              <a:srgbClr val="00B050"/>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30" name="Elbow Connector 129"/>
          <xdr:cNvCxnSpPr>
            <a:stCxn id="83" idx="3"/>
            <a:endCxn id="127" idx="1"/>
          </xdr:cNvCxnSpPr>
        </xdr:nvCxnSpPr>
        <xdr:spPr>
          <a:xfrm>
            <a:off x="1316433" y="11301413"/>
            <a:ext cx="2066050" cy="997924"/>
          </a:xfrm>
          <a:prstGeom prst="bentConnector3">
            <a:avLst>
              <a:gd name="adj1" fmla="val 50000"/>
            </a:avLst>
          </a:prstGeom>
          <a:ln w="19050">
            <a:solidFill>
              <a:schemeClr val="accent6">
                <a:lumMod val="50000"/>
              </a:schemeClr>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31" name="Rectangle 130"/>
          <xdr:cNvSpPr/>
        </xdr:nvSpPr>
        <xdr:spPr>
          <a:xfrm>
            <a:off x="3380285" y="9096375"/>
            <a:ext cx="1008541" cy="504825"/>
          </a:xfrm>
          <a:prstGeom prst="rect">
            <a:avLst/>
          </a:prstGeom>
          <a:solidFill>
            <a:srgbClr val="92D050"/>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chorCtr="0"/>
          <a:lstStyle>
            <a:defPPr>
              <a:defRPr lang="en-US"/>
            </a:defPPr>
            <a:lvl1pPr marL="0" algn="l" defTabSz="1280160" rtl="0" eaLnBrk="1" latinLnBrk="0" hangingPunct="1">
              <a:defRPr sz="2500" kern="1200">
                <a:solidFill>
                  <a:schemeClr val="lt1"/>
                </a:solidFill>
                <a:latin typeface="+mn-lt"/>
                <a:ea typeface="+mn-ea"/>
                <a:cs typeface="+mn-cs"/>
              </a:defRPr>
            </a:lvl1pPr>
            <a:lvl2pPr marL="640080" algn="l" defTabSz="1280160" rtl="0" eaLnBrk="1" latinLnBrk="0" hangingPunct="1">
              <a:defRPr sz="2500" kern="1200">
                <a:solidFill>
                  <a:schemeClr val="lt1"/>
                </a:solidFill>
                <a:latin typeface="+mn-lt"/>
                <a:ea typeface="+mn-ea"/>
                <a:cs typeface="+mn-cs"/>
              </a:defRPr>
            </a:lvl2pPr>
            <a:lvl3pPr marL="1280160" algn="l" defTabSz="1280160" rtl="0" eaLnBrk="1" latinLnBrk="0" hangingPunct="1">
              <a:defRPr sz="2500" kern="1200">
                <a:solidFill>
                  <a:schemeClr val="lt1"/>
                </a:solidFill>
                <a:latin typeface="+mn-lt"/>
                <a:ea typeface="+mn-ea"/>
                <a:cs typeface="+mn-cs"/>
              </a:defRPr>
            </a:lvl3pPr>
            <a:lvl4pPr marL="1920240" algn="l" defTabSz="1280160" rtl="0" eaLnBrk="1" latinLnBrk="0" hangingPunct="1">
              <a:defRPr sz="2500" kern="1200">
                <a:solidFill>
                  <a:schemeClr val="lt1"/>
                </a:solidFill>
                <a:latin typeface="+mn-lt"/>
                <a:ea typeface="+mn-ea"/>
                <a:cs typeface="+mn-cs"/>
              </a:defRPr>
            </a:lvl4pPr>
            <a:lvl5pPr marL="2560320" algn="l" defTabSz="1280160" rtl="0" eaLnBrk="1" latinLnBrk="0" hangingPunct="1">
              <a:defRPr sz="2500" kern="1200">
                <a:solidFill>
                  <a:schemeClr val="lt1"/>
                </a:solidFill>
                <a:latin typeface="+mn-lt"/>
                <a:ea typeface="+mn-ea"/>
                <a:cs typeface="+mn-cs"/>
              </a:defRPr>
            </a:lvl5pPr>
            <a:lvl6pPr marL="3200400" algn="l" defTabSz="1280160" rtl="0" eaLnBrk="1" latinLnBrk="0" hangingPunct="1">
              <a:defRPr sz="2500" kern="1200">
                <a:solidFill>
                  <a:schemeClr val="lt1"/>
                </a:solidFill>
                <a:latin typeface="+mn-lt"/>
                <a:ea typeface="+mn-ea"/>
                <a:cs typeface="+mn-cs"/>
              </a:defRPr>
            </a:lvl6pPr>
            <a:lvl7pPr marL="3840480" algn="l" defTabSz="1280160" rtl="0" eaLnBrk="1" latinLnBrk="0" hangingPunct="1">
              <a:defRPr sz="2500" kern="1200">
                <a:solidFill>
                  <a:schemeClr val="lt1"/>
                </a:solidFill>
                <a:latin typeface="+mn-lt"/>
                <a:ea typeface="+mn-ea"/>
                <a:cs typeface="+mn-cs"/>
              </a:defRPr>
            </a:lvl7pPr>
            <a:lvl8pPr marL="4480560" algn="l" defTabSz="1280160" rtl="0" eaLnBrk="1" latinLnBrk="0" hangingPunct="1">
              <a:defRPr sz="2500" kern="1200">
                <a:solidFill>
                  <a:schemeClr val="lt1"/>
                </a:solidFill>
                <a:latin typeface="+mn-lt"/>
                <a:ea typeface="+mn-ea"/>
                <a:cs typeface="+mn-cs"/>
              </a:defRPr>
            </a:lvl8pPr>
            <a:lvl9pPr marL="5120640" algn="l" defTabSz="1280160" rtl="0" eaLnBrk="1" latinLnBrk="0" hangingPunct="1">
              <a:defRPr sz="2500" kern="1200">
                <a:solidFill>
                  <a:schemeClr val="lt1"/>
                </a:solidFill>
                <a:latin typeface="+mn-lt"/>
                <a:ea typeface="+mn-ea"/>
                <a:cs typeface="+mn-cs"/>
              </a:defRPr>
            </a:lvl9pPr>
          </a:lstStyle>
          <a:p>
            <a:pPr algn="ctr"/>
            <a:r>
              <a:rPr lang="en-GB" sz="900">
                <a:solidFill>
                  <a:sysClr val="windowText" lastClr="000000"/>
                </a:solidFill>
              </a:rPr>
              <a:t>RUH Bath + RNHRD</a:t>
            </a:r>
            <a:endParaRPr lang="en-GB" sz="900">
              <a:solidFill>
                <a:sysClr val="windowText" lastClr="000000"/>
              </a:solidFill>
              <a:latin typeface="Arial" panose="020B0604020202020204" pitchFamily="34" charset="0"/>
              <a:cs typeface="Arial" panose="020B0604020202020204" pitchFamily="34" charset="0"/>
            </a:endParaRPr>
          </a:p>
        </xdr:txBody>
      </xdr:sp>
      <xdr:cxnSp macro="">
        <xdr:nvCxnSpPr>
          <xdr:cNvPr id="132" name="Elbow Connector 131"/>
          <xdr:cNvCxnSpPr>
            <a:stCxn id="107" idx="3"/>
            <a:endCxn id="121" idx="1"/>
          </xdr:cNvCxnSpPr>
        </xdr:nvCxnSpPr>
        <xdr:spPr>
          <a:xfrm>
            <a:off x="1316433" y="10415588"/>
            <a:ext cx="2061394" cy="228600"/>
          </a:xfrm>
          <a:prstGeom prst="bentConnector3">
            <a:avLst>
              <a:gd name="adj1" fmla="val 50000"/>
            </a:avLst>
          </a:prstGeom>
          <a:ln w="19050">
            <a:solidFill>
              <a:srgbClr val="0070C0"/>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33" name="Elbow Connector 132"/>
          <xdr:cNvCxnSpPr>
            <a:stCxn id="127" idx="3"/>
            <a:endCxn id="118" idx="2"/>
          </xdr:cNvCxnSpPr>
        </xdr:nvCxnSpPr>
        <xdr:spPr>
          <a:xfrm flipV="1">
            <a:off x="4391024" y="4181475"/>
            <a:ext cx="2723989" cy="8117862"/>
          </a:xfrm>
          <a:prstGeom prst="bentConnector2">
            <a:avLst/>
          </a:prstGeom>
          <a:ln w="19050">
            <a:solidFill>
              <a:srgbClr val="00B050"/>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34" name="Elbow Connector 133"/>
          <xdr:cNvCxnSpPr>
            <a:stCxn id="95" idx="3"/>
            <a:endCxn id="119" idx="1"/>
          </xdr:cNvCxnSpPr>
        </xdr:nvCxnSpPr>
        <xdr:spPr>
          <a:xfrm>
            <a:off x="2505065" y="854683"/>
            <a:ext cx="875220" cy="6636730"/>
          </a:xfrm>
          <a:prstGeom prst="bentConnector3">
            <a:avLst>
              <a:gd name="adj1" fmla="val 50000"/>
            </a:avLst>
          </a:prstGeom>
          <a:ln w="19050">
            <a:solidFill>
              <a:srgbClr val="00B050"/>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35" name="Elbow Connector 134"/>
          <xdr:cNvCxnSpPr>
            <a:stCxn id="95" idx="2"/>
            <a:endCxn id="99" idx="0"/>
          </xdr:cNvCxnSpPr>
        </xdr:nvCxnSpPr>
        <xdr:spPr>
          <a:xfrm rot="5400000">
            <a:off x="1878805" y="1229085"/>
            <a:ext cx="243981" cy="12700"/>
          </a:xfrm>
          <a:prstGeom prst="bentConnector3">
            <a:avLst>
              <a:gd name="adj1" fmla="val 50000"/>
            </a:avLst>
          </a:prstGeom>
          <a:ln w="19050">
            <a:solidFill>
              <a:srgbClr val="00B050"/>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36" name="Elbow Connector 135"/>
          <xdr:cNvCxnSpPr>
            <a:stCxn id="82" idx="0"/>
            <a:endCxn id="104" idx="2"/>
          </xdr:cNvCxnSpPr>
        </xdr:nvCxnSpPr>
        <xdr:spPr>
          <a:xfrm rot="16200000" flipV="1">
            <a:off x="1902797" y="2675961"/>
            <a:ext cx="212847" cy="2219"/>
          </a:xfrm>
          <a:prstGeom prst="bentConnector3">
            <a:avLst>
              <a:gd name="adj1" fmla="val 50000"/>
            </a:avLst>
          </a:prstGeom>
          <a:ln w="19050">
            <a:solidFill>
              <a:srgbClr val="00B050"/>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37" name="Elbow Connector 136"/>
          <xdr:cNvCxnSpPr>
            <a:stCxn id="108" idx="2"/>
            <a:endCxn id="97" idx="1"/>
          </xdr:cNvCxnSpPr>
        </xdr:nvCxnSpPr>
        <xdr:spPr>
          <a:xfrm rot="16200000" flipH="1">
            <a:off x="1002784" y="3282912"/>
            <a:ext cx="157163" cy="849388"/>
          </a:xfrm>
          <a:prstGeom prst="bentConnector2">
            <a:avLst/>
          </a:prstGeom>
          <a:ln w="19050">
            <a:solidFill>
              <a:srgbClr val="00B050"/>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38" name="Elbow Connector 137"/>
          <xdr:cNvCxnSpPr>
            <a:stCxn id="110" idx="3"/>
            <a:endCxn id="94" idx="1"/>
          </xdr:cNvCxnSpPr>
        </xdr:nvCxnSpPr>
        <xdr:spPr>
          <a:xfrm flipV="1">
            <a:off x="1160940" y="5296264"/>
            <a:ext cx="2212019" cy="4399"/>
          </a:xfrm>
          <a:prstGeom prst="bentConnector3">
            <a:avLst>
              <a:gd name="adj1" fmla="val 50000"/>
            </a:avLst>
          </a:prstGeom>
          <a:ln w="19050">
            <a:solidFill>
              <a:srgbClr val="00B050"/>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39" name="Elbow Connector 138"/>
          <xdr:cNvCxnSpPr>
            <a:stCxn id="82" idx="3"/>
            <a:endCxn id="93" idx="1"/>
          </xdr:cNvCxnSpPr>
        </xdr:nvCxnSpPr>
        <xdr:spPr>
          <a:xfrm>
            <a:off x="2514600" y="3035908"/>
            <a:ext cx="860558" cy="2874355"/>
          </a:xfrm>
          <a:prstGeom prst="bentConnector3">
            <a:avLst>
              <a:gd name="adj1" fmla="val 50000"/>
            </a:avLst>
          </a:prstGeom>
          <a:ln w="19050">
            <a:solidFill>
              <a:srgbClr val="00B050"/>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40" name="Elbow Connector 139"/>
          <xdr:cNvCxnSpPr>
            <a:stCxn id="99" idx="3"/>
            <a:endCxn id="120" idx="1"/>
          </xdr:cNvCxnSpPr>
        </xdr:nvCxnSpPr>
        <xdr:spPr>
          <a:xfrm>
            <a:off x="2505065" y="1603489"/>
            <a:ext cx="877419" cy="6545149"/>
          </a:xfrm>
          <a:prstGeom prst="bentConnector3">
            <a:avLst>
              <a:gd name="adj1" fmla="val 50000"/>
            </a:avLst>
          </a:prstGeom>
          <a:ln w="19050">
            <a:solidFill>
              <a:srgbClr val="00B050"/>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41" name="Elbow Connector 140"/>
          <xdr:cNvCxnSpPr>
            <a:stCxn id="82" idx="3"/>
            <a:endCxn id="131" idx="1"/>
          </xdr:cNvCxnSpPr>
        </xdr:nvCxnSpPr>
        <xdr:spPr>
          <a:xfrm>
            <a:off x="2514600" y="3035908"/>
            <a:ext cx="865685" cy="6312880"/>
          </a:xfrm>
          <a:prstGeom prst="bentConnector3">
            <a:avLst>
              <a:gd name="adj1" fmla="val 50000"/>
            </a:avLst>
          </a:prstGeom>
          <a:ln w="19050">
            <a:solidFill>
              <a:srgbClr val="00B050"/>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42" name="Elbow Connector 141"/>
          <xdr:cNvCxnSpPr>
            <a:stCxn id="119" idx="3"/>
            <a:endCxn id="118" idx="2"/>
          </xdr:cNvCxnSpPr>
        </xdr:nvCxnSpPr>
        <xdr:spPr>
          <a:xfrm flipV="1">
            <a:off x="4388826" y="4181475"/>
            <a:ext cx="2726187" cy="3309938"/>
          </a:xfrm>
          <a:prstGeom prst="bentConnector2">
            <a:avLst/>
          </a:prstGeom>
          <a:ln w="19050">
            <a:solidFill>
              <a:srgbClr val="00B050"/>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43" name="Elbow Connector 142"/>
          <xdr:cNvCxnSpPr>
            <a:stCxn id="120" idx="3"/>
            <a:endCxn id="118" idx="2"/>
          </xdr:cNvCxnSpPr>
        </xdr:nvCxnSpPr>
        <xdr:spPr>
          <a:xfrm flipV="1">
            <a:off x="4391025" y="4181475"/>
            <a:ext cx="2723988" cy="3967163"/>
          </a:xfrm>
          <a:prstGeom prst="bentConnector2">
            <a:avLst/>
          </a:prstGeom>
          <a:ln w="19050">
            <a:solidFill>
              <a:srgbClr val="00B050"/>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44" name="Elbow Connector 143"/>
          <xdr:cNvCxnSpPr>
            <a:stCxn id="123" idx="3"/>
            <a:endCxn id="118" idx="2"/>
          </xdr:cNvCxnSpPr>
        </xdr:nvCxnSpPr>
        <xdr:spPr>
          <a:xfrm flipV="1">
            <a:off x="4388826" y="4181475"/>
            <a:ext cx="2726187" cy="4574568"/>
          </a:xfrm>
          <a:prstGeom prst="bentConnector2">
            <a:avLst/>
          </a:prstGeom>
          <a:ln w="19050">
            <a:solidFill>
              <a:srgbClr val="00B050"/>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45" name="Elbow Connector 144"/>
          <xdr:cNvCxnSpPr>
            <a:stCxn id="131" idx="3"/>
            <a:endCxn id="118" idx="2"/>
          </xdr:cNvCxnSpPr>
        </xdr:nvCxnSpPr>
        <xdr:spPr>
          <a:xfrm flipV="1">
            <a:off x="4388826" y="4181475"/>
            <a:ext cx="2726187" cy="5167313"/>
          </a:xfrm>
          <a:prstGeom prst="bentConnector2">
            <a:avLst/>
          </a:prstGeom>
          <a:ln w="19050">
            <a:solidFill>
              <a:srgbClr val="00B050"/>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46" name="Elbow Connector 145"/>
          <xdr:cNvCxnSpPr>
            <a:stCxn id="122" idx="3"/>
            <a:endCxn id="118" idx="2"/>
          </xdr:cNvCxnSpPr>
        </xdr:nvCxnSpPr>
        <xdr:spPr>
          <a:xfrm flipV="1">
            <a:off x="4391025" y="4181475"/>
            <a:ext cx="2723988" cy="5837729"/>
          </a:xfrm>
          <a:prstGeom prst="bentConnector2">
            <a:avLst/>
          </a:prstGeom>
          <a:ln w="19050">
            <a:solidFill>
              <a:srgbClr val="00B050"/>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47" name="Elbow Connector 146"/>
          <xdr:cNvCxnSpPr>
            <a:stCxn id="121" idx="3"/>
            <a:endCxn id="118" idx="2"/>
          </xdr:cNvCxnSpPr>
        </xdr:nvCxnSpPr>
        <xdr:spPr>
          <a:xfrm flipV="1">
            <a:off x="4386368" y="4181475"/>
            <a:ext cx="2728645" cy="6462713"/>
          </a:xfrm>
          <a:prstGeom prst="bentConnector2">
            <a:avLst/>
          </a:prstGeom>
          <a:ln w="19050">
            <a:solidFill>
              <a:srgbClr val="00B050"/>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48" name="Elbow Connector 147"/>
          <xdr:cNvCxnSpPr>
            <a:stCxn id="83" idx="3"/>
            <a:endCxn id="122" idx="1"/>
          </xdr:cNvCxnSpPr>
        </xdr:nvCxnSpPr>
        <xdr:spPr>
          <a:xfrm flipV="1">
            <a:off x="1316433" y="10019204"/>
            <a:ext cx="2066051" cy="1282209"/>
          </a:xfrm>
          <a:prstGeom prst="bentConnector3">
            <a:avLst>
              <a:gd name="adj1" fmla="val 50000"/>
            </a:avLst>
          </a:prstGeom>
          <a:ln w="19050">
            <a:solidFill>
              <a:schemeClr val="accent6">
                <a:lumMod val="50000"/>
              </a:schemeClr>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49" name="Elbow Connector 148"/>
          <xdr:cNvCxnSpPr>
            <a:stCxn id="83" idx="3"/>
            <a:endCxn id="131" idx="1"/>
          </xdr:cNvCxnSpPr>
        </xdr:nvCxnSpPr>
        <xdr:spPr>
          <a:xfrm flipV="1">
            <a:off x="1316433" y="9348788"/>
            <a:ext cx="2063852" cy="1952625"/>
          </a:xfrm>
          <a:prstGeom prst="bentConnector3">
            <a:avLst>
              <a:gd name="adj1" fmla="val 50000"/>
            </a:avLst>
          </a:prstGeom>
          <a:ln w="19050">
            <a:solidFill>
              <a:schemeClr val="accent6">
                <a:lumMod val="50000"/>
              </a:schemeClr>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50" name="Elbow Connector 149"/>
          <xdr:cNvCxnSpPr>
            <a:stCxn id="83" idx="3"/>
            <a:endCxn id="123" idx="1"/>
          </xdr:cNvCxnSpPr>
        </xdr:nvCxnSpPr>
        <xdr:spPr>
          <a:xfrm flipV="1">
            <a:off x="1316433" y="8756043"/>
            <a:ext cx="2063852" cy="2545370"/>
          </a:xfrm>
          <a:prstGeom prst="bentConnector3">
            <a:avLst>
              <a:gd name="adj1" fmla="val 50000"/>
            </a:avLst>
          </a:prstGeom>
          <a:ln w="19050">
            <a:solidFill>
              <a:schemeClr val="accent6">
                <a:lumMod val="50000"/>
              </a:schemeClr>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51" name="Elbow Connector 150"/>
          <xdr:cNvCxnSpPr>
            <a:stCxn id="83" idx="3"/>
            <a:endCxn id="120" idx="1"/>
          </xdr:cNvCxnSpPr>
        </xdr:nvCxnSpPr>
        <xdr:spPr>
          <a:xfrm flipV="1">
            <a:off x="1316433" y="8148638"/>
            <a:ext cx="2066051" cy="3152775"/>
          </a:xfrm>
          <a:prstGeom prst="bentConnector3">
            <a:avLst>
              <a:gd name="adj1" fmla="val 50000"/>
            </a:avLst>
          </a:prstGeom>
          <a:ln w="19050">
            <a:solidFill>
              <a:schemeClr val="accent6">
                <a:lumMod val="50000"/>
              </a:schemeClr>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52" name="Elbow Connector 151"/>
          <xdr:cNvCxnSpPr>
            <a:stCxn id="83" idx="3"/>
            <a:endCxn id="119" idx="1"/>
          </xdr:cNvCxnSpPr>
        </xdr:nvCxnSpPr>
        <xdr:spPr>
          <a:xfrm flipV="1">
            <a:off x="1316433" y="7491413"/>
            <a:ext cx="2063852" cy="3810000"/>
          </a:xfrm>
          <a:prstGeom prst="bentConnector3">
            <a:avLst>
              <a:gd name="adj1" fmla="val 50000"/>
            </a:avLst>
          </a:prstGeom>
          <a:ln w="19050">
            <a:solidFill>
              <a:schemeClr val="accent6">
                <a:lumMod val="50000"/>
              </a:schemeClr>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53" name="Elbow Connector 152"/>
          <xdr:cNvCxnSpPr>
            <a:stCxn id="107" idx="3"/>
            <a:endCxn id="122" idx="1"/>
          </xdr:cNvCxnSpPr>
        </xdr:nvCxnSpPr>
        <xdr:spPr>
          <a:xfrm flipV="1">
            <a:off x="1316433" y="10019204"/>
            <a:ext cx="2066051" cy="396384"/>
          </a:xfrm>
          <a:prstGeom prst="bentConnector3">
            <a:avLst>
              <a:gd name="adj1" fmla="val 50000"/>
            </a:avLst>
          </a:prstGeom>
          <a:ln w="19050">
            <a:solidFill>
              <a:srgbClr val="0070C0"/>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54" name="Rectangle 153"/>
          <xdr:cNvSpPr/>
        </xdr:nvSpPr>
        <xdr:spPr>
          <a:xfrm>
            <a:off x="76200" y="118044"/>
            <a:ext cx="9296400" cy="12607356"/>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1280160" rtl="0" eaLnBrk="1" latinLnBrk="0" hangingPunct="1">
              <a:defRPr sz="2500" kern="1200">
                <a:solidFill>
                  <a:schemeClr val="lt1"/>
                </a:solidFill>
                <a:latin typeface="+mn-lt"/>
                <a:ea typeface="+mn-ea"/>
                <a:cs typeface="+mn-cs"/>
              </a:defRPr>
            </a:lvl1pPr>
            <a:lvl2pPr marL="640080" algn="l" defTabSz="1280160" rtl="0" eaLnBrk="1" latinLnBrk="0" hangingPunct="1">
              <a:defRPr sz="2500" kern="1200">
                <a:solidFill>
                  <a:schemeClr val="lt1"/>
                </a:solidFill>
                <a:latin typeface="+mn-lt"/>
                <a:ea typeface="+mn-ea"/>
                <a:cs typeface="+mn-cs"/>
              </a:defRPr>
            </a:lvl2pPr>
            <a:lvl3pPr marL="1280160" algn="l" defTabSz="1280160" rtl="0" eaLnBrk="1" latinLnBrk="0" hangingPunct="1">
              <a:defRPr sz="2500" kern="1200">
                <a:solidFill>
                  <a:schemeClr val="lt1"/>
                </a:solidFill>
                <a:latin typeface="+mn-lt"/>
                <a:ea typeface="+mn-ea"/>
                <a:cs typeface="+mn-cs"/>
              </a:defRPr>
            </a:lvl3pPr>
            <a:lvl4pPr marL="1920240" algn="l" defTabSz="1280160" rtl="0" eaLnBrk="1" latinLnBrk="0" hangingPunct="1">
              <a:defRPr sz="2500" kern="1200">
                <a:solidFill>
                  <a:schemeClr val="lt1"/>
                </a:solidFill>
                <a:latin typeface="+mn-lt"/>
                <a:ea typeface="+mn-ea"/>
                <a:cs typeface="+mn-cs"/>
              </a:defRPr>
            </a:lvl4pPr>
            <a:lvl5pPr marL="2560320" algn="l" defTabSz="1280160" rtl="0" eaLnBrk="1" latinLnBrk="0" hangingPunct="1">
              <a:defRPr sz="2500" kern="1200">
                <a:solidFill>
                  <a:schemeClr val="lt1"/>
                </a:solidFill>
                <a:latin typeface="+mn-lt"/>
                <a:ea typeface="+mn-ea"/>
                <a:cs typeface="+mn-cs"/>
              </a:defRPr>
            </a:lvl5pPr>
            <a:lvl6pPr marL="3200400" algn="l" defTabSz="1280160" rtl="0" eaLnBrk="1" latinLnBrk="0" hangingPunct="1">
              <a:defRPr sz="2500" kern="1200">
                <a:solidFill>
                  <a:schemeClr val="lt1"/>
                </a:solidFill>
                <a:latin typeface="+mn-lt"/>
                <a:ea typeface="+mn-ea"/>
                <a:cs typeface="+mn-cs"/>
              </a:defRPr>
            </a:lvl6pPr>
            <a:lvl7pPr marL="3840480" algn="l" defTabSz="1280160" rtl="0" eaLnBrk="1" latinLnBrk="0" hangingPunct="1">
              <a:defRPr sz="2500" kern="1200">
                <a:solidFill>
                  <a:schemeClr val="lt1"/>
                </a:solidFill>
                <a:latin typeface="+mn-lt"/>
                <a:ea typeface="+mn-ea"/>
                <a:cs typeface="+mn-cs"/>
              </a:defRPr>
            </a:lvl7pPr>
            <a:lvl8pPr marL="4480560" algn="l" defTabSz="1280160" rtl="0" eaLnBrk="1" latinLnBrk="0" hangingPunct="1">
              <a:defRPr sz="2500" kern="1200">
                <a:solidFill>
                  <a:schemeClr val="lt1"/>
                </a:solidFill>
                <a:latin typeface="+mn-lt"/>
                <a:ea typeface="+mn-ea"/>
                <a:cs typeface="+mn-cs"/>
              </a:defRPr>
            </a:lvl8pPr>
            <a:lvl9pPr marL="5120640" algn="l" defTabSz="1280160" rtl="0" eaLnBrk="1" latinLnBrk="0" hangingPunct="1">
              <a:defRPr sz="2500" kern="1200">
                <a:solidFill>
                  <a:schemeClr val="lt1"/>
                </a:solidFill>
                <a:latin typeface="+mn-lt"/>
                <a:ea typeface="+mn-ea"/>
                <a:cs typeface="+mn-cs"/>
              </a:defRPr>
            </a:lvl9pPr>
          </a:lstStyle>
          <a:p>
            <a:pPr algn="ctr"/>
            <a:endParaRPr lang="en-GB"/>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RAFT2\Rev03\Unified%20Allocations\Data\NewNeed\2003LISI.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FPAEIG\RPA%204\All%20Key%20Docs\Dispo\Waterfall0708\Data\&#163;50m%20pro%20rata%20to%20PCT%202002_03%20allocation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FPAEIG\RPA%204\Key%20Facts\2012_13\January%202013\201211070_Key%20data%20updated%2011%20January%20201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FM\CFISSA%20-%20CFS%20-%20PSS\2008-09%20Central%20Programmes\DH&amp;ALB%20Finances\Cascade\Journals\08.09%20DHFC%20Spring%20Supply%20Adjustments%20-%20Additional%20Cascade%20Journal%20-%20146609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2PCTs"/>
      <sheetName val="2003LISI"/>
      <sheetName val="Table 5.3 &amp; 5.4"/>
      <sheetName val="Table 5.8"/>
      <sheetName val="Introduction"/>
      <sheetName val="#REF"/>
      <sheetName val="HES 2012-13"/>
      <sheetName val="A&amp;E"/>
      <sheetName val="RTT admitted"/>
      <sheetName val="RTT - non-admitted"/>
      <sheetName val="RTT - incomplete"/>
      <sheetName val="bed occupancy"/>
      <sheetName val="cancer - 2 week"/>
      <sheetName val="cancer - 62 day"/>
      <sheetName val="DTOC"/>
      <sheetName val="readmissions"/>
      <sheetName val="MRSA2"/>
      <sheetName val="C-Diff2"/>
      <sheetName val="FFT- IP"/>
      <sheetName val="safety thermometer"/>
      <sheetName val="lists"/>
      <sheetName val="workforce"/>
      <sheetName val="staff sickness"/>
      <sheetName val="Org List"/>
      <sheetName val="TDA"/>
      <sheetName val="Monitor"/>
      <sheetName val="Thresholds"/>
      <sheetName val="SHMI"/>
      <sheetName val="HSMR 2001 - 2012"/>
      <sheetName val="CQC banding"/>
      <sheetName val="RCI"/>
      <sheetName val="PFI Information"/>
      <sheetName val="urban-rural"/>
      <sheetName val="A&amp;E winter money"/>
      <sheetName val="provider DfT"/>
      <sheetName val="Justification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
      <sheetName val="Dnurse"/>
      <sheetName val="ComPsy"/>
      <sheetName val="£50m pro rata to PCT 2002_03 al"/>
      <sheetName val="NAO Cost of Capital Calc"/>
      <sheetName val="Input Table (TB)"/>
      <sheetName val="Front"/>
      <sheetName val="By CC"/>
      <sheetName val="2002PCTs"/>
      <sheetName val="2. Overall Disp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1_growth rates"/>
      <sheetName val="Table 2_Total NHS"/>
      <sheetName val="Table 3_revenue"/>
      <sheetName val="Table 4_capital"/>
      <sheetName val="Table 5_GDP"/>
      <sheetName val="Raw Data"/>
      <sheetName val="GMonk270411"/>
      <sheetName val="GDP Workings"/>
      <sheetName val="England Total NHS"/>
      <sheetName val="SGEE_091012"/>
      <sheetName val="PW REC_071112"/>
      <sheetName val="GDP Deflators Autumn Statement "/>
      <sheetName val="GDP from JS 0512"/>
      <sheetName val="GDP from HMT 211212"/>
      <sheetName val="Table 2_PriorPeriodAdjustment"/>
      <sheetName val="#RE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TERIA1"/>
      <sheetName val="Journal Summary"/>
      <sheetName val="Cascade Schedule"/>
      <sheetName val="DHF Cascade Coding"/>
      <sheetName val="CODE"/>
      <sheetName val="Journal 1"/>
      <sheetName val="Net WP"/>
      <sheetName val="#REF"/>
      <sheetName val="Front"/>
      <sheetName val="Bubble Data"/>
      <sheetName val="Bubble Chart"/>
      <sheetName val="NAO Cost of Capital Calc"/>
      <sheetName val="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gov.uk/government/uploads/system/uploads/attachment_data/file/300552/Annex_6A_Market_Forces_Factor_payment_values.xlsx"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s://www.gov.uk/government/uploads/system/uploads/attachment_data/file/300552/Annex_6A_Market_Forces_Factor_payment_values.xlsx" TargetMode="External"/></Relationships>
</file>

<file path=xl/worksheets/_rels/sheet8.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0"/>
  <sheetViews>
    <sheetView showGridLines="0" tabSelected="1" zoomScale="110" zoomScaleNormal="110" workbookViewId="0"/>
  </sheetViews>
  <sheetFormatPr defaultColWidth="9.140625" defaultRowHeight="12.75" x14ac:dyDescent="0.2"/>
  <cols>
    <col min="1" max="1" width="7.7109375" style="536" customWidth="1"/>
    <col min="2" max="16384" width="9.140625" style="536"/>
  </cols>
  <sheetData>
    <row r="1" spans="1:18" x14ac:dyDescent="0.2">
      <c r="A1" s="541"/>
      <c r="B1" s="541"/>
      <c r="C1" s="541"/>
      <c r="D1" s="541"/>
      <c r="E1" s="541"/>
      <c r="F1" s="541"/>
      <c r="G1" s="541"/>
      <c r="H1" s="541"/>
      <c r="I1" s="541"/>
      <c r="J1" s="541"/>
      <c r="K1" s="541"/>
      <c r="L1" s="541"/>
      <c r="M1" s="541"/>
    </row>
    <row r="2" spans="1:18" x14ac:dyDescent="0.2">
      <c r="A2" s="541"/>
      <c r="B2" s="541"/>
      <c r="C2" s="541"/>
      <c r="D2" s="541"/>
      <c r="E2" s="541"/>
      <c r="F2" s="541"/>
      <c r="G2" s="541"/>
      <c r="H2" s="541"/>
      <c r="I2" s="541"/>
      <c r="J2" s="541"/>
      <c r="K2" s="541"/>
      <c r="L2" s="541"/>
      <c r="M2" s="541"/>
    </row>
    <row r="3" spans="1:18" x14ac:dyDescent="0.2">
      <c r="A3" s="541"/>
      <c r="B3" s="541"/>
      <c r="C3" s="541"/>
      <c r="D3" s="541"/>
      <c r="E3" s="541"/>
      <c r="F3" s="541"/>
      <c r="G3" s="541"/>
      <c r="H3" s="541"/>
      <c r="I3" s="541"/>
      <c r="J3" s="541"/>
      <c r="K3" s="541"/>
      <c r="L3" s="541"/>
      <c r="M3" s="541"/>
    </row>
    <row r="4" spans="1:18" x14ac:dyDescent="0.2">
      <c r="A4" s="541"/>
      <c r="B4" s="541"/>
      <c r="C4" s="541"/>
      <c r="D4" s="541"/>
      <c r="E4" s="541"/>
      <c r="F4" s="541"/>
      <c r="G4" s="541"/>
      <c r="H4" s="541"/>
      <c r="I4" s="541"/>
      <c r="J4" s="541"/>
      <c r="K4" s="541"/>
      <c r="L4" s="541"/>
      <c r="M4" s="541"/>
    </row>
    <row r="5" spans="1:18" x14ac:dyDescent="0.2">
      <c r="A5" s="541"/>
      <c r="B5" s="541"/>
      <c r="C5" s="541"/>
      <c r="D5" s="541"/>
      <c r="E5" s="541"/>
      <c r="F5" s="541"/>
      <c r="G5" s="541"/>
      <c r="H5" s="541"/>
      <c r="I5" s="541"/>
      <c r="J5" s="541"/>
      <c r="K5" s="541"/>
      <c r="L5" s="541"/>
      <c r="M5" s="541"/>
    </row>
    <row r="6" spans="1:18" s="544" customFormat="1" ht="30.75" customHeight="1" x14ac:dyDescent="0.6">
      <c r="A6" s="541"/>
      <c r="B6" s="541"/>
      <c r="C6" s="541"/>
      <c r="D6" s="541"/>
      <c r="E6" s="541"/>
      <c r="F6" s="541"/>
      <c r="G6" s="541"/>
      <c r="H6" s="541"/>
      <c r="I6" s="541"/>
      <c r="J6" s="541"/>
      <c r="K6" s="541"/>
      <c r="L6" s="541"/>
      <c r="M6" s="541"/>
    </row>
    <row r="7" spans="1:18" ht="23.25" x14ac:dyDescent="0.35">
      <c r="A7" s="542"/>
      <c r="B7" s="543" t="s">
        <v>4322</v>
      </c>
      <c r="C7" s="542"/>
      <c r="D7" s="542"/>
      <c r="E7" s="542"/>
      <c r="F7" s="542"/>
      <c r="G7" s="542"/>
      <c r="H7" s="542"/>
      <c r="I7" s="542"/>
      <c r="J7" s="542"/>
      <c r="K7" s="542"/>
      <c r="L7" s="542"/>
      <c r="M7" s="542"/>
      <c r="R7" s="539"/>
    </row>
    <row r="8" spans="1:18" x14ac:dyDescent="0.2">
      <c r="A8" s="541"/>
      <c r="B8" s="541"/>
      <c r="C8" s="541"/>
      <c r="D8" s="541"/>
      <c r="E8" s="541"/>
      <c r="F8" s="541"/>
      <c r="G8" s="541"/>
      <c r="H8" s="541"/>
      <c r="I8" s="541"/>
      <c r="J8" s="541"/>
      <c r="K8" s="541"/>
      <c r="L8" s="541"/>
      <c r="M8" s="541"/>
      <c r="R8" s="540"/>
    </row>
    <row r="9" spans="1:18" ht="15" x14ac:dyDescent="0.25">
      <c r="A9" s="537"/>
      <c r="B9" s="537"/>
      <c r="C9" s="537"/>
      <c r="D9" s="537"/>
      <c r="E9" s="537"/>
      <c r="F9" s="537"/>
      <c r="G9" s="537"/>
      <c r="H9" s="537"/>
      <c r="I9" s="537"/>
      <c r="J9" s="537"/>
      <c r="K9" s="537"/>
      <c r="L9" s="537"/>
      <c r="M9" s="537"/>
      <c r="R9" s="539"/>
    </row>
    <row r="10" spans="1:18" ht="15" x14ac:dyDescent="0.25">
      <c r="A10" s="537"/>
      <c r="B10" s="537"/>
      <c r="C10" s="537"/>
      <c r="D10" s="537"/>
      <c r="E10" s="537"/>
      <c r="F10" s="537"/>
      <c r="G10" s="537"/>
      <c r="H10" s="537"/>
      <c r="I10" s="537"/>
      <c r="J10" s="537"/>
      <c r="K10" s="537"/>
      <c r="L10" s="537"/>
      <c r="M10" s="537"/>
      <c r="R10" s="539"/>
    </row>
    <row r="11" spans="1:18" ht="15" x14ac:dyDescent="0.25">
      <c r="A11" s="537"/>
      <c r="B11" s="537"/>
      <c r="C11" s="537"/>
      <c r="D11" s="537"/>
      <c r="E11" s="537"/>
      <c r="F11" s="537"/>
      <c r="G11" s="537"/>
      <c r="H11" s="537"/>
      <c r="I11" s="537"/>
      <c r="J11" s="537"/>
      <c r="K11" s="537"/>
      <c r="L11" s="537"/>
      <c r="M11" s="537"/>
      <c r="R11" s="539"/>
    </row>
    <row r="12" spans="1:18" ht="15" x14ac:dyDescent="0.25">
      <c r="A12" s="537"/>
      <c r="B12" s="537"/>
      <c r="C12" s="537"/>
      <c r="D12" s="537"/>
      <c r="E12" s="537"/>
      <c r="F12" s="537"/>
      <c r="G12" s="537"/>
      <c r="H12" s="537"/>
      <c r="I12" s="537"/>
      <c r="J12" s="537"/>
      <c r="K12" s="537"/>
      <c r="L12" s="537"/>
      <c r="M12" s="537"/>
      <c r="R12" s="539"/>
    </row>
    <row r="13" spans="1:18" ht="14.25" x14ac:dyDescent="0.2">
      <c r="A13" s="537"/>
      <c r="B13" s="537"/>
      <c r="C13" s="537"/>
      <c r="D13" s="537"/>
      <c r="E13" s="537"/>
      <c r="F13" s="537"/>
      <c r="G13" s="537"/>
      <c r="H13" s="537"/>
      <c r="I13" s="537"/>
      <c r="J13" s="537"/>
      <c r="K13" s="537"/>
      <c r="L13" s="537"/>
      <c r="M13" s="537"/>
    </row>
    <row r="14" spans="1:18" ht="13.5" customHeight="1" x14ac:dyDescent="0.2">
      <c r="A14" s="537"/>
      <c r="B14" s="538" t="s">
        <v>4323</v>
      </c>
      <c r="C14" s="538"/>
      <c r="D14" s="538"/>
      <c r="E14" s="538"/>
      <c r="F14" s="538"/>
      <c r="G14" s="538"/>
      <c r="H14" s="538"/>
      <c r="I14" s="538"/>
      <c r="J14" s="538"/>
      <c r="K14" s="538"/>
      <c r="L14" s="538"/>
      <c r="M14" s="537"/>
    </row>
    <row r="15" spans="1:18" ht="27" customHeight="1" x14ac:dyDescent="0.2">
      <c r="A15" s="537"/>
      <c r="B15" s="633" t="s">
        <v>4325</v>
      </c>
      <c r="C15" s="633"/>
      <c r="D15" s="633"/>
      <c r="E15" s="633"/>
      <c r="F15" s="633"/>
      <c r="G15" s="633"/>
      <c r="H15" s="633"/>
      <c r="I15" s="633"/>
      <c r="J15" s="633"/>
      <c r="K15" s="633"/>
      <c r="L15" s="633"/>
      <c r="M15" s="633"/>
    </row>
    <row r="16" spans="1:18" ht="13.5" customHeight="1" x14ac:dyDescent="0.2">
      <c r="A16" s="537"/>
      <c r="B16" s="538"/>
      <c r="C16" s="538"/>
      <c r="D16" s="538"/>
      <c r="E16" s="538"/>
      <c r="F16" s="538"/>
      <c r="G16" s="538"/>
      <c r="H16" s="538"/>
      <c r="I16" s="538"/>
      <c r="J16" s="538"/>
      <c r="K16" s="538"/>
      <c r="L16" s="538"/>
      <c r="M16" s="537"/>
    </row>
    <row r="17" spans="1:13" ht="13.5" customHeight="1" x14ac:dyDescent="0.2">
      <c r="A17" s="537"/>
      <c r="B17" s="538" t="s">
        <v>4304</v>
      </c>
      <c r="C17" s="538"/>
      <c r="D17" s="538"/>
      <c r="E17" s="538"/>
      <c r="F17" s="538"/>
      <c r="G17" s="538"/>
      <c r="H17" s="538"/>
      <c r="I17" s="538"/>
      <c r="J17" s="538"/>
      <c r="K17" s="538"/>
      <c r="L17" s="538"/>
      <c r="M17" s="537"/>
    </row>
    <row r="18" spans="1:13" ht="14.25" x14ac:dyDescent="0.2">
      <c r="A18" s="537"/>
      <c r="B18" s="538"/>
      <c r="C18" s="538"/>
      <c r="D18" s="538"/>
      <c r="E18" s="538"/>
      <c r="F18" s="538"/>
      <c r="G18" s="538"/>
      <c r="H18" s="538"/>
      <c r="I18" s="538"/>
      <c r="J18" s="538"/>
      <c r="K18" s="538"/>
      <c r="L18" s="538"/>
      <c r="M18" s="537"/>
    </row>
    <row r="19" spans="1:13" ht="14.25" x14ac:dyDescent="0.2">
      <c r="A19" s="537"/>
      <c r="B19" s="537"/>
      <c r="C19" s="537"/>
      <c r="D19" s="537"/>
      <c r="E19" s="537"/>
      <c r="F19" s="537"/>
      <c r="G19" s="537"/>
      <c r="H19" s="537"/>
      <c r="I19" s="537"/>
      <c r="J19" s="537"/>
      <c r="K19" s="537"/>
      <c r="L19" s="537"/>
      <c r="M19" s="537"/>
    </row>
    <row r="20" spans="1:13" ht="14.25" x14ac:dyDescent="0.2">
      <c r="A20" s="537"/>
      <c r="B20" s="537"/>
      <c r="C20" s="537"/>
      <c r="D20" s="537"/>
      <c r="E20" s="537"/>
      <c r="F20" s="537"/>
      <c r="G20" s="537"/>
      <c r="H20" s="537"/>
      <c r="I20" s="537"/>
      <c r="J20" s="537"/>
      <c r="K20" s="537"/>
      <c r="L20" s="537"/>
      <c r="M20" s="537"/>
    </row>
  </sheetData>
  <mergeCells count="1">
    <mergeCell ref="B15:M15"/>
  </mergeCells>
  <pageMargins left="0.7" right="0.7" top="0.75" bottom="0.75" header="0.3" footer="0.3"/>
  <pageSetup paperSize="9" orientation="landscape"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autoPageBreaks="0"/>
  </sheetPr>
  <dimension ref="A1:J249"/>
  <sheetViews>
    <sheetView zoomScaleNormal="100" workbookViewId="0"/>
  </sheetViews>
  <sheetFormatPr defaultRowHeight="12.75" x14ac:dyDescent="0.2"/>
  <cols>
    <col min="1" max="1" width="6.140625" style="19" customWidth="1"/>
    <col min="2" max="2" width="11.42578125" style="19" customWidth="1"/>
    <col min="3" max="3" width="13" style="19" customWidth="1"/>
    <col min="4" max="4" width="11" style="19" customWidth="1"/>
    <col min="5" max="5" width="11.42578125" style="19" customWidth="1"/>
    <col min="6" max="6" width="12.42578125" style="19" customWidth="1"/>
    <col min="7" max="7" width="12.140625" style="19" customWidth="1"/>
    <col min="8" max="8" width="23" style="19" customWidth="1"/>
    <col min="9" max="9" width="15.140625" style="19" customWidth="1"/>
    <col min="10" max="10" width="14.28515625" style="19" customWidth="1"/>
    <col min="11" max="256" width="11.42578125" style="19" customWidth="1"/>
    <col min="257" max="16384" width="9.140625" style="19"/>
  </cols>
  <sheetData>
    <row r="1" spans="1:10" s="87" customFormat="1" ht="27.75" customHeight="1" thickBot="1" x14ac:dyDescent="0.25">
      <c r="A1" s="86" t="s">
        <v>3370</v>
      </c>
      <c r="B1" s="86" t="s">
        <v>2725</v>
      </c>
      <c r="C1" s="86" t="s">
        <v>2755</v>
      </c>
      <c r="D1" s="86" t="s">
        <v>2726</v>
      </c>
      <c r="E1" s="86" t="s">
        <v>523</v>
      </c>
      <c r="F1" s="86" t="s">
        <v>524</v>
      </c>
      <c r="G1" s="86" t="s">
        <v>3812</v>
      </c>
      <c r="H1" s="98" t="s">
        <v>2731</v>
      </c>
      <c r="I1" s="86" t="s">
        <v>3832</v>
      </c>
      <c r="J1" s="86" t="s">
        <v>3834</v>
      </c>
    </row>
    <row r="2" spans="1:10" x14ac:dyDescent="0.2">
      <c r="A2" s="39" t="s">
        <v>707</v>
      </c>
      <c r="B2" s="39" t="s">
        <v>3728</v>
      </c>
      <c r="C2" s="39" t="s">
        <v>184</v>
      </c>
      <c r="D2" s="39">
        <v>17.489999999999998</v>
      </c>
      <c r="E2" s="39">
        <v>38544</v>
      </c>
      <c r="F2" s="39">
        <f t="shared" ref="F2:F65" si="0">E2/D2</f>
        <v>2203.7735849056608</v>
      </c>
      <c r="G2" s="39">
        <f t="shared" ref="G2:G65" si="1">F2/F$236</f>
        <v>1.9427778688467847</v>
      </c>
      <c r="H2" s="39"/>
      <c r="I2" s="39"/>
      <c r="J2" s="88">
        <f>IF(I2="Yes",VLOOKUP(B2,'Other corrections needed'!$A$11:$K$17,11,FALSE),IF('Land data'!G2=0,VLOOKUP('Land data'!H2,'Other corrections needed'!$A$3:$E$6,5,FALSE),IF(ISERR('Land data'!G2),VLOOKUP('Land data'!H2,'Other corrections needed'!$A$3:$E$6,5,FALSE),'Land data'!G2)))</f>
        <v>1.9427778688467847</v>
      </c>
    </row>
    <row r="3" spans="1:10" x14ac:dyDescent="0.2">
      <c r="A3" s="21" t="s">
        <v>707</v>
      </c>
      <c r="B3" s="21" t="s">
        <v>687</v>
      </c>
      <c r="C3" s="21" t="s">
        <v>3566</v>
      </c>
      <c r="D3" s="21">
        <v>13.4</v>
      </c>
      <c r="E3" s="21">
        <v>14611</v>
      </c>
      <c r="F3" s="21">
        <f t="shared" si="0"/>
        <v>1090.3731343283582</v>
      </c>
      <c r="G3" s="21">
        <f t="shared" si="1"/>
        <v>0.96123885351358329</v>
      </c>
      <c r="H3" s="21"/>
      <c r="I3" s="21"/>
      <c r="J3" s="89">
        <f>IF(I3="Yes",VLOOKUP(B3,'Other corrections needed'!$A$11:$K$17,11,FALSE),IF('Land data'!G3=0,VLOOKUP('Land data'!H3,'Other corrections needed'!$A$3:$E$6,5,FALSE),IF(ISERR('Land data'!G3),VLOOKUP('Land data'!H3,'Other corrections needed'!$A$3:$E$6,5,FALSE),'Land data'!G3)))</f>
        <v>0.96123885351358329</v>
      </c>
    </row>
    <row r="4" spans="1:10" x14ac:dyDescent="0.2">
      <c r="A4" s="21" t="s">
        <v>707</v>
      </c>
      <c r="B4" s="21" t="s">
        <v>701</v>
      </c>
      <c r="C4" s="21" t="s">
        <v>3568</v>
      </c>
      <c r="D4" s="21">
        <v>4.07</v>
      </c>
      <c r="E4" s="21">
        <v>8061</v>
      </c>
      <c r="F4" s="21">
        <f t="shared" si="0"/>
        <v>1980.5896805896805</v>
      </c>
      <c r="G4" s="21">
        <f t="shared" si="1"/>
        <v>1.7460259189378895</v>
      </c>
      <c r="H4" s="21"/>
      <c r="I4" s="21"/>
      <c r="J4" s="89">
        <f>IF(I4="Yes",VLOOKUP(B4,'Other corrections needed'!$A$11:$K$17,11,FALSE),IF('Land data'!G4=0,VLOOKUP('Land data'!H4,'Other corrections needed'!$A$3:$E$6,5,FALSE),IF(ISERR('Land data'!G4),VLOOKUP('Land data'!H4,'Other corrections needed'!$A$3:$E$6,5,FALSE),'Land data'!G4)))</f>
        <v>1.7460259189378895</v>
      </c>
    </row>
    <row r="5" spans="1:10" x14ac:dyDescent="0.2">
      <c r="A5" s="21" t="s">
        <v>707</v>
      </c>
      <c r="B5" s="21" t="s">
        <v>664</v>
      </c>
      <c r="C5" s="21" t="s">
        <v>3564</v>
      </c>
      <c r="D5" s="21">
        <v>17.25</v>
      </c>
      <c r="E5" s="21">
        <v>38341</v>
      </c>
      <c r="F5" s="21">
        <f t="shared" si="0"/>
        <v>2222.6666666666665</v>
      </c>
      <c r="G5" s="21">
        <f t="shared" si="1"/>
        <v>1.9594334188411213</v>
      </c>
      <c r="H5" s="21"/>
      <c r="I5" s="21"/>
      <c r="J5" s="89">
        <f>IF(I5="Yes",VLOOKUP(B5,'Other corrections needed'!$A$11:$K$17,11,FALSE),IF('Land data'!G5=0,VLOOKUP('Land data'!H5,'Other corrections needed'!$A$3:$E$6,5,FALSE),IF(ISERR('Land data'!G5),VLOOKUP('Land data'!H5,'Other corrections needed'!$A$3:$E$6,5,FALSE),'Land data'!G5)))</f>
        <v>1.9594334188411213</v>
      </c>
    </row>
    <row r="6" spans="1:10" x14ac:dyDescent="0.2">
      <c r="A6" s="21" t="s">
        <v>707</v>
      </c>
      <c r="B6" s="21" t="s">
        <v>2790</v>
      </c>
      <c r="C6" s="21" t="s">
        <v>3560</v>
      </c>
      <c r="D6" s="21">
        <v>22.62</v>
      </c>
      <c r="E6" s="21">
        <v>23335</v>
      </c>
      <c r="F6" s="21">
        <f t="shared" si="0"/>
        <v>1031.6091954022988</v>
      </c>
      <c r="G6" s="21">
        <f t="shared" si="1"/>
        <v>0.90943440281421639</v>
      </c>
      <c r="H6" s="21"/>
      <c r="I6" s="21"/>
      <c r="J6" s="89">
        <f>IF(I6="Yes",VLOOKUP(B6,'Other corrections needed'!$A$11:$K$17,11,FALSE),IF('Land data'!G6=0,VLOOKUP('Land data'!H6,'Other corrections needed'!$A$3:$E$6,5,FALSE),IF(ISERR('Land data'!G6),VLOOKUP('Land data'!H6,'Other corrections needed'!$A$3:$E$6,5,FALSE),'Land data'!G6)))</f>
        <v>0.90943440281421639</v>
      </c>
    </row>
    <row r="7" spans="1:10" x14ac:dyDescent="0.2">
      <c r="A7" s="21" t="s">
        <v>707</v>
      </c>
      <c r="B7" s="21" t="s">
        <v>2289</v>
      </c>
      <c r="C7" s="21" t="s">
        <v>3040</v>
      </c>
      <c r="D7" s="21">
        <v>24.57</v>
      </c>
      <c r="E7" s="21">
        <v>21176</v>
      </c>
      <c r="F7" s="21">
        <f t="shared" si="0"/>
        <v>861.86406186406191</v>
      </c>
      <c r="G7" s="21">
        <f t="shared" si="1"/>
        <v>0.75979240191118536</v>
      </c>
      <c r="H7" s="21"/>
      <c r="I7" s="21"/>
      <c r="J7" s="89">
        <f>IF(I7="Yes",VLOOKUP(B7,'Other corrections needed'!$A$11:$K$17,11,FALSE),IF('Land data'!G7=0,VLOOKUP('Land data'!H7,'Other corrections needed'!$A$3:$E$6,5,FALSE),IF(ISERR('Land data'!G7),VLOOKUP('Land data'!H7,'Other corrections needed'!$A$3:$E$6,5,FALSE),'Land data'!G7)))</f>
        <v>0.75979240191118536</v>
      </c>
    </row>
    <row r="8" spans="1:10" x14ac:dyDescent="0.2">
      <c r="A8" s="21" t="s">
        <v>707</v>
      </c>
      <c r="B8" s="21" t="s">
        <v>569</v>
      </c>
      <c r="C8" s="21" t="s">
        <v>1163</v>
      </c>
      <c r="D8" s="21">
        <v>9.56</v>
      </c>
      <c r="E8" s="21">
        <v>18350</v>
      </c>
      <c r="F8" s="21">
        <f t="shared" si="0"/>
        <v>1919.4560669456066</v>
      </c>
      <c r="G8" s="21">
        <f t="shared" si="1"/>
        <v>1.6921324371193294</v>
      </c>
      <c r="H8" s="21"/>
      <c r="I8" s="21"/>
      <c r="J8" s="89">
        <f>IF(I8="Yes",VLOOKUP(B8,'Other corrections needed'!$A$11:$K$17,11,FALSE),IF('Land data'!G8=0,VLOOKUP('Land data'!H8,'Other corrections needed'!$A$3:$E$6,5,FALSE),IF(ISERR('Land data'!G8),VLOOKUP('Land data'!H8,'Other corrections needed'!$A$3:$E$6,5,FALSE),'Land data'!G8)))</f>
        <v>1.6921324371193294</v>
      </c>
    </row>
    <row r="9" spans="1:10" x14ac:dyDescent="0.2">
      <c r="A9" s="21" t="s">
        <v>707</v>
      </c>
      <c r="B9" s="21" t="s">
        <v>3720</v>
      </c>
      <c r="C9" s="21" t="s">
        <v>3472</v>
      </c>
      <c r="D9" s="21">
        <v>8.911999999999999</v>
      </c>
      <c r="E9" s="21">
        <v>95804</v>
      </c>
      <c r="F9" s="21">
        <f t="shared" si="0"/>
        <v>10750.000000000002</v>
      </c>
      <c r="G9" s="21">
        <f t="shared" si="1"/>
        <v>9.4768637908857496</v>
      </c>
      <c r="H9" s="21" t="s">
        <v>3769</v>
      </c>
      <c r="I9" s="21"/>
      <c r="J9" s="89">
        <f>IF(I9="Yes",VLOOKUP(B9,'Other corrections needed'!$A$11:$K$17,11,FALSE),IF('Land data'!G9=0,VLOOKUP('Land data'!H9,'Other corrections needed'!$A$3:$E$6,5,FALSE),IF(ISERR('Land data'!G9),VLOOKUP('Land data'!H9,'Other corrections needed'!$A$3:$E$6,5,FALSE),'Land data'!G9)))</f>
        <v>9.4768637908857496</v>
      </c>
    </row>
    <row r="10" spans="1:10" x14ac:dyDescent="0.2">
      <c r="A10" s="21" t="s">
        <v>707</v>
      </c>
      <c r="B10" s="21" t="s">
        <v>3726</v>
      </c>
      <c r="C10" s="21" t="s">
        <v>3392</v>
      </c>
      <c r="D10" s="21">
        <v>43.34</v>
      </c>
      <c r="E10" s="21">
        <v>9553</v>
      </c>
      <c r="F10" s="21">
        <f t="shared" si="0"/>
        <v>220.41993539455467</v>
      </c>
      <c r="G10" s="21">
        <f t="shared" si="1"/>
        <v>0.19431532135163079</v>
      </c>
      <c r="H10" s="21" t="s">
        <v>3777</v>
      </c>
      <c r="I10" s="21"/>
      <c r="J10" s="89">
        <f>IF(I10="Yes",VLOOKUP(B10,'Other corrections needed'!$A$11:$K$17,11,FALSE),IF('Land data'!G10=0,VLOOKUP('Land data'!H10,'Other corrections needed'!$A$3:$E$6,5,FALSE),IF(ISERR('Land data'!G10),VLOOKUP('Land data'!H10,'Other corrections needed'!$A$3:$E$6,5,FALSE),'Land data'!G10)))</f>
        <v>0.19431532135163079</v>
      </c>
    </row>
    <row r="11" spans="1:10" x14ac:dyDescent="0.2">
      <c r="A11" s="21" t="s">
        <v>707</v>
      </c>
      <c r="B11" s="21" t="s">
        <v>3656</v>
      </c>
      <c r="C11" s="21" t="s">
        <v>3465</v>
      </c>
      <c r="D11" s="21">
        <v>9.1300000000000008</v>
      </c>
      <c r="E11" s="21">
        <v>29643</v>
      </c>
      <c r="F11" s="21">
        <f t="shared" si="0"/>
        <v>3246.7688937568455</v>
      </c>
      <c r="G11" s="21">
        <f t="shared" si="1"/>
        <v>2.8622499131738071</v>
      </c>
      <c r="H11" s="21" t="s">
        <v>3773</v>
      </c>
      <c r="I11" s="21"/>
      <c r="J11" s="89">
        <f>IF(I11="Yes",VLOOKUP(B11,'Other corrections needed'!$A$11:$K$17,11,FALSE),IF('Land data'!G11=0,VLOOKUP('Land data'!H11,'Other corrections needed'!$A$3:$E$6,5,FALSE),IF(ISERR('Land data'!G11),VLOOKUP('Land data'!H11,'Other corrections needed'!$A$3:$E$6,5,FALSE),'Land data'!G11)))</f>
        <v>2.8622499131738071</v>
      </c>
    </row>
    <row r="12" spans="1:10" x14ac:dyDescent="0.2">
      <c r="A12" s="21" t="s">
        <v>707</v>
      </c>
      <c r="B12" s="21" t="s">
        <v>598</v>
      </c>
      <c r="C12" s="21" t="s">
        <v>3479</v>
      </c>
      <c r="D12" s="21">
        <v>36.1</v>
      </c>
      <c r="E12" s="21">
        <v>48511</v>
      </c>
      <c r="F12" s="21">
        <f t="shared" si="0"/>
        <v>1343.7950138504154</v>
      </c>
      <c r="G12" s="21">
        <f t="shared" si="1"/>
        <v>1.1846476566634245</v>
      </c>
      <c r="H12" s="21" t="s">
        <v>3779</v>
      </c>
      <c r="I12" s="21"/>
      <c r="J12" s="89">
        <f>IF(I12="Yes",VLOOKUP(B12,'Other corrections needed'!$A$11:$K$17,11,FALSE),IF('Land data'!G12=0,VLOOKUP('Land data'!H12,'Other corrections needed'!$A$3:$E$6,5,FALSE),IF(ISERR('Land data'!G12),VLOOKUP('Land data'!H12,'Other corrections needed'!$A$3:$E$6,5,FALSE),'Land data'!G12)))</f>
        <v>1.1846476566634245</v>
      </c>
    </row>
    <row r="13" spans="1:10" x14ac:dyDescent="0.2">
      <c r="A13" s="21" t="s">
        <v>707</v>
      </c>
      <c r="B13" s="21" t="s">
        <v>416</v>
      </c>
      <c r="C13" s="21" t="s">
        <v>3463</v>
      </c>
      <c r="D13" s="21">
        <v>63.509</v>
      </c>
      <c r="E13" s="21">
        <v>61471</v>
      </c>
      <c r="F13" s="21">
        <f t="shared" si="0"/>
        <v>967.91005999149729</v>
      </c>
      <c r="G13" s="21">
        <f t="shared" si="1"/>
        <v>0.85327923724348587</v>
      </c>
      <c r="H13" s="21" t="s">
        <v>3787</v>
      </c>
      <c r="I13" s="21"/>
      <c r="J13" s="89">
        <f>IF(I13="Yes",VLOOKUP(B13,'Other corrections needed'!$A$11:$K$17,11,FALSE),IF('Land data'!G13=0,VLOOKUP('Land data'!H13,'Other corrections needed'!$A$3:$E$6,5,FALSE),IF(ISERR('Land data'!G13),VLOOKUP('Land data'!H13,'Other corrections needed'!$A$3:$E$6,5,FALSE),'Land data'!G13)))</f>
        <v>0.85327923724348587</v>
      </c>
    </row>
    <row r="14" spans="1:10" x14ac:dyDescent="0.2">
      <c r="A14" s="21" t="s">
        <v>707</v>
      </c>
      <c r="B14" s="21" t="s">
        <v>355</v>
      </c>
      <c r="C14" s="21" t="s">
        <v>3454</v>
      </c>
      <c r="D14" s="21">
        <v>8.2044999999999995</v>
      </c>
      <c r="E14" s="21">
        <v>37473</v>
      </c>
      <c r="F14" s="21">
        <f t="shared" si="0"/>
        <v>4567.3715643853984</v>
      </c>
      <c r="G14" s="21">
        <f t="shared" si="1"/>
        <v>4.0264519253995514</v>
      </c>
      <c r="H14" s="21" t="s">
        <v>3783</v>
      </c>
      <c r="I14" s="21"/>
      <c r="J14" s="89">
        <f>IF(I14="Yes",VLOOKUP(B14,'Other corrections needed'!$A$11:$K$17,11,FALSE),IF('Land data'!G14=0,VLOOKUP('Land data'!H14,'Other corrections needed'!$A$3:$E$6,5,FALSE),IF(ISERR('Land data'!G14),VLOOKUP('Land data'!H14,'Other corrections needed'!$A$3:$E$6,5,FALSE),'Land data'!G14)))</f>
        <v>4.0264519253995514</v>
      </c>
    </row>
    <row r="15" spans="1:10" x14ac:dyDescent="0.2">
      <c r="A15" s="21" t="s">
        <v>707</v>
      </c>
      <c r="B15" s="21" t="s">
        <v>588</v>
      </c>
      <c r="C15" s="21" t="s">
        <v>3563</v>
      </c>
      <c r="D15" s="21">
        <v>14.597000000000001</v>
      </c>
      <c r="E15" s="21">
        <v>18430</v>
      </c>
      <c r="F15" s="21">
        <f t="shared" si="0"/>
        <v>1262.5882030554221</v>
      </c>
      <c r="G15" s="21">
        <f t="shared" si="1"/>
        <v>1.113058272031203</v>
      </c>
      <c r="H15" s="21"/>
      <c r="I15" s="21"/>
      <c r="J15" s="89">
        <f>IF(I15="Yes",VLOOKUP(B15,'Other corrections needed'!$A$11:$K$17,11,FALSE),IF('Land data'!G15=0,VLOOKUP('Land data'!H15,'Other corrections needed'!$A$3:$E$6,5,FALSE),IF(ISERR('Land data'!G15),VLOOKUP('Land data'!H15,'Other corrections needed'!$A$3:$E$6,5,FALSE),'Land data'!G15)))</f>
        <v>1.113058272031203</v>
      </c>
    </row>
    <row r="16" spans="1:10" x14ac:dyDescent="0.2">
      <c r="A16" s="21" t="s">
        <v>707</v>
      </c>
      <c r="B16" s="21" t="s">
        <v>3724</v>
      </c>
      <c r="C16" s="21" t="s">
        <v>3554</v>
      </c>
      <c r="D16" s="21">
        <v>0.31</v>
      </c>
      <c r="E16" s="21">
        <v>2292</v>
      </c>
      <c r="F16" s="21">
        <f t="shared" si="0"/>
        <v>7393.5483870967746</v>
      </c>
      <c r="G16" s="21">
        <f t="shared" si="1"/>
        <v>6.5179210228687579</v>
      </c>
      <c r="H16" s="21"/>
      <c r="I16" s="21"/>
      <c r="J16" s="89">
        <f>IF(I16="Yes",VLOOKUP(B16,'Other corrections needed'!$A$11:$K$17,11,FALSE),IF('Land data'!G16=0,VLOOKUP('Land data'!H16,'Other corrections needed'!$A$3:$E$6,5,FALSE),IF(ISERR('Land data'!G16),VLOOKUP('Land data'!H16,'Other corrections needed'!$A$3:$E$6,5,FALSE),'Land data'!G16)))</f>
        <v>6.5179210228687579</v>
      </c>
    </row>
    <row r="17" spans="1:10" x14ac:dyDescent="0.2">
      <c r="A17" s="21" t="s">
        <v>707</v>
      </c>
      <c r="B17" s="21" t="s">
        <v>2339</v>
      </c>
      <c r="C17" s="21" t="s">
        <v>3537</v>
      </c>
      <c r="D17" s="21">
        <v>7.5</v>
      </c>
      <c r="E17" s="21">
        <v>17610</v>
      </c>
      <c r="F17" s="21">
        <f t="shared" si="0"/>
        <v>2348</v>
      </c>
      <c r="G17" s="21">
        <f t="shared" si="1"/>
        <v>2.0699233656743941</v>
      </c>
      <c r="H17" s="21"/>
      <c r="I17" s="21"/>
      <c r="J17" s="89">
        <f>IF(I17="Yes",VLOOKUP(B17,'Other corrections needed'!$A$11:$K$17,11,FALSE),IF('Land data'!G17=0,VLOOKUP('Land data'!H17,'Other corrections needed'!$A$3:$E$6,5,FALSE),IF(ISERR('Land data'!G17),VLOOKUP('Land data'!H17,'Other corrections needed'!$A$3:$E$6,5,FALSE),'Land data'!G17)))</f>
        <v>2.0699233656743941</v>
      </c>
    </row>
    <row r="18" spans="1:10" x14ac:dyDescent="0.2">
      <c r="A18" s="21" t="s">
        <v>707</v>
      </c>
      <c r="B18" s="21" t="s">
        <v>672</v>
      </c>
      <c r="C18" s="21" t="s">
        <v>1121</v>
      </c>
      <c r="D18" s="21">
        <v>14.88</v>
      </c>
      <c r="E18" s="21">
        <v>7226</v>
      </c>
      <c r="F18" s="21">
        <f t="shared" si="0"/>
        <v>485.61827956989242</v>
      </c>
      <c r="G18" s="21">
        <f t="shared" si="1"/>
        <v>0.42810588742773448</v>
      </c>
      <c r="H18" s="21" t="s">
        <v>3753</v>
      </c>
      <c r="I18" s="21"/>
      <c r="J18" s="89">
        <f>IF(I18="Yes",VLOOKUP(B18,'Other corrections needed'!$A$11:$K$17,11,FALSE),IF('Land data'!G18=0,VLOOKUP('Land data'!H18,'Other corrections needed'!$A$3:$E$6,5,FALSE),IF(ISERR('Land data'!G18),VLOOKUP('Land data'!H18,'Other corrections needed'!$A$3:$E$6,5,FALSE),'Land data'!G18)))</f>
        <v>0.42810588742773448</v>
      </c>
    </row>
    <row r="19" spans="1:10" x14ac:dyDescent="0.2">
      <c r="A19" s="21" t="s">
        <v>707</v>
      </c>
      <c r="B19" s="21" t="s">
        <v>693</v>
      </c>
      <c r="C19" s="21" t="s">
        <v>3031</v>
      </c>
      <c r="D19" s="21">
        <v>25.98</v>
      </c>
      <c r="E19" s="21">
        <v>19799</v>
      </c>
      <c r="F19" s="21">
        <f t="shared" si="0"/>
        <v>762.08622016936101</v>
      </c>
      <c r="G19" s="21">
        <f t="shared" si="1"/>
        <v>0.67183137725172104</v>
      </c>
      <c r="H19" s="21"/>
      <c r="I19" s="21"/>
      <c r="J19" s="89">
        <f>IF(I19="Yes",VLOOKUP(B19,'Other corrections needed'!$A$11:$K$17,11,FALSE),IF('Land data'!G19=0,VLOOKUP('Land data'!H19,'Other corrections needed'!$A$3:$E$6,5,FALSE),IF(ISERR('Land data'!G19),VLOOKUP('Land data'!H19,'Other corrections needed'!$A$3:$E$6,5,FALSE),'Land data'!G19)))</f>
        <v>0.67183137725172104</v>
      </c>
    </row>
    <row r="20" spans="1:10" x14ac:dyDescent="0.2">
      <c r="A20" s="21" t="s">
        <v>707</v>
      </c>
      <c r="B20" s="21" t="s">
        <v>575</v>
      </c>
      <c r="C20" s="21" t="s">
        <v>3020</v>
      </c>
      <c r="D20" s="21">
        <v>22.19</v>
      </c>
      <c r="E20" s="21">
        <v>12622</v>
      </c>
      <c r="F20" s="21">
        <f t="shared" si="0"/>
        <v>568.81478143307788</v>
      </c>
      <c r="G20" s="21">
        <f t="shared" si="1"/>
        <v>0.50144932147755594</v>
      </c>
      <c r="H20" s="21"/>
      <c r="I20" s="21"/>
      <c r="J20" s="89">
        <f>IF(I20="Yes",VLOOKUP(B20,'Other corrections needed'!$A$11:$K$17,11,FALSE),IF('Land data'!G20=0,VLOOKUP('Land data'!H20,'Other corrections needed'!$A$3:$E$6,5,FALSE),IF(ISERR('Land data'!G20),VLOOKUP('Land data'!H20,'Other corrections needed'!$A$3:$E$6,5,FALSE),'Land data'!G20)))</f>
        <v>0.50144932147755594</v>
      </c>
    </row>
    <row r="21" spans="1:10" x14ac:dyDescent="0.2">
      <c r="A21" s="21" t="s">
        <v>707</v>
      </c>
      <c r="B21" s="21" t="s">
        <v>373</v>
      </c>
      <c r="C21" s="21" t="s">
        <v>3004</v>
      </c>
      <c r="D21" s="21">
        <v>3.35</v>
      </c>
      <c r="E21" s="21">
        <v>2727</v>
      </c>
      <c r="F21" s="21">
        <f t="shared" si="0"/>
        <v>814.02985074626861</v>
      </c>
      <c r="G21" s="21">
        <f t="shared" si="1"/>
        <v>0.71762325741743649</v>
      </c>
      <c r="H21" s="21"/>
      <c r="I21" s="21"/>
      <c r="J21" s="89">
        <f>IF(I21="Yes",VLOOKUP(B21,'Other corrections needed'!$A$11:$K$17,11,FALSE),IF('Land data'!G21=0,VLOOKUP('Land data'!H21,'Other corrections needed'!$A$3:$E$6,5,FALSE),IF(ISERR('Land data'!G21),VLOOKUP('Land data'!H21,'Other corrections needed'!$A$3:$E$6,5,FALSE),'Land data'!G21)))</f>
        <v>0.71762325741743649</v>
      </c>
    </row>
    <row r="22" spans="1:10" x14ac:dyDescent="0.2">
      <c r="A22" s="21" t="s">
        <v>707</v>
      </c>
      <c r="B22" s="21" t="s">
        <v>3382</v>
      </c>
      <c r="C22" s="21" t="s">
        <v>2980</v>
      </c>
      <c r="D22" s="21">
        <v>11.121</v>
      </c>
      <c r="E22" s="21">
        <v>3855</v>
      </c>
      <c r="F22" s="21">
        <f t="shared" si="0"/>
        <v>346.64148907472349</v>
      </c>
      <c r="G22" s="21">
        <f t="shared" si="1"/>
        <v>0.30558829546334554</v>
      </c>
      <c r="H22" s="21"/>
      <c r="I22" s="21"/>
      <c r="J22" s="89">
        <f>IF(I22="Yes",VLOOKUP(B22,'Other corrections needed'!$A$11:$K$17,11,FALSE),IF('Land data'!G22=0,VLOOKUP('Land data'!H22,'Other corrections needed'!$A$3:$E$6,5,FALSE),IF(ISERR('Land data'!G22),VLOOKUP('Land data'!H22,'Other corrections needed'!$A$3:$E$6,5,FALSE),'Land data'!G22)))</f>
        <v>0.30558829546334554</v>
      </c>
    </row>
    <row r="23" spans="1:10" x14ac:dyDescent="0.2">
      <c r="A23" s="21" t="s">
        <v>707</v>
      </c>
      <c r="B23" s="21" t="s">
        <v>391</v>
      </c>
      <c r="C23" s="21" t="s">
        <v>3025</v>
      </c>
      <c r="D23" s="21">
        <v>18.78</v>
      </c>
      <c r="E23" s="21">
        <v>9280</v>
      </c>
      <c r="F23" s="21">
        <f t="shared" si="0"/>
        <v>494.14270500532479</v>
      </c>
      <c r="G23" s="21">
        <f t="shared" si="1"/>
        <v>0.4356207542879349</v>
      </c>
      <c r="H23" s="21"/>
      <c r="I23" s="21"/>
      <c r="J23" s="89">
        <f>IF(I23="Yes",VLOOKUP(B23,'Other corrections needed'!$A$11:$K$17,11,FALSE),IF('Land data'!G23=0,VLOOKUP('Land data'!H23,'Other corrections needed'!$A$3:$E$6,5,FALSE),IF(ISERR('Land data'!G23),VLOOKUP('Land data'!H23,'Other corrections needed'!$A$3:$E$6,5,FALSE),'Land data'!G23)))</f>
        <v>0.4356207542879349</v>
      </c>
    </row>
    <row r="24" spans="1:10" x14ac:dyDescent="0.2">
      <c r="A24" s="21" t="s">
        <v>707</v>
      </c>
      <c r="B24" s="21" t="s">
        <v>594</v>
      </c>
      <c r="C24" s="21" t="s">
        <v>2989</v>
      </c>
      <c r="D24" s="21">
        <v>8.86</v>
      </c>
      <c r="E24" s="21">
        <v>25865</v>
      </c>
      <c r="F24" s="21">
        <f t="shared" si="0"/>
        <v>2919.3002257336343</v>
      </c>
      <c r="G24" s="21">
        <f t="shared" si="1"/>
        <v>2.573563777114388</v>
      </c>
      <c r="H24" s="21" t="s">
        <v>533</v>
      </c>
      <c r="I24" s="21"/>
      <c r="J24" s="89">
        <f>IF(I24="Yes",VLOOKUP(B24,'Other corrections needed'!$A$11:$K$17,11,FALSE),IF('Land data'!G24=0,VLOOKUP('Land data'!H24,'Other corrections needed'!$A$3:$E$6,5,FALSE),IF(ISERR('Land data'!G24),VLOOKUP('Land data'!H24,'Other corrections needed'!$A$3:$E$6,5,FALSE),'Land data'!G24)))</f>
        <v>2.573563777114388</v>
      </c>
    </row>
    <row r="25" spans="1:10" x14ac:dyDescent="0.2">
      <c r="A25" s="21" t="s">
        <v>707</v>
      </c>
      <c r="B25" s="21" t="s">
        <v>3670</v>
      </c>
      <c r="C25" s="21" t="s">
        <v>3547</v>
      </c>
      <c r="D25" s="21">
        <v>19.084</v>
      </c>
      <c r="E25" s="21">
        <v>12482</v>
      </c>
      <c r="F25" s="21">
        <f t="shared" si="0"/>
        <v>654.05575351079437</v>
      </c>
      <c r="G25" s="21">
        <f t="shared" si="1"/>
        <v>0.57659509652715735</v>
      </c>
      <c r="H25" s="21"/>
      <c r="I25" s="21"/>
      <c r="J25" s="89">
        <f>IF(I25="Yes",VLOOKUP(B25,'Other corrections needed'!$A$11:$K$17,11,FALSE),IF('Land data'!G25=0,VLOOKUP('Land data'!H25,'Other corrections needed'!$A$3:$E$6,5,FALSE),IF(ISERR('Land data'!G25),VLOOKUP('Land data'!H25,'Other corrections needed'!$A$3:$E$6,5,FALSE),'Land data'!G25)))</f>
        <v>0.57659509652715735</v>
      </c>
    </row>
    <row r="26" spans="1:10" x14ac:dyDescent="0.2">
      <c r="A26" s="21" t="s">
        <v>707</v>
      </c>
      <c r="B26" s="21" t="s">
        <v>2271</v>
      </c>
      <c r="C26" s="21" t="s">
        <v>1130</v>
      </c>
      <c r="D26" s="21">
        <v>8.35</v>
      </c>
      <c r="E26" s="21">
        <v>12895</v>
      </c>
      <c r="F26" s="21">
        <f t="shared" si="0"/>
        <v>1544.311377245509</v>
      </c>
      <c r="G26" s="21">
        <f t="shared" si="1"/>
        <v>1.3614166114298478</v>
      </c>
      <c r="H26" s="21"/>
      <c r="I26" s="21"/>
      <c r="J26" s="89">
        <f>IF(I26="Yes",VLOOKUP(B26,'Other corrections needed'!$A$11:$K$17,11,FALSE),IF('Land data'!G26=0,VLOOKUP('Land data'!H26,'Other corrections needed'!$A$3:$E$6,5,FALSE),IF(ISERR('Land data'!G26),VLOOKUP('Land data'!H26,'Other corrections needed'!$A$3:$E$6,5,FALSE),'Land data'!G26)))</f>
        <v>1.3614166114298478</v>
      </c>
    </row>
    <row r="27" spans="1:10" x14ac:dyDescent="0.2">
      <c r="A27" s="21" t="s">
        <v>707</v>
      </c>
      <c r="B27" s="21" t="s">
        <v>2345</v>
      </c>
      <c r="C27" s="21" t="s">
        <v>3440</v>
      </c>
      <c r="D27" s="21">
        <v>5.3048999999999999</v>
      </c>
      <c r="E27" s="21">
        <v>16053</v>
      </c>
      <c r="F27" s="21">
        <f t="shared" si="0"/>
        <v>3026.0702369507435</v>
      </c>
      <c r="G27" s="21">
        <f t="shared" si="1"/>
        <v>2.6676888797428426</v>
      </c>
      <c r="H27" s="21" t="s">
        <v>3772</v>
      </c>
      <c r="I27" s="21"/>
      <c r="J27" s="89">
        <f>IF(I27="Yes",VLOOKUP(B27,'Other corrections needed'!$A$11:$K$17,11,FALSE),IF('Land data'!G27=0,VLOOKUP('Land data'!H27,'Other corrections needed'!$A$3:$E$6,5,FALSE),IF(ISERR('Land data'!G27),VLOOKUP('Land data'!H27,'Other corrections needed'!$A$3:$E$6,5,FALSE),'Land data'!G27)))</f>
        <v>2.6676888797428426</v>
      </c>
    </row>
    <row r="28" spans="1:10" x14ac:dyDescent="0.2">
      <c r="A28" s="21" t="s">
        <v>707</v>
      </c>
      <c r="B28" s="21" t="s">
        <v>379</v>
      </c>
      <c r="C28" s="21" t="s">
        <v>1148</v>
      </c>
      <c r="D28" s="21">
        <v>10.34</v>
      </c>
      <c r="E28" s="21">
        <v>14100</v>
      </c>
      <c r="F28" s="21">
        <f t="shared" si="0"/>
        <v>1363.6363636363637</v>
      </c>
      <c r="G28" s="21">
        <f t="shared" si="1"/>
        <v>1.2021391700912154</v>
      </c>
      <c r="H28" s="21"/>
      <c r="I28" s="21"/>
      <c r="J28" s="89">
        <f>IF(I28="Yes",VLOOKUP(B28,'Other corrections needed'!$A$11:$K$17,11,FALSE),IF('Land data'!G28=0,VLOOKUP('Land data'!H28,'Other corrections needed'!$A$3:$E$6,5,FALSE),IF(ISERR('Land data'!G28),VLOOKUP('Land data'!H28,'Other corrections needed'!$A$3:$E$6,5,FALSE),'Land data'!G28)))</f>
        <v>1.2021391700912154</v>
      </c>
    </row>
    <row r="29" spans="1:10" x14ac:dyDescent="0.2">
      <c r="A29" s="21" t="s">
        <v>707</v>
      </c>
      <c r="B29" s="21" t="s">
        <v>703</v>
      </c>
      <c r="C29" s="21" t="s">
        <v>3067</v>
      </c>
      <c r="D29" s="21">
        <v>11.261800000000001</v>
      </c>
      <c r="E29" s="21">
        <v>9010</v>
      </c>
      <c r="F29" s="21">
        <f t="shared" si="0"/>
        <v>800.04972562112619</v>
      </c>
      <c r="G29" s="21">
        <f t="shared" si="1"/>
        <v>0.70529881633924918</v>
      </c>
      <c r="H29" s="21"/>
      <c r="I29" s="21"/>
      <c r="J29" s="89">
        <f>IF(I29="Yes",VLOOKUP(B29,'Other corrections needed'!$A$11:$K$17,11,FALSE),IF('Land data'!G29=0,VLOOKUP('Land data'!H29,'Other corrections needed'!$A$3:$E$6,5,FALSE),IF(ISERR('Land data'!G29),VLOOKUP('Land data'!H29,'Other corrections needed'!$A$3:$E$6,5,FALSE),'Land data'!G29)))</f>
        <v>0.70529881633924918</v>
      </c>
    </row>
    <row r="30" spans="1:10" x14ac:dyDescent="0.2">
      <c r="A30" s="21" t="s">
        <v>707</v>
      </c>
      <c r="B30" s="21" t="s">
        <v>2772</v>
      </c>
      <c r="C30" s="21" t="s">
        <v>3059</v>
      </c>
      <c r="D30" s="21">
        <v>16.78</v>
      </c>
      <c r="E30" s="21">
        <v>8888</v>
      </c>
      <c r="F30" s="21">
        <f t="shared" si="0"/>
        <v>529.67818831942782</v>
      </c>
      <c r="G30" s="21">
        <f t="shared" si="1"/>
        <v>0.46694772499593934</v>
      </c>
      <c r="H30" s="21"/>
      <c r="I30" s="21"/>
      <c r="J30" s="89">
        <f>IF(I30="Yes",VLOOKUP(B30,'Other corrections needed'!$A$11:$K$17,11,FALSE),IF('Land data'!G30=0,VLOOKUP('Land data'!H30,'Other corrections needed'!$A$3:$E$6,5,FALSE),IF(ISERR('Land data'!G30),VLOOKUP('Land data'!H30,'Other corrections needed'!$A$3:$E$6,5,FALSE),'Land data'!G30)))</f>
        <v>0.46694772499593934</v>
      </c>
    </row>
    <row r="31" spans="1:10" x14ac:dyDescent="0.2">
      <c r="A31" s="21" t="s">
        <v>707</v>
      </c>
      <c r="B31" s="21" t="s">
        <v>2387</v>
      </c>
      <c r="C31" s="21" t="s">
        <v>3045</v>
      </c>
      <c r="D31" s="21">
        <v>8.5449999999999999</v>
      </c>
      <c r="E31" s="21">
        <v>3800</v>
      </c>
      <c r="F31" s="21">
        <f t="shared" si="0"/>
        <v>444.70450555880632</v>
      </c>
      <c r="G31" s="21">
        <f t="shared" si="1"/>
        <v>0.39203758384874432</v>
      </c>
      <c r="H31" s="21"/>
      <c r="I31" s="21"/>
      <c r="J31" s="89">
        <f>IF(I31="Yes",VLOOKUP(B31,'Other corrections needed'!$A$11:$K$17,11,FALSE),IF('Land data'!G31=0,VLOOKUP('Land data'!H31,'Other corrections needed'!$A$3:$E$6,5,FALSE),IF(ISERR('Land data'!G31),VLOOKUP('Land data'!H31,'Other corrections needed'!$A$3:$E$6,5,FALSE),'Land data'!G31)))</f>
        <v>0.39203758384874432</v>
      </c>
    </row>
    <row r="32" spans="1:10" x14ac:dyDescent="0.2">
      <c r="A32" s="21" t="s">
        <v>707</v>
      </c>
      <c r="B32" s="21" t="s">
        <v>3380</v>
      </c>
      <c r="C32" s="21" t="s">
        <v>3035</v>
      </c>
      <c r="D32" s="21">
        <v>17</v>
      </c>
      <c r="E32" s="21">
        <v>2103</v>
      </c>
      <c r="F32" s="21">
        <f t="shared" si="0"/>
        <v>123.70588235294117</v>
      </c>
      <c r="G32" s="21">
        <f t="shared" si="1"/>
        <v>0.10905523694792191</v>
      </c>
      <c r="H32" s="21"/>
      <c r="I32" s="21"/>
      <c r="J32" s="89">
        <f>IF(I32="Yes",VLOOKUP(B32,'Other corrections needed'!$A$11:$K$17,11,FALSE),IF('Land data'!G32=0,VLOOKUP('Land data'!H32,'Other corrections needed'!$A$3:$E$6,5,FALSE),IF(ISERR('Land data'!G32),VLOOKUP('Land data'!H32,'Other corrections needed'!$A$3:$E$6,5,FALSE),'Land data'!G32)))</f>
        <v>0.10905523694792191</v>
      </c>
    </row>
    <row r="33" spans="1:10" x14ac:dyDescent="0.2">
      <c r="A33" s="21" t="s">
        <v>707</v>
      </c>
      <c r="B33" s="21" t="s">
        <v>2776</v>
      </c>
      <c r="C33" s="21" t="s">
        <v>3060</v>
      </c>
      <c r="D33" s="21">
        <v>3.2794999999999996</v>
      </c>
      <c r="E33" s="21">
        <v>4837</v>
      </c>
      <c r="F33" s="21">
        <f t="shared" si="0"/>
        <v>1474.9199573105659</v>
      </c>
      <c r="G33" s="21">
        <f t="shared" si="1"/>
        <v>1.3002433058503493</v>
      </c>
      <c r="H33" s="21"/>
      <c r="I33" s="21"/>
      <c r="J33" s="89">
        <f>IF(I33="Yes",VLOOKUP(B33,'Other corrections needed'!$A$11:$K$17,11,FALSE),IF('Land data'!G33=0,VLOOKUP('Land data'!H33,'Other corrections needed'!$A$3:$E$6,5,FALSE),IF(ISERR('Land data'!G33),VLOOKUP('Land data'!H33,'Other corrections needed'!$A$3:$E$6,5,FALSE),'Land data'!G33)))</f>
        <v>1.3002433058503493</v>
      </c>
    </row>
    <row r="34" spans="1:10" x14ac:dyDescent="0.2">
      <c r="A34" s="21" t="s">
        <v>707</v>
      </c>
      <c r="B34" s="21" t="s">
        <v>606</v>
      </c>
      <c r="C34" s="21" t="s">
        <v>1160</v>
      </c>
      <c r="D34" s="21">
        <v>19.02</v>
      </c>
      <c r="E34" s="21">
        <v>5232</v>
      </c>
      <c r="F34" s="21">
        <f t="shared" si="0"/>
        <v>275.07886435331233</v>
      </c>
      <c r="G34" s="21">
        <f t="shared" si="1"/>
        <v>0.24250092364910492</v>
      </c>
      <c r="H34" s="21"/>
      <c r="I34" s="21"/>
      <c r="J34" s="89">
        <f>IF(I34="Yes",VLOOKUP(B34,'Other corrections needed'!$A$11:$K$17,11,FALSE),IF('Land data'!G34=0,VLOOKUP('Land data'!H34,'Other corrections needed'!$A$3:$E$6,5,FALSE),IF(ISERR('Land data'!G34),VLOOKUP('Land data'!H34,'Other corrections needed'!$A$3:$E$6,5,FALSE),'Land data'!G34)))</f>
        <v>0.24250092364910492</v>
      </c>
    </row>
    <row r="35" spans="1:10" x14ac:dyDescent="0.2">
      <c r="A35" s="21" t="s">
        <v>707</v>
      </c>
      <c r="B35" s="21" t="s">
        <v>3730</v>
      </c>
      <c r="C35" s="21" t="s">
        <v>3556</v>
      </c>
      <c r="D35" s="21">
        <v>19.5</v>
      </c>
      <c r="E35" s="21">
        <v>48673</v>
      </c>
      <c r="F35" s="21">
        <f t="shared" si="0"/>
        <v>2496.0512820512822</v>
      </c>
      <c r="G35" s="21">
        <f t="shared" si="1"/>
        <v>2.2004407455875112</v>
      </c>
      <c r="H35" s="21"/>
      <c r="I35" s="21"/>
      <c r="J35" s="89">
        <f>IF(I35="Yes",VLOOKUP(B35,'Other corrections needed'!$A$11:$K$17,11,FALSE),IF('Land data'!G35=0,VLOOKUP('Land data'!H35,'Other corrections needed'!$A$3:$E$6,5,FALSE),IF(ISERR('Land data'!G35),VLOOKUP('Land data'!H35,'Other corrections needed'!$A$3:$E$6,5,FALSE),'Land data'!G35)))</f>
        <v>2.2004407455875112</v>
      </c>
    </row>
    <row r="36" spans="1:10" x14ac:dyDescent="0.2">
      <c r="A36" s="21" t="s">
        <v>707</v>
      </c>
      <c r="B36" s="21" t="s">
        <v>3700</v>
      </c>
      <c r="C36" s="21" t="s">
        <v>3550</v>
      </c>
      <c r="D36" s="21">
        <v>5.72</v>
      </c>
      <c r="E36" s="21">
        <v>12920</v>
      </c>
      <c r="F36" s="21">
        <f t="shared" si="0"/>
        <v>2258.7412587412587</v>
      </c>
      <c r="G36" s="21">
        <f t="shared" si="1"/>
        <v>1.9912356509716029</v>
      </c>
      <c r="H36" s="21"/>
      <c r="I36" s="21"/>
      <c r="J36" s="89">
        <f>IF(I36="Yes",VLOOKUP(B36,'Other corrections needed'!$A$11:$K$17,11,FALSE),IF('Land data'!G36=0,VLOOKUP('Land data'!H36,'Other corrections needed'!$A$3:$E$6,5,FALSE),IF(ISERR('Land data'!G36),VLOOKUP('Land data'!H36,'Other corrections needed'!$A$3:$E$6,5,FALSE),'Land data'!G36)))</f>
        <v>1.9912356509716029</v>
      </c>
    </row>
    <row r="37" spans="1:10" x14ac:dyDescent="0.2">
      <c r="A37" s="21" t="s">
        <v>707</v>
      </c>
      <c r="B37" s="21" t="s">
        <v>2391</v>
      </c>
      <c r="C37" s="21" t="s">
        <v>198</v>
      </c>
      <c r="D37" s="21">
        <v>42.1327</v>
      </c>
      <c r="E37" s="21">
        <v>19232</v>
      </c>
      <c r="F37" s="21">
        <f t="shared" si="0"/>
        <v>456.46255758591309</v>
      </c>
      <c r="G37" s="21">
        <f t="shared" si="1"/>
        <v>0.40240311477963164</v>
      </c>
      <c r="H37" s="21"/>
      <c r="I37" s="21"/>
      <c r="J37" s="89">
        <f>IF(I37="Yes",VLOOKUP(B37,'Other corrections needed'!$A$11:$K$17,11,FALSE),IF('Land data'!G37=0,VLOOKUP('Land data'!H37,'Other corrections needed'!$A$3:$E$6,5,FALSE),IF(ISERR('Land data'!G37),VLOOKUP('Land data'!H37,'Other corrections needed'!$A$3:$E$6,5,FALSE),'Land data'!G37)))</f>
        <v>0.40240311477963164</v>
      </c>
    </row>
    <row r="38" spans="1:10" x14ac:dyDescent="0.2">
      <c r="A38" s="21" t="s">
        <v>707</v>
      </c>
      <c r="B38" s="21" t="s">
        <v>399</v>
      </c>
      <c r="C38" s="21" t="s">
        <v>199</v>
      </c>
      <c r="D38" s="21">
        <v>15.528600000000001</v>
      </c>
      <c r="E38" s="21">
        <v>23348</v>
      </c>
      <c r="F38" s="21">
        <f t="shared" si="0"/>
        <v>1503.5482915394819</v>
      </c>
      <c r="G38" s="21">
        <f t="shared" si="1"/>
        <v>1.3254811499477808</v>
      </c>
      <c r="H38" s="21"/>
      <c r="I38" s="21"/>
      <c r="J38" s="89">
        <f>IF(I38="Yes",VLOOKUP(B38,'Other corrections needed'!$A$11:$K$17,11,FALSE),IF('Land data'!G38=0,VLOOKUP('Land data'!H38,'Other corrections needed'!$A$3:$E$6,5,FALSE),IF(ISERR('Land data'!G38),VLOOKUP('Land data'!H38,'Other corrections needed'!$A$3:$E$6,5,FALSE),'Land data'!G38)))</f>
        <v>1.3254811499477808</v>
      </c>
    </row>
    <row r="39" spans="1:10" x14ac:dyDescent="0.2">
      <c r="A39" s="21" t="s">
        <v>707</v>
      </c>
      <c r="B39" s="21" t="s">
        <v>2269</v>
      </c>
      <c r="C39" s="21" t="s">
        <v>1128</v>
      </c>
      <c r="D39" s="21">
        <v>18.84</v>
      </c>
      <c r="E39" s="21">
        <v>33139</v>
      </c>
      <c r="F39" s="21">
        <f t="shared" si="0"/>
        <v>1758.9702760084926</v>
      </c>
      <c r="G39" s="21">
        <f t="shared" si="1"/>
        <v>1.5506531830650414</v>
      </c>
      <c r="H39" s="21"/>
      <c r="I39" s="21"/>
      <c r="J39" s="89">
        <f>IF(I39="Yes",VLOOKUP(B39,'Other corrections needed'!$A$11:$K$17,11,FALSE),IF('Land data'!G39=0,VLOOKUP('Land data'!H39,'Other corrections needed'!$A$3:$E$6,5,FALSE),IF(ISERR('Land data'!G39),VLOOKUP('Land data'!H39,'Other corrections needed'!$A$3:$E$6,5,FALSE),'Land data'!G39)))</f>
        <v>1.5506531830650414</v>
      </c>
    </row>
    <row r="40" spans="1:10" x14ac:dyDescent="0.2">
      <c r="A40" s="21" t="s">
        <v>707</v>
      </c>
      <c r="B40" s="21" t="s">
        <v>2326</v>
      </c>
      <c r="C40" s="21" t="s">
        <v>1135</v>
      </c>
      <c r="D40" s="21">
        <v>15.39</v>
      </c>
      <c r="E40" s="21">
        <v>40435</v>
      </c>
      <c r="F40" s="21">
        <f t="shared" si="0"/>
        <v>2627.3554256010393</v>
      </c>
      <c r="G40" s="21">
        <f t="shared" si="1"/>
        <v>2.3161943719689027</v>
      </c>
      <c r="H40" s="21"/>
      <c r="I40" s="21"/>
      <c r="J40" s="89">
        <f>IF(I40="Yes",VLOOKUP(B40,'Other corrections needed'!$A$11:$K$17,11,FALSE),IF('Land data'!G40=0,VLOOKUP('Land data'!H40,'Other corrections needed'!$A$3:$E$6,5,FALSE),IF(ISERR('Land data'!G40),VLOOKUP('Land data'!H40,'Other corrections needed'!$A$3:$E$6,5,FALSE),'Land data'!G40)))</f>
        <v>2.3161943719689027</v>
      </c>
    </row>
    <row r="41" spans="1:10" x14ac:dyDescent="0.2">
      <c r="A41" s="21" t="s">
        <v>707</v>
      </c>
      <c r="B41" s="21" t="s">
        <v>545</v>
      </c>
      <c r="C41" s="21" t="s">
        <v>185</v>
      </c>
      <c r="D41" s="21">
        <v>11.26</v>
      </c>
      <c r="E41" s="21">
        <v>12020</v>
      </c>
      <c r="F41" s="21">
        <f t="shared" si="0"/>
        <v>1067.4955595026643</v>
      </c>
      <c r="G41" s="21">
        <f t="shared" si="1"/>
        <v>0.94107069904949969</v>
      </c>
      <c r="H41" s="21" t="s">
        <v>3795</v>
      </c>
      <c r="I41" s="21"/>
      <c r="J41" s="89">
        <f>IF(I41="Yes",VLOOKUP(B41,'Other corrections needed'!$A$11:$K$17,11,FALSE),IF('Land data'!G41=0,VLOOKUP('Land data'!H41,'Other corrections needed'!$A$3:$E$6,5,FALSE),IF(ISERR('Land data'!G41),VLOOKUP('Land data'!H41,'Other corrections needed'!$A$3:$E$6,5,FALSE),'Land data'!G41)))</f>
        <v>0.94107069904949969</v>
      </c>
    </row>
    <row r="42" spans="1:10" x14ac:dyDescent="0.2">
      <c r="A42" s="21" t="s">
        <v>707</v>
      </c>
      <c r="B42" s="21" t="s">
        <v>2365</v>
      </c>
      <c r="C42" s="21" t="s">
        <v>3506</v>
      </c>
      <c r="D42" s="21">
        <v>10.348000000000001</v>
      </c>
      <c r="E42" s="21">
        <v>16630</v>
      </c>
      <c r="F42" s="21">
        <f t="shared" si="0"/>
        <v>1607.0738306919211</v>
      </c>
      <c r="G42" s="21">
        <f t="shared" si="1"/>
        <v>1.4167460274757506</v>
      </c>
      <c r="H42" s="21"/>
      <c r="I42" s="21"/>
      <c r="J42" s="89">
        <f>IF(I42="Yes",VLOOKUP(B42,'Other corrections needed'!$A$11:$K$17,11,FALSE),IF('Land data'!G42=0,VLOOKUP('Land data'!H42,'Other corrections needed'!$A$3:$E$6,5,FALSE),IF(ISERR('Land data'!G42),VLOOKUP('Land data'!H42,'Other corrections needed'!$A$3:$E$6,5,FALSE),'Land data'!G42)))</f>
        <v>1.4167460274757506</v>
      </c>
    </row>
    <row r="43" spans="1:10" x14ac:dyDescent="0.2">
      <c r="A43" s="21" t="s">
        <v>707</v>
      </c>
      <c r="B43" s="21" t="s">
        <v>2341</v>
      </c>
      <c r="C43" s="21" t="s">
        <v>3539</v>
      </c>
      <c r="D43" s="21">
        <v>16.8218</v>
      </c>
      <c r="E43" s="21">
        <v>31004</v>
      </c>
      <c r="F43" s="21">
        <f t="shared" si="0"/>
        <v>1843.0845688332997</v>
      </c>
      <c r="G43" s="21">
        <f t="shared" si="1"/>
        <v>1.6248057129224716</v>
      </c>
      <c r="H43" s="21"/>
      <c r="I43" s="21"/>
      <c r="J43" s="89">
        <f>IF(I43="Yes",VLOOKUP(B43,'Other corrections needed'!$A$11:$K$17,11,FALSE),IF('Land data'!G43=0,VLOOKUP('Land data'!H43,'Other corrections needed'!$A$3:$E$6,5,FALSE),IF(ISERR('Land data'!G43),VLOOKUP('Land data'!H43,'Other corrections needed'!$A$3:$E$6,5,FALSE),'Land data'!G43)))</f>
        <v>1.6248057129224716</v>
      </c>
    </row>
    <row r="44" spans="1:10" x14ac:dyDescent="0.2">
      <c r="A44" s="21" t="s">
        <v>707</v>
      </c>
      <c r="B44" s="21" t="s">
        <v>610</v>
      </c>
      <c r="C44" s="21" t="s">
        <v>3551</v>
      </c>
      <c r="D44" s="21">
        <v>22.04</v>
      </c>
      <c r="E44" s="21">
        <v>31322</v>
      </c>
      <c r="F44" s="21">
        <f t="shared" si="0"/>
        <v>1421.1433756805809</v>
      </c>
      <c r="G44" s="21">
        <f t="shared" si="1"/>
        <v>1.2528355533622733</v>
      </c>
      <c r="H44" s="21"/>
      <c r="I44" s="21"/>
      <c r="J44" s="89">
        <f>IF(I44="Yes",VLOOKUP(B44,'Other corrections needed'!$A$11:$K$17,11,FALSE),IF('Land data'!G44=0,VLOOKUP('Land data'!H44,'Other corrections needed'!$A$3:$E$6,5,FALSE),IF(ISERR('Land data'!G44),VLOOKUP('Land data'!H44,'Other corrections needed'!$A$3:$E$6,5,FALSE),'Land data'!G44)))</f>
        <v>1.2528355533622733</v>
      </c>
    </row>
    <row r="45" spans="1:10" x14ac:dyDescent="0.2">
      <c r="A45" s="21" t="s">
        <v>707</v>
      </c>
      <c r="B45" s="21" t="s">
        <v>558</v>
      </c>
      <c r="C45" s="21" t="s">
        <v>645</v>
      </c>
      <c r="D45" s="21">
        <v>16.190000000000001</v>
      </c>
      <c r="E45" s="21">
        <v>19232</v>
      </c>
      <c r="F45" s="21">
        <f t="shared" si="0"/>
        <v>1187.8937615812229</v>
      </c>
      <c r="G45" s="21">
        <f t="shared" si="1"/>
        <v>1.0472099885161077</v>
      </c>
      <c r="H45" s="21"/>
      <c r="I45" s="21"/>
      <c r="J45" s="89">
        <f>IF(I45="Yes",VLOOKUP(B45,'Other corrections needed'!$A$11:$K$17,11,FALSE),IF('Land data'!G45=0,VLOOKUP('Land data'!H45,'Other corrections needed'!$A$3:$E$6,5,FALSE),IF(ISERR('Land data'!G45),VLOOKUP('Land data'!H45,'Other corrections needed'!$A$3:$E$6,5,FALSE),'Land data'!G45)))</f>
        <v>1.0472099885161077</v>
      </c>
    </row>
    <row r="46" spans="1:10" x14ac:dyDescent="0.2">
      <c r="A46" s="21" t="s">
        <v>707</v>
      </c>
      <c r="B46" s="21" t="s">
        <v>3716</v>
      </c>
      <c r="C46" s="21" t="s">
        <v>3552</v>
      </c>
      <c r="D46" s="21">
        <v>23.87</v>
      </c>
      <c r="E46" s="21">
        <v>23173</v>
      </c>
      <c r="F46" s="21">
        <f t="shared" si="0"/>
        <v>970.80016757436113</v>
      </c>
      <c r="G46" s="21">
        <f t="shared" si="1"/>
        <v>0.85582706569965394</v>
      </c>
      <c r="H46" s="21"/>
      <c r="I46" s="21"/>
      <c r="J46" s="89">
        <f>IF(I46="Yes",VLOOKUP(B46,'Other corrections needed'!$A$11:$K$17,11,FALSE),IF('Land data'!G46=0,VLOOKUP('Land data'!H46,'Other corrections needed'!$A$3:$E$6,5,FALSE),IF(ISERR('Land data'!G46),VLOOKUP('Land data'!H46,'Other corrections needed'!$A$3:$E$6,5,FALSE),'Land data'!G46)))</f>
        <v>0.85582706569965394</v>
      </c>
    </row>
    <row r="47" spans="1:10" x14ac:dyDescent="0.2">
      <c r="A47" s="21" t="s">
        <v>707</v>
      </c>
      <c r="B47" s="21" t="s">
        <v>3378</v>
      </c>
      <c r="C47" s="21" t="s">
        <v>2978</v>
      </c>
      <c r="D47" s="21">
        <v>39.94</v>
      </c>
      <c r="E47" s="21">
        <v>12714</v>
      </c>
      <c r="F47" s="21">
        <f t="shared" si="0"/>
        <v>318.32749123685528</v>
      </c>
      <c r="G47" s="21">
        <f t="shared" si="1"/>
        <v>0.28062756049730736</v>
      </c>
      <c r="H47" s="21"/>
      <c r="I47" s="21"/>
      <c r="J47" s="89">
        <f>IF(I47="Yes",VLOOKUP(B47,'Other corrections needed'!$A$11:$K$17,11,FALSE),IF('Land data'!G47=0,VLOOKUP('Land data'!H47,'Other corrections needed'!$A$3:$E$6,5,FALSE),IF(ISERR('Land data'!G47),VLOOKUP('Land data'!H47,'Other corrections needed'!$A$3:$E$6,5,FALSE),'Land data'!G47)))</f>
        <v>0.28062756049730736</v>
      </c>
    </row>
    <row r="48" spans="1:10" x14ac:dyDescent="0.2">
      <c r="A48" s="21" t="s">
        <v>707</v>
      </c>
      <c r="B48" s="21" t="s">
        <v>2324</v>
      </c>
      <c r="C48" s="21" t="s">
        <v>2990</v>
      </c>
      <c r="D48" s="21">
        <v>4.68</v>
      </c>
      <c r="E48" s="21">
        <v>3200</v>
      </c>
      <c r="F48" s="21">
        <f t="shared" si="0"/>
        <v>683.76068376068383</v>
      </c>
      <c r="G48" s="21">
        <f t="shared" si="1"/>
        <v>0.60278203400585162</v>
      </c>
      <c r="H48" s="21"/>
      <c r="I48" s="21"/>
      <c r="J48" s="89">
        <f>IF(I48="Yes",VLOOKUP(B48,'Other corrections needed'!$A$11:$K$17,11,FALSE),IF('Land data'!G48=0,VLOOKUP('Land data'!H48,'Other corrections needed'!$A$3:$E$6,5,FALSE),IF(ISERR('Land data'!G48),VLOOKUP('Land data'!H48,'Other corrections needed'!$A$3:$E$6,5,FALSE),'Land data'!G48)))</f>
        <v>0.60278203400585162</v>
      </c>
    </row>
    <row r="49" spans="1:10" x14ac:dyDescent="0.2">
      <c r="A49" s="21" t="s">
        <v>707</v>
      </c>
      <c r="B49" s="21" t="s">
        <v>375</v>
      </c>
      <c r="C49" s="21" t="s">
        <v>3005</v>
      </c>
      <c r="D49" s="21">
        <v>5.26</v>
      </c>
      <c r="E49" s="21">
        <v>4365</v>
      </c>
      <c r="F49" s="21">
        <f t="shared" si="0"/>
        <v>829.8479087452472</v>
      </c>
      <c r="G49" s="21">
        <f t="shared" si="1"/>
        <v>0.7315679626353575</v>
      </c>
      <c r="H49" s="21"/>
      <c r="I49" s="21"/>
      <c r="J49" s="89">
        <f>IF(I49="Yes",VLOOKUP(B49,'Other corrections needed'!$A$11:$K$17,11,FALSE),IF('Land data'!G49=0,VLOOKUP('Land data'!H49,'Other corrections needed'!$A$3:$E$6,5,FALSE),IF(ISERR('Land data'!G49),VLOOKUP('Land data'!H49,'Other corrections needed'!$A$3:$E$6,5,FALSE),'Land data'!G49)))</f>
        <v>0.7315679626353575</v>
      </c>
    </row>
    <row r="50" spans="1:10" x14ac:dyDescent="0.2">
      <c r="A50" s="21" t="s">
        <v>707</v>
      </c>
      <c r="B50" s="21" t="s">
        <v>3872</v>
      </c>
      <c r="C50" s="21" t="s">
        <v>3026</v>
      </c>
      <c r="D50" s="21">
        <v>3.2</v>
      </c>
      <c r="E50" s="21">
        <v>2158</v>
      </c>
      <c r="F50" s="21">
        <f t="shared" si="0"/>
        <v>674.375</v>
      </c>
      <c r="G50" s="21">
        <f t="shared" si="1"/>
        <v>0.59450790874219317</v>
      </c>
      <c r="H50" s="21"/>
      <c r="I50" s="21"/>
      <c r="J50" s="89">
        <f>IF(I50="Yes",VLOOKUP(B50,'Other corrections needed'!$A$11:$K$17,11,FALSE),IF('Land data'!G50=0,VLOOKUP('Land data'!H50,'Other corrections needed'!$A$3:$E$6,5,FALSE),IF(ISERR('Land data'!G50),VLOOKUP('Land data'!H50,'Other corrections needed'!$A$3:$E$6,5,FALSE),'Land data'!G50)))</f>
        <v>0.59450790874219317</v>
      </c>
    </row>
    <row r="51" spans="1:10" x14ac:dyDescent="0.2">
      <c r="A51" s="21" t="s">
        <v>707</v>
      </c>
      <c r="B51" s="21" t="s">
        <v>3388</v>
      </c>
      <c r="C51" s="21" t="s">
        <v>1168</v>
      </c>
      <c r="D51" s="21">
        <v>31.11</v>
      </c>
      <c r="E51" s="21">
        <v>51416</v>
      </c>
      <c r="F51" s="21">
        <f t="shared" si="0"/>
        <v>1652.716168434587</v>
      </c>
      <c r="G51" s="21">
        <f t="shared" si="1"/>
        <v>1.456982884953411</v>
      </c>
      <c r="H51" s="21" t="s">
        <v>3778</v>
      </c>
      <c r="I51" s="21"/>
      <c r="J51" s="89">
        <f>IF(I51="Yes",VLOOKUP(B51,'Other corrections needed'!$A$11:$K$17,11,FALSE),IF('Land data'!G51=0,VLOOKUP('Land data'!H51,'Other corrections needed'!$A$3:$E$6,5,FALSE),IF(ISERR('Land data'!G51),VLOOKUP('Land data'!H51,'Other corrections needed'!$A$3:$E$6,5,FALSE),'Land data'!G51)))</f>
        <v>1.456982884953411</v>
      </c>
    </row>
    <row r="52" spans="1:10" x14ac:dyDescent="0.2">
      <c r="A52" s="21" t="s">
        <v>707</v>
      </c>
      <c r="B52" s="21" t="s">
        <v>2265</v>
      </c>
      <c r="C52" s="21" t="s">
        <v>3037</v>
      </c>
      <c r="D52" s="21">
        <v>8.1999999999999993</v>
      </c>
      <c r="E52" s="21">
        <v>4715</v>
      </c>
      <c r="F52" s="21">
        <f t="shared" si="0"/>
        <v>575</v>
      </c>
      <c r="G52" s="21">
        <f t="shared" si="1"/>
        <v>0.5069020167217958</v>
      </c>
      <c r="H52" s="21"/>
      <c r="I52" s="21"/>
      <c r="J52" s="89">
        <f>IF(I52="Yes",VLOOKUP(B52,'Other corrections needed'!$A$11:$K$17,11,FALSE),IF('Land data'!G52=0,VLOOKUP('Land data'!H52,'Other corrections needed'!$A$3:$E$6,5,FALSE),IF(ISERR('Land data'!G52),VLOOKUP('Land data'!H52,'Other corrections needed'!$A$3:$E$6,5,FALSE),'Land data'!G52)))</f>
        <v>0.5069020167217958</v>
      </c>
    </row>
    <row r="53" spans="1:10" x14ac:dyDescent="0.2">
      <c r="A53" s="21" t="s">
        <v>707</v>
      </c>
      <c r="B53" s="21" t="s">
        <v>608</v>
      </c>
      <c r="C53" s="21" t="s">
        <v>3065</v>
      </c>
      <c r="D53" s="21">
        <v>21.154</v>
      </c>
      <c r="E53" s="21">
        <v>6450</v>
      </c>
      <c r="F53" s="21">
        <f t="shared" si="0"/>
        <v>304.90687340455707</v>
      </c>
      <c r="G53" s="21">
        <f t="shared" si="1"/>
        <v>0.26879636354975178</v>
      </c>
      <c r="H53" s="21"/>
      <c r="I53" s="21"/>
      <c r="J53" s="89">
        <f>IF(I53="Yes",VLOOKUP(B53,'Other corrections needed'!$A$11:$K$17,11,FALSE),IF('Land data'!G53=0,VLOOKUP('Land data'!H53,'Other corrections needed'!$A$3:$E$6,5,FALSE),IF(ISERR('Land data'!G53),VLOOKUP('Land data'!H53,'Other corrections needed'!$A$3:$E$6,5,FALSE),'Land data'!G53)))</f>
        <v>0.26879636354975178</v>
      </c>
    </row>
    <row r="54" spans="1:10" x14ac:dyDescent="0.2">
      <c r="A54" s="21" t="s">
        <v>707</v>
      </c>
      <c r="B54" s="21" t="s">
        <v>2320</v>
      </c>
      <c r="C54" s="21" t="s">
        <v>3070</v>
      </c>
      <c r="D54" s="21">
        <v>33</v>
      </c>
      <c r="E54" s="21">
        <v>19300</v>
      </c>
      <c r="F54" s="21">
        <f t="shared" si="0"/>
        <v>584.84848484848487</v>
      </c>
      <c r="G54" s="21">
        <f t="shared" si="1"/>
        <v>0.51558413295023242</v>
      </c>
      <c r="H54" s="21"/>
      <c r="I54" s="21"/>
      <c r="J54" s="89">
        <f>IF(I54="Yes",VLOOKUP(B54,'Other corrections needed'!$A$11:$K$17,11,FALSE),IF('Land data'!G54=0,VLOOKUP('Land data'!H54,'Other corrections needed'!$A$3:$E$6,5,FALSE),IF(ISERR('Land data'!G54),VLOOKUP('Land data'!H54,'Other corrections needed'!$A$3:$E$6,5,FALSE),'Land data'!G54)))</f>
        <v>0.51558413295023242</v>
      </c>
    </row>
    <row r="55" spans="1:10" x14ac:dyDescent="0.2">
      <c r="A55" s="21" t="s">
        <v>707</v>
      </c>
      <c r="B55" s="21" t="s">
        <v>680</v>
      </c>
      <c r="C55" s="21" t="s">
        <v>3396</v>
      </c>
      <c r="D55" s="21">
        <v>7.1</v>
      </c>
      <c r="E55" s="21">
        <v>24500</v>
      </c>
      <c r="F55" s="21">
        <f t="shared" si="0"/>
        <v>3450.7042253521126</v>
      </c>
      <c r="G55" s="21">
        <f t="shared" si="1"/>
        <v>3.0420329233763619</v>
      </c>
      <c r="H55" s="21" t="s">
        <v>3780</v>
      </c>
      <c r="I55" s="21"/>
      <c r="J55" s="89">
        <f>IF(I55="Yes",VLOOKUP(B55,'Other corrections needed'!$A$11:$K$17,11,FALSE),IF('Land data'!G55=0,VLOOKUP('Land data'!H55,'Other corrections needed'!$A$3:$E$6,5,FALSE),IF(ISERR('Land data'!G55),VLOOKUP('Land data'!H55,'Other corrections needed'!$A$3:$E$6,5,FALSE),'Land data'!G55)))</f>
        <v>3.0420329233763619</v>
      </c>
    </row>
    <row r="56" spans="1:10" x14ac:dyDescent="0.2">
      <c r="A56" s="21" t="s">
        <v>707</v>
      </c>
      <c r="B56" s="21" t="s">
        <v>689</v>
      </c>
      <c r="C56" s="21" t="s">
        <v>3493</v>
      </c>
      <c r="D56" s="21">
        <v>17.809999999999999</v>
      </c>
      <c r="E56" s="21">
        <v>53824</v>
      </c>
      <c r="F56" s="21">
        <f t="shared" si="0"/>
        <v>3022.1224031443012</v>
      </c>
      <c r="G56" s="21">
        <f t="shared" si="1"/>
        <v>2.6642085929286372</v>
      </c>
      <c r="H56" s="21" t="s">
        <v>3792</v>
      </c>
      <c r="I56" s="21"/>
      <c r="J56" s="89">
        <f>IF(I56="Yes",VLOOKUP(B56,'Other corrections needed'!$A$11:$K$17,11,FALSE),IF('Land data'!G56=0,VLOOKUP('Land data'!H56,'Other corrections needed'!$A$3:$E$6,5,FALSE),IF(ISERR('Land data'!G56),VLOOKUP('Land data'!H56,'Other corrections needed'!$A$3:$E$6,5,FALSE),'Land data'!G56)))</f>
        <v>2.6642085929286372</v>
      </c>
    </row>
    <row r="57" spans="1:10" x14ac:dyDescent="0.2">
      <c r="A57" s="21" t="s">
        <v>707</v>
      </c>
      <c r="B57" s="21" t="s">
        <v>361</v>
      </c>
      <c r="C57" s="21" t="s">
        <v>3051</v>
      </c>
      <c r="D57" s="21">
        <v>28.14</v>
      </c>
      <c r="E57" s="21">
        <v>4739</v>
      </c>
      <c r="F57" s="21">
        <f t="shared" si="0"/>
        <v>168.40796019900498</v>
      </c>
      <c r="G57" s="21">
        <f t="shared" si="1"/>
        <v>0.1484631907076166</v>
      </c>
      <c r="H57" s="21"/>
      <c r="I57" s="21"/>
      <c r="J57" s="89">
        <f>IF(I57="Yes",VLOOKUP(B57,'Other corrections needed'!$A$11:$K$17,11,FALSE),IF('Land data'!G57=0,VLOOKUP('Land data'!H57,'Other corrections needed'!$A$3:$E$6,5,FALSE),IF(ISERR('Land data'!G57),VLOOKUP('Land data'!H57,'Other corrections needed'!$A$3:$E$6,5,FALSE),'Land data'!G57)))</f>
        <v>0.1484631907076166</v>
      </c>
    </row>
    <row r="58" spans="1:10" x14ac:dyDescent="0.2">
      <c r="A58" s="21" t="s">
        <v>707</v>
      </c>
      <c r="B58" s="21" t="s">
        <v>3690</v>
      </c>
      <c r="C58" s="21" t="s">
        <v>1155</v>
      </c>
      <c r="D58" s="21">
        <v>17.760000000000002</v>
      </c>
      <c r="E58" s="21">
        <v>6367</v>
      </c>
      <c r="F58" s="21">
        <f t="shared" si="0"/>
        <v>358.50225225225222</v>
      </c>
      <c r="G58" s="21">
        <f t="shared" si="1"/>
        <v>0.31604437333212632</v>
      </c>
      <c r="H58" s="21"/>
      <c r="I58" s="21"/>
      <c r="J58" s="89">
        <f>IF(I58="Yes",VLOOKUP(B58,'Other corrections needed'!$A$11:$K$17,11,FALSE),IF('Land data'!G58=0,VLOOKUP('Land data'!H58,'Other corrections needed'!$A$3:$E$6,5,FALSE),IF(ISERR('Land data'!G58),VLOOKUP('Land data'!H58,'Other corrections needed'!$A$3:$E$6,5,FALSE),'Land data'!G58)))</f>
        <v>0.31604437333212632</v>
      </c>
    </row>
    <row r="59" spans="1:10" x14ac:dyDescent="0.2">
      <c r="A59" s="21" t="s">
        <v>707</v>
      </c>
      <c r="B59" s="21" t="s">
        <v>3696</v>
      </c>
      <c r="C59" s="21" t="s">
        <v>1156</v>
      </c>
      <c r="D59" s="21">
        <v>28.304000000000002</v>
      </c>
      <c r="E59" s="21">
        <v>43359</v>
      </c>
      <c r="F59" s="21">
        <f t="shared" si="0"/>
        <v>1531.9036178631995</v>
      </c>
      <c r="G59" s="21">
        <f t="shared" si="1"/>
        <v>1.3504783188143845</v>
      </c>
      <c r="H59" s="21"/>
      <c r="I59" s="21"/>
      <c r="J59" s="89">
        <f>IF(I59="Yes",VLOOKUP(B59,'Other corrections needed'!$A$11:$K$17,11,FALSE),IF('Land data'!G59=0,VLOOKUP('Land data'!H59,'Other corrections needed'!$A$3:$E$6,5,FALSE),IF(ISERR('Land data'!G59),VLOOKUP('Land data'!H59,'Other corrections needed'!$A$3:$E$6,5,FALSE),'Land data'!G59)))</f>
        <v>1.3504783188143845</v>
      </c>
    </row>
    <row r="60" spans="1:10" x14ac:dyDescent="0.2">
      <c r="A60" s="21" t="s">
        <v>707</v>
      </c>
      <c r="B60" s="21" t="s">
        <v>1336</v>
      </c>
      <c r="C60" s="21" t="s">
        <v>1146</v>
      </c>
      <c r="D60" s="21">
        <v>17.86</v>
      </c>
      <c r="E60" s="21">
        <v>6021</v>
      </c>
      <c r="F60" s="21">
        <f t="shared" si="0"/>
        <v>337.12206047032475</v>
      </c>
      <c r="G60" s="21">
        <f t="shared" si="1"/>
        <v>0.29719626492837359</v>
      </c>
      <c r="H60" s="21"/>
      <c r="I60" s="21"/>
      <c r="J60" s="89">
        <f>IF(I60="Yes",VLOOKUP(B60,'Other corrections needed'!$A$11:$K$17,11,FALSE),IF('Land data'!G60=0,VLOOKUP('Land data'!H60,'Other corrections needed'!$A$3:$E$6,5,FALSE),IF(ISERR('Land data'!G60),VLOOKUP('Land data'!H60,'Other corrections needed'!$A$3:$E$6,5,FALSE),'Land data'!G60)))</f>
        <v>0.29719626492837359</v>
      </c>
    </row>
    <row r="61" spans="1:10" x14ac:dyDescent="0.2">
      <c r="A61" s="21" t="s">
        <v>707</v>
      </c>
      <c r="B61" s="21" t="s">
        <v>1334</v>
      </c>
      <c r="C61" s="21" t="s">
        <v>1144</v>
      </c>
      <c r="D61" s="21">
        <v>18.54</v>
      </c>
      <c r="E61" s="21">
        <v>28422</v>
      </c>
      <c r="F61" s="21">
        <f t="shared" si="0"/>
        <v>1533.0097087378642</v>
      </c>
      <c r="G61" s="21">
        <f t="shared" si="1"/>
        <v>1.351453413936202</v>
      </c>
      <c r="H61" s="21"/>
      <c r="I61" s="21"/>
      <c r="J61" s="89">
        <f>IF(I61="Yes",VLOOKUP(B61,'Other corrections needed'!$A$11:$K$17,11,FALSE),IF('Land data'!G61=0,VLOOKUP('Land data'!H61,'Other corrections needed'!$A$3:$E$6,5,FALSE),IF(ISERR('Land data'!G61),VLOOKUP('Land data'!H61,'Other corrections needed'!$A$3:$E$6,5,FALSE),'Land data'!G61)))</f>
        <v>1.351453413936202</v>
      </c>
    </row>
    <row r="62" spans="1:10" x14ac:dyDescent="0.2">
      <c r="A62" s="21" t="s">
        <v>707</v>
      </c>
      <c r="B62" s="21" t="s">
        <v>683</v>
      </c>
      <c r="C62" s="21" t="s">
        <v>1166</v>
      </c>
      <c r="D62" s="21">
        <v>20.88</v>
      </c>
      <c r="E62" s="21">
        <v>15479</v>
      </c>
      <c r="F62" s="21">
        <f t="shared" si="0"/>
        <v>741.33141762452112</v>
      </c>
      <c r="G62" s="21">
        <f t="shared" si="1"/>
        <v>0.65353459244016976</v>
      </c>
      <c r="H62" s="21"/>
      <c r="I62" s="21"/>
      <c r="J62" s="89">
        <f>IF(I62="Yes",VLOOKUP(B62,'Other corrections needed'!$A$11:$K$17,11,FALSE),IF('Land data'!G62=0,VLOOKUP('Land data'!H62,'Other corrections needed'!$A$3:$E$6,5,FALSE),IF(ISERR('Land data'!G62),VLOOKUP('Land data'!H62,'Other corrections needed'!$A$3:$E$6,5,FALSE),'Land data'!G62)))</f>
        <v>0.65353459244016976</v>
      </c>
    </row>
    <row r="63" spans="1:10" x14ac:dyDescent="0.2">
      <c r="A63" s="21" t="s">
        <v>707</v>
      </c>
      <c r="B63" s="21" t="s">
        <v>2302</v>
      </c>
      <c r="C63" s="21" t="s">
        <v>1132</v>
      </c>
      <c r="D63" s="21">
        <v>39.28</v>
      </c>
      <c r="E63" s="21">
        <v>64700</v>
      </c>
      <c r="F63" s="21">
        <f t="shared" si="0"/>
        <v>1647.1486761710794</v>
      </c>
      <c r="G63" s="21">
        <f t="shared" si="1"/>
        <v>1.4520747578987068</v>
      </c>
      <c r="H63" s="21"/>
      <c r="I63" s="21"/>
      <c r="J63" s="89">
        <f>IF(I63="Yes",VLOOKUP(B63,'Other corrections needed'!$A$11:$K$17,11,FALSE),IF('Land data'!G63=0,VLOOKUP('Land data'!H63,'Other corrections needed'!$A$3:$E$6,5,FALSE),IF(ISERR('Land data'!G63),VLOOKUP('Land data'!H63,'Other corrections needed'!$A$3:$E$6,5,FALSE),'Land data'!G63)))</f>
        <v>1.4520747578987068</v>
      </c>
    </row>
    <row r="64" spans="1:10" x14ac:dyDescent="0.2">
      <c r="A64" s="21" t="s">
        <v>707</v>
      </c>
      <c r="B64" s="21" t="s">
        <v>2787</v>
      </c>
      <c r="C64" s="21" t="s">
        <v>3558</v>
      </c>
      <c r="D64" s="21">
        <v>7.62</v>
      </c>
      <c r="E64" s="21">
        <v>9806</v>
      </c>
      <c r="F64" s="21">
        <f t="shared" si="0"/>
        <v>1286.8766404199475</v>
      </c>
      <c r="G64" s="21">
        <f t="shared" si="1"/>
        <v>1.1344701987844186</v>
      </c>
      <c r="H64" s="21"/>
      <c r="I64" s="21"/>
      <c r="J64" s="89">
        <f>IF(I64="Yes",VLOOKUP(B64,'Other corrections needed'!$A$11:$K$17,11,FALSE),IF('Land data'!G64=0,VLOOKUP('Land data'!H64,'Other corrections needed'!$A$3:$E$6,5,FALSE),IF(ISERR('Land data'!G64),VLOOKUP('Land data'!H64,'Other corrections needed'!$A$3:$E$6,5,FALSE),'Land data'!G64)))</f>
        <v>1.1344701987844186</v>
      </c>
    </row>
    <row r="65" spans="1:10" x14ac:dyDescent="0.2">
      <c r="A65" s="21" t="s">
        <v>707</v>
      </c>
      <c r="B65" s="21" t="s">
        <v>3718</v>
      </c>
      <c r="C65" s="21" t="s">
        <v>3553</v>
      </c>
      <c r="D65" s="21">
        <v>32.255000000000003</v>
      </c>
      <c r="E65" s="21">
        <v>38859</v>
      </c>
      <c r="F65" s="21">
        <f t="shared" si="0"/>
        <v>1204.7434506278096</v>
      </c>
      <c r="G65" s="21">
        <f t="shared" si="1"/>
        <v>1.0620641474010641</v>
      </c>
      <c r="H65" s="21"/>
      <c r="I65" s="21"/>
      <c r="J65" s="89">
        <f>IF(I65="Yes",VLOOKUP(B65,'Other corrections needed'!$A$11:$K$17,11,FALSE),IF('Land data'!G65=0,VLOOKUP('Land data'!H65,'Other corrections needed'!$A$3:$E$6,5,FALSE),IF(ISERR('Land data'!G65),VLOOKUP('Land data'!H65,'Other corrections needed'!$A$3:$E$6,5,FALSE),'Land data'!G65)))</f>
        <v>1.0620641474010641</v>
      </c>
    </row>
    <row r="66" spans="1:10" x14ac:dyDescent="0.2">
      <c r="A66" s="21" t="s">
        <v>707</v>
      </c>
      <c r="B66" s="21" t="s">
        <v>3680</v>
      </c>
      <c r="C66" s="21" t="s">
        <v>2128</v>
      </c>
      <c r="D66" s="21">
        <v>112.99</v>
      </c>
      <c r="E66" s="21">
        <v>33995</v>
      </c>
      <c r="F66" s="21">
        <f t="shared" ref="F66:F129" si="2">E66/D66</f>
        <v>300.86733339233564</v>
      </c>
      <c r="G66" s="21">
        <f t="shared" ref="G66:G129" si="3">F66/F$236</f>
        <v>0.26523523141266753</v>
      </c>
      <c r="H66" s="21"/>
      <c r="I66" s="21"/>
      <c r="J66" s="89">
        <f>IF(I66="Yes",VLOOKUP(B66,'Other corrections needed'!$A$11:$K$17,11,FALSE),IF('Land data'!G66=0,VLOOKUP('Land data'!H66,'Other corrections needed'!$A$3:$E$6,5,FALSE),IF(ISERR('Land data'!G66),VLOOKUP('Land data'!H66,'Other corrections needed'!$A$3:$E$6,5,FALSE),'Land data'!G66)))</f>
        <v>0.26523523141266753</v>
      </c>
    </row>
    <row r="67" spans="1:10" x14ac:dyDescent="0.2">
      <c r="A67" s="21" t="s">
        <v>707</v>
      </c>
      <c r="B67" s="21" t="s">
        <v>567</v>
      </c>
      <c r="C67" s="21" t="s">
        <v>3526</v>
      </c>
      <c r="D67" s="21">
        <v>19.5258</v>
      </c>
      <c r="E67" s="21">
        <v>28262</v>
      </c>
      <c r="F67" s="21">
        <f t="shared" si="2"/>
        <v>1447.4182875989716</v>
      </c>
      <c r="G67" s="21">
        <f t="shared" si="3"/>
        <v>1.2759986939546555</v>
      </c>
      <c r="H67" s="21"/>
      <c r="I67" s="21"/>
      <c r="J67" s="89">
        <f>IF(I67="Yes",VLOOKUP(B67,'Other corrections needed'!$A$11:$K$17,11,FALSE),IF('Land data'!G67=0,VLOOKUP('Land data'!H67,'Other corrections needed'!$A$3:$E$6,5,FALSE),IF(ISERR('Land data'!G67),VLOOKUP('Land data'!H67,'Other corrections needed'!$A$3:$E$6,5,FALSE),'Land data'!G67)))</f>
        <v>1.2759986939546555</v>
      </c>
    </row>
    <row r="68" spans="1:10" x14ac:dyDescent="0.2">
      <c r="A68" s="21" t="s">
        <v>707</v>
      </c>
      <c r="B68" s="21" t="s">
        <v>2778</v>
      </c>
      <c r="C68" s="21" t="s">
        <v>3063</v>
      </c>
      <c r="D68" s="21">
        <v>45.27</v>
      </c>
      <c r="E68" s="21">
        <v>28870</v>
      </c>
      <c r="F68" s="21">
        <f t="shared" si="2"/>
        <v>637.72918047271924</v>
      </c>
      <c r="G68" s="21">
        <f t="shared" si="3"/>
        <v>0.56220210035471208</v>
      </c>
      <c r="H68" s="21"/>
      <c r="I68" s="21"/>
      <c r="J68" s="89">
        <f>IF(I68="Yes",VLOOKUP(B68,'Other corrections needed'!$A$11:$K$17,11,FALSE),IF('Land data'!G68=0,VLOOKUP('Land data'!H68,'Other corrections needed'!$A$3:$E$6,5,FALSE),IF(ISERR('Land data'!G68),VLOOKUP('Land data'!H68,'Other corrections needed'!$A$3:$E$6,5,FALSE),'Land data'!G68)))</f>
        <v>0.56220210035471208</v>
      </c>
    </row>
    <row r="69" spans="1:10" x14ac:dyDescent="0.2">
      <c r="A69" s="21" t="s">
        <v>707</v>
      </c>
      <c r="B69" s="21" t="s">
        <v>3702</v>
      </c>
      <c r="C69" s="21" t="s">
        <v>204</v>
      </c>
      <c r="D69" s="21">
        <v>25.3</v>
      </c>
      <c r="E69" s="21">
        <v>38428</v>
      </c>
      <c r="F69" s="21">
        <f t="shared" si="2"/>
        <v>1518.893280632411</v>
      </c>
      <c r="G69" s="21">
        <f t="shared" si="3"/>
        <v>1.3390088124134847</v>
      </c>
      <c r="H69" s="21"/>
      <c r="I69" s="21"/>
      <c r="J69" s="89">
        <f>IF(I69="Yes",VLOOKUP(B69,'Other corrections needed'!$A$11:$K$17,11,FALSE),IF('Land data'!G69=0,VLOOKUP('Land data'!H69,'Other corrections needed'!$A$3:$E$6,5,FALSE),IF(ISERR('Land data'!G69),VLOOKUP('Land data'!H69,'Other corrections needed'!$A$3:$E$6,5,FALSE),'Land data'!G69)))</f>
        <v>1.3390088124134847</v>
      </c>
    </row>
    <row r="70" spans="1:10" x14ac:dyDescent="0.2">
      <c r="A70" s="21" t="s">
        <v>707</v>
      </c>
      <c r="B70" s="21" t="s">
        <v>3710</v>
      </c>
      <c r="C70" s="21" t="s">
        <v>3523</v>
      </c>
      <c r="D70" s="21">
        <v>7.65</v>
      </c>
      <c r="E70" s="21">
        <v>16420</v>
      </c>
      <c r="F70" s="21">
        <f t="shared" si="2"/>
        <v>2146.4052287581699</v>
      </c>
      <c r="G70" s="21">
        <f t="shared" si="3"/>
        <v>1.8922037202777806</v>
      </c>
      <c r="H70" s="21"/>
      <c r="I70" s="21"/>
      <c r="J70" s="89">
        <f>IF(I70="Yes",VLOOKUP(B70,'Other corrections needed'!$A$11:$K$17,11,FALSE),IF('Land data'!G70=0,VLOOKUP('Land data'!H70,'Other corrections needed'!$A$3:$E$6,5,FALSE),IF(ISERR('Land data'!G70),VLOOKUP('Land data'!H70,'Other corrections needed'!$A$3:$E$6,5,FALSE),'Land data'!G70)))</f>
        <v>1.8922037202777806</v>
      </c>
    </row>
    <row r="71" spans="1:10" x14ac:dyDescent="0.2">
      <c r="A71" s="21" t="s">
        <v>707</v>
      </c>
      <c r="B71" s="21" t="s">
        <v>3686</v>
      </c>
      <c r="C71" s="21" t="s">
        <v>202</v>
      </c>
      <c r="D71" s="21">
        <v>4.2060000000000004</v>
      </c>
      <c r="E71" s="21">
        <v>10049</v>
      </c>
      <c r="F71" s="21">
        <f t="shared" si="2"/>
        <v>2389.2058963385639</v>
      </c>
      <c r="G71" s="21">
        <f t="shared" si="3"/>
        <v>2.1062491951610851</v>
      </c>
      <c r="H71" s="21"/>
      <c r="I71" s="21"/>
      <c r="J71" s="89">
        <f>IF(I71="Yes",VLOOKUP(B71,'Other corrections needed'!$A$11:$K$17,11,FALSE),IF('Land data'!G71=0,VLOOKUP('Land data'!H71,'Other corrections needed'!$A$3:$E$6,5,FALSE),IF(ISERR('Land data'!G71),VLOOKUP('Land data'!H71,'Other corrections needed'!$A$3:$E$6,5,FALSE),'Land data'!G71)))</f>
        <v>2.1062491951610851</v>
      </c>
    </row>
    <row r="72" spans="1:10" x14ac:dyDescent="0.2">
      <c r="A72" s="21" t="s">
        <v>707</v>
      </c>
      <c r="B72" s="21" t="s">
        <v>2381</v>
      </c>
      <c r="C72" s="21" t="s">
        <v>3446</v>
      </c>
      <c r="D72" s="21">
        <v>9.36</v>
      </c>
      <c r="E72" s="21">
        <v>166950</v>
      </c>
      <c r="F72" s="21">
        <f t="shared" si="2"/>
        <v>17836.538461538461</v>
      </c>
      <c r="G72" s="21">
        <f t="shared" si="3"/>
        <v>15.724134465199519</v>
      </c>
      <c r="H72" s="21" t="s">
        <v>3789</v>
      </c>
      <c r="I72" s="21"/>
      <c r="J72" s="89">
        <f>IF(I72="Yes",VLOOKUP(B72,'Other corrections needed'!$A$11:$K$17,11,FALSE),IF('Land data'!G72=0,VLOOKUP('Land data'!H72,'Other corrections needed'!$A$3:$E$6,5,FALSE),IF(ISERR('Land data'!G72),VLOOKUP('Land data'!H72,'Other corrections needed'!$A$3:$E$6,5,FALSE),'Land data'!G72)))</f>
        <v>15.724134465199519</v>
      </c>
    </row>
    <row r="73" spans="1:10" x14ac:dyDescent="0.2">
      <c r="A73" s="21" t="s">
        <v>707</v>
      </c>
      <c r="B73" s="21" t="s">
        <v>600</v>
      </c>
      <c r="C73" s="21" t="s">
        <v>3481</v>
      </c>
      <c r="D73" s="21">
        <v>5.84</v>
      </c>
      <c r="E73" s="21">
        <v>31742</v>
      </c>
      <c r="F73" s="21">
        <f t="shared" si="2"/>
        <v>5435.2739726027403</v>
      </c>
      <c r="G73" s="21">
        <f t="shared" si="3"/>
        <v>4.7915675446048969</v>
      </c>
      <c r="H73" s="21" t="s">
        <v>3785</v>
      </c>
      <c r="I73" s="21"/>
      <c r="J73" s="89">
        <f>IF(I73="Yes",VLOOKUP(B73,'Other corrections needed'!$A$11:$K$17,11,FALSE),IF('Land data'!G73=0,VLOOKUP('Land data'!H73,'Other corrections needed'!$A$3:$E$6,5,FALSE),IF(ISERR('Land data'!G73),VLOOKUP('Land data'!H73,'Other corrections needed'!$A$3:$E$6,5,FALSE),'Land data'!G73)))</f>
        <v>4.7915675446048969</v>
      </c>
    </row>
    <row r="74" spans="1:10" x14ac:dyDescent="0.2">
      <c r="A74" s="21" t="s">
        <v>707</v>
      </c>
      <c r="B74" s="21" t="s">
        <v>385</v>
      </c>
      <c r="C74" s="21" t="s">
        <v>3457</v>
      </c>
      <c r="D74" s="21">
        <v>9.1269999999999989</v>
      </c>
      <c r="E74" s="21">
        <v>36020</v>
      </c>
      <c r="F74" s="21">
        <f t="shared" si="2"/>
        <v>3946.5322669004058</v>
      </c>
      <c r="G74" s="21">
        <f t="shared" si="3"/>
        <v>3.4791394176512282</v>
      </c>
      <c r="H74" s="21" t="s">
        <v>3771</v>
      </c>
      <c r="I74" s="21"/>
      <c r="J74" s="89">
        <f>IF(I74="Yes",VLOOKUP(B74,'Other corrections needed'!$A$11:$K$17,11,FALSE),IF('Land data'!G74=0,VLOOKUP('Land data'!H74,'Other corrections needed'!$A$3:$E$6,5,FALSE),IF(ISERR('Land data'!G74),VLOOKUP('Land data'!H74,'Other corrections needed'!$A$3:$E$6,5,FALSE),'Land data'!G74)))</f>
        <v>3.4791394176512282</v>
      </c>
    </row>
    <row r="75" spans="1:10" x14ac:dyDescent="0.2">
      <c r="A75" s="21" t="s">
        <v>707</v>
      </c>
      <c r="B75" s="21" t="s">
        <v>573</v>
      </c>
      <c r="C75" s="21" t="s">
        <v>3477</v>
      </c>
      <c r="D75" s="21">
        <v>15.675700000000001</v>
      </c>
      <c r="E75" s="21">
        <v>66841</v>
      </c>
      <c r="F75" s="21">
        <f t="shared" si="2"/>
        <v>4263.988211052776</v>
      </c>
      <c r="G75" s="21">
        <f t="shared" si="3"/>
        <v>3.7589986494967209</v>
      </c>
      <c r="H75" s="21" t="s">
        <v>3793</v>
      </c>
      <c r="I75" s="21"/>
      <c r="J75" s="89">
        <f>IF(I75="Yes",VLOOKUP(B75,'Other corrections needed'!$A$11:$K$17,11,FALSE),IF('Land data'!G75=0,VLOOKUP('Land data'!H75,'Other corrections needed'!$A$3:$E$6,5,FALSE),IF(ISERR('Land data'!G75),VLOOKUP('Land data'!H75,'Other corrections needed'!$A$3:$E$6,5,FALSE),'Land data'!G75)))</f>
        <v>3.7589986494967209</v>
      </c>
    </row>
    <row r="76" spans="1:10" x14ac:dyDescent="0.2">
      <c r="A76" s="21" t="s">
        <v>707</v>
      </c>
      <c r="B76" s="21" t="s">
        <v>1</v>
      </c>
      <c r="C76" s="21" t="s">
        <v>3533</v>
      </c>
      <c r="D76" s="21">
        <v>48.4</v>
      </c>
      <c r="E76" s="21">
        <v>5484</v>
      </c>
      <c r="F76" s="21">
        <f t="shared" si="2"/>
        <v>113.30578512396694</v>
      </c>
      <c r="G76" s="21">
        <f t="shared" si="3"/>
        <v>9.9886836496670073E-2</v>
      </c>
      <c r="H76" s="21"/>
      <c r="I76" s="21"/>
      <c r="J76" s="89">
        <f>IF(I76="Yes",VLOOKUP(B76,'Other corrections needed'!$A$11:$K$17,11,FALSE),IF('Land data'!G76=0,VLOOKUP('Land data'!H76,'Other corrections needed'!$A$3:$E$6,5,FALSE),IF(ISERR('Land data'!G76),VLOOKUP('Land data'!H76,'Other corrections needed'!$A$3:$E$6,5,FALSE),'Land data'!G76)))</f>
        <v>9.9886836496670073E-2</v>
      </c>
    </row>
    <row r="77" spans="1:10" x14ac:dyDescent="0.2">
      <c r="A77" s="21" t="s">
        <v>707</v>
      </c>
      <c r="B77" s="21" t="s">
        <v>560</v>
      </c>
      <c r="C77" s="21" t="s">
        <v>1116</v>
      </c>
      <c r="D77" s="21">
        <v>10.53</v>
      </c>
      <c r="E77" s="21">
        <v>11780</v>
      </c>
      <c r="F77" s="21">
        <f t="shared" si="2"/>
        <v>1118.7084520417854</v>
      </c>
      <c r="G77" s="21">
        <f t="shared" si="3"/>
        <v>0.98621838341512946</v>
      </c>
      <c r="H77" s="21"/>
      <c r="I77" s="21"/>
      <c r="J77" s="89">
        <f>IF(I77="Yes",VLOOKUP(B77,'Other corrections needed'!$A$11:$K$17,11,FALSE),IF('Land data'!G77=0,VLOOKUP('Land data'!H77,'Other corrections needed'!$A$3:$E$6,5,FALSE),IF(ISERR('Land data'!G77),VLOOKUP('Land data'!H77,'Other corrections needed'!$A$3:$E$6,5,FALSE),'Land data'!G77)))</f>
        <v>0.98621838341512946</v>
      </c>
    </row>
    <row r="78" spans="1:10" x14ac:dyDescent="0.2">
      <c r="A78" s="21" t="s">
        <v>707</v>
      </c>
      <c r="B78" s="21" t="s">
        <v>395</v>
      </c>
      <c r="C78" s="21" t="s">
        <v>2150</v>
      </c>
      <c r="D78" s="21">
        <v>17.510000000000002</v>
      </c>
      <c r="E78" s="21">
        <v>21550</v>
      </c>
      <c r="F78" s="21">
        <f t="shared" si="2"/>
        <v>1230.7252998286692</v>
      </c>
      <c r="G78" s="21">
        <f t="shared" si="3"/>
        <v>1.0849689330672856</v>
      </c>
      <c r="H78" s="21"/>
      <c r="I78" s="21"/>
      <c r="J78" s="89">
        <f>IF(I78="Yes",VLOOKUP(B78,'Other corrections needed'!$A$11:$K$17,11,FALSE),IF('Land data'!G78=0,VLOOKUP('Land data'!H78,'Other corrections needed'!$A$3:$E$6,5,FALSE),IF(ISERR('Land data'!G78),VLOOKUP('Land data'!H78,'Other corrections needed'!$A$3:$E$6,5,FALSE),'Land data'!G78)))</f>
        <v>1.0849689330672856</v>
      </c>
    </row>
    <row r="79" spans="1:10" x14ac:dyDescent="0.2">
      <c r="A79" s="21" t="s">
        <v>707</v>
      </c>
      <c r="B79" s="21" t="s">
        <v>3882</v>
      </c>
      <c r="C79" s="21" t="s">
        <v>1119</v>
      </c>
      <c r="D79" s="21">
        <v>40.75</v>
      </c>
      <c r="E79" s="21">
        <v>28993</v>
      </c>
      <c r="F79" s="21">
        <f t="shared" si="2"/>
        <v>711.48466257668713</v>
      </c>
      <c r="G79" s="21">
        <f t="shared" si="3"/>
        <v>0.62722262665521589</v>
      </c>
      <c r="H79" s="21"/>
      <c r="I79" s="21"/>
      <c r="J79" s="89">
        <f>IF(I79="Yes",VLOOKUP(B79,'Other corrections needed'!$A$11:$K$17,11,FALSE),IF('Land data'!G79=0,VLOOKUP('Land data'!H79,'Other corrections needed'!$A$3:$E$6,5,FALSE),IF(ISERR('Land data'!G79),VLOOKUP('Land data'!H79,'Other corrections needed'!$A$3:$E$6,5,FALSE),'Land data'!G79)))</f>
        <v>0.62722262665521589</v>
      </c>
    </row>
    <row r="80" spans="1:10" x14ac:dyDescent="0.2">
      <c r="A80" s="21" t="s">
        <v>707</v>
      </c>
      <c r="B80" s="21" t="s">
        <v>2296</v>
      </c>
      <c r="C80" s="21" t="s">
        <v>2139</v>
      </c>
      <c r="D80" s="21">
        <v>20.66</v>
      </c>
      <c r="E80" s="21">
        <v>17882</v>
      </c>
      <c r="F80" s="21">
        <f t="shared" si="2"/>
        <v>865.53727008712485</v>
      </c>
      <c r="G80" s="21">
        <f t="shared" si="3"/>
        <v>0.76303058740007179</v>
      </c>
      <c r="H80" s="21"/>
      <c r="I80" s="21"/>
      <c r="J80" s="89">
        <f>IF(I80="Yes",VLOOKUP(B80,'Other corrections needed'!$A$11:$K$17,11,FALSE),IF('Land data'!G80=0,VLOOKUP('Land data'!H80,'Other corrections needed'!$A$3:$E$6,5,FALSE),IF(ISERR('Land data'!G80),VLOOKUP('Land data'!H80,'Other corrections needed'!$A$3:$E$6,5,FALSE),'Land data'!G80)))</f>
        <v>0.76303058740007179</v>
      </c>
    </row>
    <row r="81" spans="1:10" x14ac:dyDescent="0.2">
      <c r="A81" s="21" t="s">
        <v>707</v>
      </c>
      <c r="B81" s="21" t="s">
        <v>3672</v>
      </c>
      <c r="C81" s="21" t="s">
        <v>3056</v>
      </c>
      <c r="D81" s="21">
        <v>34.549999999999997</v>
      </c>
      <c r="E81" s="21">
        <v>18332</v>
      </c>
      <c r="F81" s="21">
        <f t="shared" si="2"/>
        <v>530.59334298118677</v>
      </c>
      <c r="G81" s="21">
        <f t="shared" si="3"/>
        <v>0.46775449672404013</v>
      </c>
      <c r="H81" s="21"/>
      <c r="I81" s="21"/>
      <c r="J81" s="89">
        <f>IF(I81="Yes",VLOOKUP(B81,'Other corrections needed'!$A$11:$K$17,11,FALSE),IF('Land data'!G81=0,VLOOKUP('Land data'!H81,'Other corrections needed'!$A$3:$E$6,5,FALSE),IF(ISERR('Land data'!G81),VLOOKUP('Land data'!H81,'Other corrections needed'!$A$3:$E$6,5,FALSE),'Land data'!G81)))</f>
        <v>0.46775449672404013</v>
      </c>
    </row>
    <row r="82" spans="1:10" x14ac:dyDescent="0.2">
      <c r="A82" s="21" t="s">
        <v>707</v>
      </c>
      <c r="B82" s="21" t="s">
        <v>2349</v>
      </c>
      <c r="C82" s="21" t="s">
        <v>2995</v>
      </c>
      <c r="D82" s="21">
        <v>15.045999999999999</v>
      </c>
      <c r="E82" s="21">
        <v>7891</v>
      </c>
      <c r="F82" s="21">
        <f t="shared" si="2"/>
        <v>524.45832779476279</v>
      </c>
      <c r="G82" s="21">
        <f t="shared" si="3"/>
        <v>0.46234605920992333</v>
      </c>
      <c r="H82" s="21"/>
      <c r="I82" s="21"/>
      <c r="J82" s="89">
        <f>IF(I82="Yes",VLOOKUP(B82,'Other corrections needed'!$A$11:$K$17,11,FALSE),IF('Land data'!G82=0,VLOOKUP('Land data'!H82,'Other corrections needed'!$A$3:$E$6,5,FALSE),IF(ISERR('Land data'!G82),VLOOKUP('Land data'!H82,'Other corrections needed'!$A$3:$E$6,5,FALSE),'Land data'!G82)))</f>
        <v>0.46234605920992333</v>
      </c>
    </row>
    <row r="83" spans="1:10" x14ac:dyDescent="0.2">
      <c r="A83" s="21" t="s">
        <v>707</v>
      </c>
      <c r="B83" s="21" t="s">
        <v>3</v>
      </c>
      <c r="C83" s="21" t="s">
        <v>2992</v>
      </c>
      <c r="D83" s="21">
        <v>22.6</v>
      </c>
      <c r="E83" s="21">
        <v>4210</v>
      </c>
      <c r="F83" s="21">
        <f t="shared" si="2"/>
        <v>186.28318584070794</v>
      </c>
      <c r="G83" s="21">
        <f t="shared" si="3"/>
        <v>0.16422143058089728</v>
      </c>
      <c r="H83" s="21"/>
      <c r="I83" s="21"/>
      <c r="J83" s="89">
        <f>IF(I83="Yes",VLOOKUP(B83,'Other corrections needed'!$A$11:$K$17,11,FALSE),IF('Land data'!G83=0,VLOOKUP('Land data'!H83,'Other corrections needed'!$A$3:$E$6,5,FALSE),IF(ISERR('Land data'!G83),VLOOKUP('Land data'!H83,'Other corrections needed'!$A$3:$E$6,5,FALSE),'Land data'!G83)))</f>
        <v>0.16422143058089728</v>
      </c>
    </row>
    <row r="84" spans="1:10" x14ac:dyDescent="0.2">
      <c r="A84" s="21" t="s">
        <v>707</v>
      </c>
      <c r="B84" s="21" t="s">
        <v>2300</v>
      </c>
      <c r="C84" s="21" t="s">
        <v>2983</v>
      </c>
      <c r="D84" s="21">
        <v>48.945099999999996</v>
      </c>
      <c r="E84" s="21">
        <v>3846</v>
      </c>
      <c r="F84" s="21">
        <f t="shared" si="2"/>
        <v>78.57783516633944</v>
      </c>
      <c r="G84" s="21">
        <f t="shared" si="3"/>
        <v>6.9271761939913579E-2</v>
      </c>
      <c r="H84" s="21"/>
      <c r="I84" s="21"/>
      <c r="J84" s="89">
        <f>IF(I84="Yes",VLOOKUP(B84,'Other corrections needed'!$A$11:$K$17,11,FALSE),IF('Land data'!G84=0,VLOOKUP('Land data'!H84,'Other corrections needed'!$A$3:$E$6,5,FALSE),IF(ISERR('Land data'!G84),VLOOKUP('Land data'!H84,'Other corrections needed'!$A$3:$E$6,5,FALSE),'Land data'!G84)))</f>
        <v>6.9271761939913579E-2</v>
      </c>
    </row>
    <row r="85" spans="1:10" x14ac:dyDescent="0.2">
      <c r="A85" s="21" t="s">
        <v>707</v>
      </c>
      <c r="B85" s="21" t="s">
        <v>353</v>
      </c>
      <c r="C85" s="21" t="s">
        <v>3452</v>
      </c>
      <c r="D85" s="21">
        <v>6.93</v>
      </c>
      <c r="E85" s="21">
        <v>48390</v>
      </c>
      <c r="F85" s="21">
        <f t="shared" si="2"/>
        <v>6982.6839826839832</v>
      </c>
      <c r="G85" s="21">
        <f t="shared" si="3"/>
        <v>6.1557158138321606</v>
      </c>
      <c r="H85" s="21" t="s">
        <v>3784</v>
      </c>
      <c r="I85" s="21"/>
      <c r="J85" s="89">
        <f>IF(I85="Yes",VLOOKUP(B85,'Other corrections needed'!$A$11:$K$17,11,FALSE),IF('Land data'!G85=0,VLOOKUP('Land data'!H85,'Other corrections needed'!$A$3:$E$6,5,FALSE),IF(ISERR('Land data'!G85),VLOOKUP('Land data'!H85,'Other corrections needed'!$A$3:$E$6,5,FALSE),'Land data'!G85)))</f>
        <v>6.1557158138321606</v>
      </c>
    </row>
    <row r="86" spans="1:10" x14ac:dyDescent="0.2">
      <c r="A86" s="21" t="s">
        <v>707</v>
      </c>
      <c r="B86" s="21" t="s">
        <v>2780</v>
      </c>
      <c r="C86" s="21" t="s">
        <v>2129</v>
      </c>
      <c r="D86" s="21">
        <v>24.3</v>
      </c>
      <c r="E86" s="21">
        <v>18584</v>
      </c>
      <c r="F86" s="21">
        <f t="shared" si="2"/>
        <v>764.77366255144034</v>
      </c>
      <c r="G86" s="21">
        <f t="shared" si="3"/>
        <v>0.6742005424052856</v>
      </c>
      <c r="H86" s="21"/>
      <c r="I86" s="21"/>
      <c r="J86" s="89">
        <f>IF(I86="Yes",VLOOKUP(B86,'Other corrections needed'!$A$11:$K$17,11,FALSE),IF('Land data'!G86=0,VLOOKUP('Land data'!H86,'Other corrections needed'!$A$3:$E$6,5,FALSE),IF(ISERR('Land data'!G86),VLOOKUP('Land data'!H86,'Other corrections needed'!$A$3:$E$6,5,FALSE),'Land data'!G86)))</f>
        <v>0.6742005424052856</v>
      </c>
    </row>
    <row r="87" spans="1:10" x14ac:dyDescent="0.2">
      <c r="A87" s="21" t="s">
        <v>707</v>
      </c>
      <c r="B87" s="21" t="s">
        <v>3698</v>
      </c>
      <c r="C87" s="21" t="s">
        <v>3548</v>
      </c>
      <c r="D87" s="21">
        <v>21.18</v>
      </c>
      <c r="E87" s="21">
        <v>14504</v>
      </c>
      <c r="F87" s="21">
        <f t="shared" si="2"/>
        <v>684.79697828139751</v>
      </c>
      <c r="G87" s="21">
        <f t="shared" si="3"/>
        <v>0.60369559884492563</v>
      </c>
      <c r="H87" s="21"/>
      <c r="I87" s="21"/>
      <c r="J87" s="89">
        <f>IF(I87="Yes",VLOOKUP(B87,'Other corrections needed'!$A$11:$K$17,11,FALSE),IF('Land data'!G87=0,VLOOKUP('Land data'!H87,'Other corrections needed'!$A$3:$E$6,5,FALSE),IF(ISERR('Land data'!G87),VLOOKUP('Land data'!H87,'Other corrections needed'!$A$3:$E$6,5,FALSE),'Land data'!G87)))</f>
        <v>0.60369559884492563</v>
      </c>
    </row>
    <row r="88" spans="1:10" x14ac:dyDescent="0.2">
      <c r="A88" s="21" t="s">
        <v>707</v>
      </c>
      <c r="B88" s="21" t="s">
        <v>666</v>
      </c>
      <c r="C88" s="21" t="s">
        <v>1120</v>
      </c>
      <c r="D88" s="21">
        <v>38.11</v>
      </c>
      <c r="E88" s="21">
        <v>62083</v>
      </c>
      <c r="F88" s="21">
        <f t="shared" si="2"/>
        <v>1629.0474940960378</v>
      </c>
      <c r="G88" s="21">
        <f t="shared" si="3"/>
        <v>1.4361173219006422</v>
      </c>
      <c r="H88" s="21" t="s">
        <v>3753</v>
      </c>
      <c r="I88" s="21"/>
      <c r="J88" s="89">
        <f>IF(I88="Yes",VLOOKUP(B88,'Other corrections needed'!$A$11:$K$17,11,FALSE),IF('Land data'!G88=0,VLOOKUP('Land data'!H88,'Other corrections needed'!$A$3:$E$6,5,FALSE),IF(ISERR('Land data'!G88),VLOOKUP('Land data'!H88,'Other corrections needed'!$A$3:$E$6,5,FALSE),'Land data'!G88)))</f>
        <v>1.4361173219006422</v>
      </c>
    </row>
    <row r="89" spans="1:10" x14ac:dyDescent="0.2">
      <c r="A89" s="21" t="s">
        <v>707</v>
      </c>
      <c r="B89" s="21" t="s">
        <v>3874</v>
      </c>
      <c r="C89" s="21" t="s">
        <v>3495</v>
      </c>
      <c r="D89" s="21">
        <v>4.57</v>
      </c>
      <c r="E89" s="21">
        <v>17039</v>
      </c>
      <c r="F89" s="21">
        <f t="shared" si="2"/>
        <v>3728.4463894967175</v>
      </c>
      <c r="G89" s="21">
        <f t="shared" si="3"/>
        <v>3.2868817288260597</v>
      </c>
      <c r="H89" s="21" t="s">
        <v>3781</v>
      </c>
      <c r="I89" s="21"/>
      <c r="J89" s="89">
        <f>IF(I89="Yes",VLOOKUP(B89,'Other corrections needed'!$A$11:$K$17,11,FALSE),IF('Land data'!G89=0,VLOOKUP('Land data'!H89,'Other corrections needed'!$A$3:$E$6,5,FALSE),IF(ISERR('Land data'!G89),VLOOKUP('Land data'!H89,'Other corrections needed'!$A$3:$E$6,5,FALSE),'Land data'!G89)))</f>
        <v>3.2868817288260597</v>
      </c>
    </row>
    <row r="90" spans="1:10" x14ac:dyDescent="0.2">
      <c r="A90" s="21" t="s">
        <v>707</v>
      </c>
      <c r="B90" s="21" t="s">
        <v>678</v>
      </c>
      <c r="C90" s="21" t="s">
        <v>3395</v>
      </c>
      <c r="D90" s="21">
        <v>168.86290000000002</v>
      </c>
      <c r="E90" s="21">
        <v>71525</v>
      </c>
      <c r="F90" s="21">
        <f t="shared" si="2"/>
        <v>423.56846885846443</v>
      </c>
      <c r="G90" s="21">
        <f t="shared" si="3"/>
        <v>0.37340471492890226</v>
      </c>
      <c r="H90" s="21" t="s">
        <v>3772</v>
      </c>
      <c r="I90" s="21"/>
      <c r="J90" s="89">
        <f>IF(I90="Yes",VLOOKUP(B90,'Other corrections needed'!$A$11:$K$17,11,FALSE),IF('Land data'!G90=0,VLOOKUP('Land data'!H90,'Other corrections needed'!$A$3:$E$6,5,FALSE),IF(ISERR('Land data'!G90),VLOOKUP('Land data'!H90,'Other corrections needed'!$A$3:$E$6,5,FALSE),'Land data'!G90)))</f>
        <v>0.37340471492890226</v>
      </c>
    </row>
    <row r="91" spans="1:10" x14ac:dyDescent="0.2">
      <c r="A91" s="21" t="s">
        <v>707</v>
      </c>
      <c r="B91" s="21" t="s">
        <v>3706</v>
      </c>
      <c r="C91" s="21" t="s">
        <v>2153</v>
      </c>
      <c r="D91" s="21">
        <v>13.2</v>
      </c>
      <c r="E91" s="21">
        <v>811</v>
      </c>
      <c r="F91" s="21">
        <f t="shared" si="2"/>
        <v>61.439393939393945</v>
      </c>
      <c r="G91" s="21">
        <f t="shared" si="3"/>
        <v>5.416304816355421E-2</v>
      </c>
      <c r="H91" s="21"/>
      <c r="I91" s="21"/>
      <c r="J91" s="89">
        <f>IF(I91="Yes",VLOOKUP(B91,'Other corrections needed'!$A$11:$K$17,11,FALSE),IF('Land data'!G91=0,VLOOKUP('Land data'!H91,'Other corrections needed'!$A$3:$E$6,5,FALSE),IF(ISERR('Land data'!G91),VLOOKUP('Land data'!H91,'Other corrections needed'!$A$3:$E$6,5,FALSE),'Land data'!G91)))</f>
        <v>5.416304816355421E-2</v>
      </c>
    </row>
    <row r="92" spans="1:10" x14ac:dyDescent="0.2">
      <c r="A92" s="21" t="s">
        <v>707</v>
      </c>
      <c r="B92" s="21" t="s">
        <v>3870</v>
      </c>
      <c r="C92" s="21" t="s">
        <v>2156</v>
      </c>
      <c r="D92" s="21">
        <v>23.6</v>
      </c>
      <c r="E92" s="21">
        <v>18469</v>
      </c>
      <c r="F92" s="21">
        <f t="shared" si="2"/>
        <v>782.5847457627118</v>
      </c>
      <c r="G92" s="21">
        <f t="shared" si="3"/>
        <v>0.68990223631796954</v>
      </c>
      <c r="H92" s="21" t="s">
        <v>3753</v>
      </c>
      <c r="I92" s="21"/>
      <c r="J92" s="89">
        <f>IF(I92="Yes",VLOOKUP(B92,'Other corrections needed'!$A$11:$K$17,11,FALSE),IF('Land data'!G92=0,VLOOKUP('Land data'!H92,'Other corrections needed'!$A$3:$E$6,5,FALSE),IF(ISERR('Land data'!G92),VLOOKUP('Land data'!H92,'Other corrections needed'!$A$3:$E$6,5,FALSE),'Land data'!G92)))</f>
        <v>0.68990223631796954</v>
      </c>
    </row>
    <row r="93" spans="1:10" x14ac:dyDescent="0.2">
      <c r="A93" s="21" t="s">
        <v>707</v>
      </c>
      <c r="B93" s="21" t="s">
        <v>2322</v>
      </c>
      <c r="C93" s="21" t="s">
        <v>709</v>
      </c>
      <c r="D93" s="21">
        <v>15.234999999999999</v>
      </c>
      <c r="E93" s="21">
        <v>13289</v>
      </c>
      <c r="F93" s="21">
        <f t="shared" si="2"/>
        <v>872.26780439776837</v>
      </c>
      <c r="G93" s="21">
        <f t="shared" si="3"/>
        <v>0.76896401594908126</v>
      </c>
      <c r="H93" s="21"/>
      <c r="I93" s="21"/>
      <c r="J93" s="89">
        <f>IF(I93="Yes",VLOOKUP(B93,'Other corrections needed'!$A$11:$K$17,11,FALSE),IF('Land data'!G93=0,VLOOKUP('Land data'!H93,'Other corrections needed'!$A$3:$E$6,5,FALSE),IF(ISERR('Land data'!G93),VLOOKUP('Land data'!H93,'Other corrections needed'!$A$3:$E$6,5,FALSE),'Land data'!G93)))</f>
        <v>0.76896401594908126</v>
      </c>
    </row>
    <row r="94" spans="1:10" x14ac:dyDescent="0.2">
      <c r="A94" s="21" t="s">
        <v>707</v>
      </c>
      <c r="B94" s="21" t="s">
        <v>2393</v>
      </c>
      <c r="C94" s="21" t="s">
        <v>1317</v>
      </c>
      <c r="D94" s="21">
        <v>9.5</v>
      </c>
      <c r="E94" s="21">
        <v>6500</v>
      </c>
      <c r="F94" s="21">
        <f t="shared" si="2"/>
        <v>684.21052631578948</v>
      </c>
      <c r="G94" s="21">
        <f t="shared" si="3"/>
        <v>0.60317860113348698</v>
      </c>
      <c r="H94" s="21"/>
      <c r="I94" s="21"/>
      <c r="J94" s="89">
        <f>IF(I94="Yes",VLOOKUP(B94,'Other corrections needed'!$A$11:$K$17,11,FALSE),IF('Land data'!G94=0,VLOOKUP('Land data'!H94,'Other corrections needed'!$A$3:$E$6,5,FALSE),IF(ISERR('Land data'!G94),VLOOKUP('Land data'!H94,'Other corrections needed'!$A$3:$E$6,5,FALSE),'Land data'!G94)))</f>
        <v>0.60317860113348698</v>
      </c>
    </row>
    <row r="95" spans="1:10" x14ac:dyDescent="0.2">
      <c r="A95" s="21" t="s">
        <v>707</v>
      </c>
      <c r="B95" s="21" t="s">
        <v>2369</v>
      </c>
      <c r="C95" s="21" t="s">
        <v>2145</v>
      </c>
      <c r="D95" s="21">
        <v>13.05</v>
      </c>
      <c r="E95" s="21">
        <v>7750</v>
      </c>
      <c r="F95" s="21">
        <f t="shared" si="2"/>
        <v>593.8697318007662</v>
      </c>
      <c r="G95" s="21">
        <f t="shared" si="3"/>
        <v>0.5235369821214616</v>
      </c>
      <c r="H95" s="21"/>
      <c r="I95" s="21"/>
      <c r="J95" s="89">
        <f>IF(I95="Yes",VLOOKUP(B95,'Other corrections needed'!$A$11:$K$17,11,FALSE),IF('Land data'!G95=0,VLOOKUP('Land data'!H95,'Other corrections needed'!$A$3:$E$6,5,FALSE),IF(ISERR('Land data'!G95),VLOOKUP('Land data'!H95,'Other corrections needed'!$A$3:$E$6,5,FALSE),'Land data'!G95)))</f>
        <v>0.5235369821214616</v>
      </c>
    </row>
    <row r="96" spans="1:10" x14ac:dyDescent="0.2">
      <c r="A96" s="21" t="s">
        <v>707</v>
      </c>
      <c r="B96" s="21" t="s">
        <v>2283</v>
      </c>
      <c r="C96" s="21" t="s">
        <v>2137</v>
      </c>
      <c r="D96" s="21">
        <v>4.58</v>
      </c>
      <c r="E96" s="21">
        <v>0</v>
      </c>
      <c r="F96" s="21">
        <f t="shared" si="2"/>
        <v>0</v>
      </c>
      <c r="G96" s="21">
        <f t="shared" si="3"/>
        <v>0</v>
      </c>
      <c r="H96" s="21" t="s">
        <v>3753</v>
      </c>
      <c r="I96" s="21"/>
      <c r="J96" s="89">
        <f ca="1">IF(I96="Yes",VLOOKUP(B96,'Other corrections needed'!$A$11:$K$17,11,FALSE),IF('Land data'!G96=0,VLOOKUP('Land data'!H96,'Other corrections needed'!$A$3:$E$6,5,FALSE),IF(ISERR('Land data'!G96),VLOOKUP('Land data'!H96,'Other corrections needed'!$A$3:$E$6,5,FALSE),'Land data'!G96)))</f>
        <v>0.8598831525314794</v>
      </c>
    </row>
    <row r="97" spans="1:10" x14ac:dyDescent="0.2">
      <c r="A97" s="21" t="s">
        <v>707</v>
      </c>
      <c r="B97" s="21" t="s">
        <v>3658</v>
      </c>
      <c r="C97" s="21" t="s">
        <v>2151</v>
      </c>
      <c r="D97" s="21">
        <v>14.1007</v>
      </c>
      <c r="E97" s="21">
        <v>6288</v>
      </c>
      <c r="F97" s="21">
        <f t="shared" si="2"/>
        <v>445.93530817618984</v>
      </c>
      <c r="G97" s="21">
        <f t="shared" si="3"/>
        <v>0.39312262094254985</v>
      </c>
      <c r="H97" s="21"/>
      <c r="I97" s="21"/>
      <c r="J97" s="89">
        <f>IF(I97="Yes",VLOOKUP(B97,'Other corrections needed'!$A$11:$K$17,11,FALSE),IF('Land data'!G97=0,VLOOKUP('Land data'!H97,'Other corrections needed'!$A$3:$E$6,5,FALSE),IF(ISERR('Land data'!G97),VLOOKUP('Land data'!H97,'Other corrections needed'!$A$3:$E$6,5,FALSE),'Land data'!G97)))</f>
        <v>0.39312262094254985</v>
      </c>
    </row>
    <row r="98" spans="1:10" x14ac:dyDescent="0.2">
      <c r="A98" s="21" t="s">
        <v>707</v>
      </c>
      <c r="B98" s="21" t="s">
        <v>405</v>
      </c>
      <c r="C98" s="21" t="s">
        <v>1152</v>
      </c>
      <c r="D98" s="21">
        <v>27.1</v>
      </c>
      <c r="E98" s="21">
        <v>11510</v>
      </c>
      <c r="F98" s="21">
        <f t="shared" si="2"/>
        <v>424.72324723247232</v>
      </c>
      <c r="G98" s="21">
        <f t="shared" si="3"/>
        <v>0.37442273142742627</v>
      </c>
      <c r="H98" s="21"/>
      <c r="I98" s="21"/>
      <c r="J98" s="89">
        <f>IF(I98="Yes",VLOOKUP(B98,'Other corrections needed'!$A$11:$K$17,11,FALSE),IF('Land data'!G98=0,VLOOKUP('Land data'!H98,'Other corrections needed'!$A$3:$E$6,5,FALSE),IF(ISERR('Land data'!G98),VLOOKUP('Land data'!H98,'Other corrections needed'!$A$3:$E$6,5,FALSE),'Land data'!G98)))</f>
        <v>0.37442273142742627</v>
      </c>
    </row>
    <row r="99" spans="1:10" x14ac:dyDescent="0.2">
      <c r="A99" s="21" t="s">
        <v>707</v>
      </c>
      <c r="B99" s="21" t="s">
        <v>662</v>
      </c>
      <c r="C99" s="21" t="s">
        <v>3028</v>
      </c>
      <c r="D99" s="21">
        <v>28.37</v>
      </c>
      <c r="E99" s="21">
        <v>37975</v>
      </c>
      <c r="F99" s="21">
        <f t="shared" si="2"/>
        <v>1338.5618611209022</v>
      </c>
      <c r="G99" s="21">
        <f t="shared" si="3"/>
        <v>1.1800342728853317</v>
      </c>
      <c r="H99" s="21" t="s">
        <v>533</v>
      </c>
      <c r="I99" s="21"/>
      <c r="J99" s="89">
        <f>IF(I99="Yes",VLOOKUP(B99,'Other corrections needed'!$A$11:$K$17,11,FALSE),IF('Land data'!G99=0,VLOOKUP('Land data'!H99,'Other corrections needed'!$A$3:$E$6,5,FALSE),IF(ISERR('Land data'!G99),VLOOKUP('Land data'!H99,'Other corrections needed'!$A$3:$E$6,5,FALSE),'Land data'!G99)))</f>
        <v>1.1800342728853317</v>
      </c>
    </row>
    <row r="100" spans="1:10" x14ac:dyDescent="0.2">
      <c r="A100" s="21" t="s">
        <v>707</v>
      </c>
      <c r="B100" s="21" t="s">
        <v>3732</v>
      </c>
      <c r="C100" s="21" t="s">
        <v>3016</v>
      </c>
      <c r="D100" s="21">
        <v>15.2</v>
      </c>
      <c r="E100" s="21">
        <v>18000.400000000001</v>
      </c>
      <c r="F100" s="21">
        <f t="shared" si="2"/>
        <v>1184.2368421052633</v>
      </c>
      <c r="G100" s="21">
        <f t="shared" si="3"/>
        <v>1.0439861626772329</v>
      </c>
      <c r="H100" s="21" t="s">
        <v>533</v>
      </c>
      <c r="I100" s="21"/>
      <c r="J100" s="89">
        <f>IF(I100="Yes",VLOOKUP(B100,'Other corrections needed'!$A$11:$K$17,11,FALSE),IF('Land data'!G100=0,VLOOKUP('Land data'!H100,'Other corrections needed'!$A$3:$E$6,5,FALSE),IF(ISERR('Land data'!G100),VLOOKUP('Land data'!H100,'Other corrections needed'!$A$3:$E$6,5,FALSE),'Land data'!G100)))</f>
        <v>1.0439861626772329</v>
      </c>
    </row>
    <row r="101" spans="1:10" x14ac:dyDescent="0.2">
      <c r="A101" s="21" t="s">
        <v>707</v>
      </c>
      <c r="B101" s="21" t="s">
        <v>3712</v>
      </c>
      <c r="C101" s="21" t="s">
        <v>3014</v>
      </c>
      <c r="D101" s="21">
        <v>25.72</v>
      </c>
      <c r="E101" s="21">
        <v>26248</v>
      </c>
      <c r="F101" s="21">
        <f t="shared" si="2"/>
        <v>1020.5287713841369</v>
      </c>
      <c r="G101" s="21">
        <f t="shared" si="3"/>
        <v>0.89966624754301827</v>
      </c>
      <c r="H101" s="21" t="s">
        <v>533</v>
      </c>
      <c r="I101" s="21"/>
      <c r="J101" s="89">
        <f>IF(I101="Yes",VLOOKUP(B101,'Other corrections needed'!$A$11:$K$17,11,FALSE),IF('Land data'!G101=0,VLOOKUP('Land data'!H101,'Other corrections needed'!$A$3:$E$6,5,FALSE),IF(ISERR('Land data'!G101),VLOOKUP('Land data'!H101,'Other corrections needed'!$A$3:$E$6,5,FALSE),'Land data'!G101)))</f>
        <v>0.89966624754301827</v>
      </c>
    </row>
    <row r="102" spans="1:10" x14ac:dyDescent="0.2">
      <c r="A102" s="21" t="s">
        <v>707</v>
      </c>
      <c r="B102" s="21" t="s">
        <v>586</v>
      </c>
      <c r="C102" s="21" t="s">
        <v>3024</v>
      </c>
      <c r="D102" s="21">
        <v>14.398</v>
      </c>
      <c r="E102" s="21">
        <v>15451</v>
      </c>
      <c r="F102" s="21">
        <f t="shared" si="2"/>
        <v>1073.1351576607863</v>
      </c>
      <c r="G102" s="21">
        <f t="shared" si="3"/>
        <v>0.94604239240576504</v>
      </c>
      <c r="H102" s="21" t="s">
        <v>533</v>
      </c>
      <c r="I102" s="21"/>
      <c r="J102" s="89">
        <f>IF(I102="Yes",VLOOKUP(B102,'Other corrections needed'!$A$11:$K$17,11,FALSE),IF('Land data'!G102=0,VLOOKUP('Land data'!H102,'Other corrections needed'!$A$3:$E$6,5,FALSE),IF(ISERR('Land data'!G102),VLOOKUP('Land data'!H102,'Other corrections needed'!$A$3:$E$6,5,FALSE),'Land data'!G102)))</f>
        <v>0.94604239240576504</v>
      </c>
    </row>
    <row r="103" spans="1:10" x14ac:dyDescent="0.2">
      <c r="A103" s="21" t="s">
        <v>707</v>
      </c>
      <c r="B103" s="21" t="s">
        <v>407</v>
      </c>
      <c r="C103" s="21" t="s">
        <v>1153</v>
      </c>
      <c r="D103" s="21">
        <v>56.279000000000011</v>
      </c>
      <c r="E103" s="21">
        <v>30133</v>
      </c>
      <c r="F103" s="21">
        <f t="shared" si="2"/>
        <v>535.42173812612157</v>
      </c>
      <c r="G103" s="21">
        <f t="shared" si="3"/>
        <v>0.47201105887447004</v>
      </c>
      <c r="H103" s="21"/>
      <c r="I103" s="21"/>
      <c r="J103" s="89">
        <f>IF(I103="Yes",VLOOKUP(B103,'Other corrections needed'!$A$11:$K$17,11,FALSE),IF('Land data'!G103=0,VLOOKUP('Land data'!H103,'Other corrections needed'!$A$3:$E$6,5,FALSE),IF(ISERR('Land data'!G103),VLOOKUP('Land data'!H103,'Other corrections needed'!$A$3:$E$6,5,FALSE),'Land data'!G103)))</f>
        <v>0.47201105887447004</v>
      </c>
    </row>
    <row r="104" spans="1:10" x14ac:dyDescent="0.2">
      <c r="A104" s="21" t="s">
        <v>707</v>
      </c>
      <c r="B104" s="21" t="s">
        <v>2377</v>
      </c>
      <c r="C104" s="21" t="s">
        <v>3543</v>
      </c>
      <c r="D104" s="21">
        <v>17.3367</v>
      </c>
      <c r="E104" s="21">
        <v>23910</v>
      </c>
      <c r="F104" s="21">
        <f t="shared" si="2"/>
        <v>1379.1552025471976</v>
      </c>
      <c r="G104" s="21">
        <f t="shared" si="3"/>
        <v>1.2158200931191849</v>
      </c>
      <c r="H104" s="21"/>
      <c r="I104" s="21"/>
      <c r="J104" s="89">
        <f>IF(I104="Yes",VLOOKUP(B104,'Other corrections needed'!$A$11:$K$17,11,FALSE),IF('Land data'!G104=0,VLOOKUP('Land data'!H104,'Other corrections needed'!$A$3:$E$6,5,FALSE),IF(ISERR('Land data'!G104),VLOOKUP('Land data'!H104,'Other corrections needed'!$A$3:$E$6,5,FALSE),'Land data'!G104)))</f>
        <v>1.2158200931191849</v>
      </c>
    </row>
    <row r="105" spans="1:10" x14ac:dyDescent="0.2">
      <c r="A105" s="21" t="s">
        <v>707</v>
      </c>
      <c r="B105" s="21" t="s">
        <v>2383</v>
      </c>
      <c r="C105" s="21" t="s">
        <v>3827</v>
      </c>
      <c r="D105" s="21">
        <v>25.752000000000002</v>
      </c>
      <c r="E105" s="21">
        <v>48555</v>
      </c>
      <c r="F105" s="21">
        <f t="shared" si="2"/>
        <v>1885.484622553588</v>
      </c>
      <c r="G105" s="21">
        <f t="shared" si="3"/>
        <v>1.6621842742093005</v>
      </c>
      <c r="H105" s="21"/>
      <c r="I105" s="21"/>
      <c r="J105" s="89">
        <f>IF(I105="Yes",VLOOKUP(B105,'Other corrections needed'!$A$11:$K$17,11,FALSE),IF('Land data'!G105=0,VLOOKUP('Land data'!H105,'Other corrections needed'!$A$3:$E$6,5,FALSE),IF(ISERR('Land data'!G105),VLOOKUP('Land data'!H105,'Other corrections needed'!$A$3:$E$6,5,FALSE),'Land data'!G105)))</f>
        <v>1.6621842742093005</v>
      </c>
    </row>
    <row r="106" spans="1:10" x14ac:dyDescent="0.2">
      <c r="A106" s="21" t="s">
        <v>707</v>
      </c>
      <c r="B106" s="21" t="s">
        <v>11</v>
      </c>
      <c r="C106" s="21" t="s">
        <v>3501</v>
      </c>
      <c r="D106" s="21">
        <v>24</v>
      </c>
      <c r="E106" s="21">
        <v>434</v>
      </c>
      <c r="F106" s="21">
        <f t="shared" si="2"/>
        <v>18.083333333333332</v>
      </c>
      <c r="G106" s="21">
        <f t="shared" si="3"/>
        <v>1.5941701105598505E-2</v>
      </c>
      <c r="H106" s="21"/>
      <c r="I106" s="21"/>
      <c r="J106" s="89">
        <f>IF(I106="Yes",VLOOKUP(B106,'Other corrections needed'!$A$11:$K$17,11,FALSE),IF('Land data'!G106=0,VLOOKUP('Land data'!H106,'Other corrections needed'!$A$3:$E$6,5,FALSE),IF(ISERR('Land data'!G106),VLOOKUP('Land data'!H106,'Other corrections needed'!$A$3:$E$6,5,FALSE),'Land data'!G106)))</f>
        <v>1.5941701105598505E-2</v>
      </c>
    </row>
    <row r="107" spans="1:10" x14ac:dyDescent="0.2">
      <c r="A107" s="21" t="s">
        <v>707</v>
      </c>
      <c r="B107" s="21" t="s">
        <v>596</v>
      </c>
      <c r="C107" s="21" t="s">
        <v>1117</v>
      </c>
      <c r="D107" s="21">
        <v>27.79</v>
      </c>
      <c r="E107" s="21">
        <v>33651</v>
      </c>
      <c r="F107" s="21">
        <f t="shared" si="2"/>
        <v>1210.90320259086</v>
      </c>
      <c r="G107" s="21">
        <f t="shared" si="3"/>
        <v>1.0674943920838056</v>
      </c>
      <c r="H107" s="21" t="s">
        <v>3753</v>
      </c>
      <c r="I107" s="21"/>
      <c r="J107" s="89">
        <f>IF(I107="Yes",VLOOKUP(B107,'Other corrections needed'!$A$11:$K$17,11,FALSE),IF('Land data'!G107=0,VLOOKUP('Land data'!H107,'Other corrections needed'!$A$3:$E$6,5,FALSE),IF(ISERR('Land data'!G107),VLOOKUP('Land data'!H107,'Other corrections needed'!$A$3:$E$6,5,FALSE),'Land data'!G107)))</f>
        <v>1.0674943920838056</v>
      </c>
    </row>
    <row r="108" spans="1:10" x14ac:dyDescent="0.2">
      <c r="A108" s="21" t="s">
        <v>707</v>
      </c>
      <c r="B108" s="21" t="s">
        <v>403</v>
      </c>
      <c r="C108" s="21" t="s">
        <v>3461</v>
      </c>
      <c r="D108" s="21">
        <v>10.4</v>
      </c>
      <c r="E108" s="21">
        <v>25001</v>
      </c>
      <c r="F108" s="21">
        <f t="shared" si="2"/>
        <v>2403.9423076923076</v>
      </c>
      <c r="G108" s="21">
        <f t="shared" si="3"/>
        <v>2.119240354525354</v>
      </c>
      <c r="H108" s="21" t="s">
        <v>3786</v>
      </c>
      <c r="I108" s="21"/>
      <c r="J108" s="89">
        <f>IF(I108="Yes",VLOOKUP(B108,'Other corrections needed'!$A$11:$K$17,11,FALSE),IF('Land data'!G108=0,VLOOKUP('Land data'!H108,'Other corrections needed'!$A$3:$E$6,5,FALSE),IF(ISERR('Land data'!G108),VLOOKUP('Land data'!H108,'Other corrections needed'!$A$3:$E$6,5,FALSE),'Land data'!G108)))</f>
        <v>2.119240354525354</v>
      </c>
    </row>
    <row r="109" spans="1:10" x14ac:dyDescent="0.2">
      <c r="A109" s="21" t="s">
        <v>707</v>
      </c>
      <c r="B109" s="21" t="s">
        <v>2267</v>
      </c>
      <c r="C109" s="21" t="s">
        <v>1174</v>
      </c>
      <c r="D109" s="21">
        <v>9.7650000000000006</v>
      </c>
      <c r="E109" s="21">
        <v>68286</v>
      </c>
      <c r="F109" s="21">
        <f t="shared" si="2"/>
        <v>6992.9339477726571</v>
      </c>
      <c r="G109" s="21">
        <f t="shared" si="3"/>
        <v>6.1647518624839464</v>
      </c>
      <c r="H109" s="21" t="s">
        <v>3791</v>
      </c>
      <c r="I109" s="21"/>
      <c r="J109" s="89">
        <f>IF(I109="Yes",VLOOKUP(B109,'Other corrections needed'!$A$11:$K$17,11,FALSE),IF('Land data'!G109=0,VLOOKUP('Land data'!H109,'Other corrections needed'!$A$3:$E$6,5,FALSE),IF(ISERR('Land data'!G109),VLOOKUP('Land data'!H109,'Other corrections needed'!$A$3:$E$6,5,FALSE),'Land data'!G109)))</f>
        <v>6.1647518624839464</v>
      </c>
    </row>
    <row r="110" spans="1:10" x14ac:dyDescent="0.2">
      <c r="A110" s="21" t="s">
        <v>707</v>
      </c>
      <c r="B110" s="21" t="s">
        <v>590</v>
      </c>
      <c r="C110" s="21" t="s">
        <v>3478</v>
      </c>
      <c r="D110" s="21">
        <v>0.87</v>
      </c>
      <c r="E110" s="21">
        <v>3495</v>
      </c>
      <c r="F110" s="21">
        <f t="shared" si="2"/>
        <v>4017.2413793103447</v>
      </c>
      <c r="G110" s="21">
        <f t="shared" si="3"/>
        <v>3.5414743597055001</v>
      </c>
      <c r="H110" s="21" t="s">
        <v>3769</v>
      </c>
      <c r="I110" s="21"/>
      <c r="J110" s="89">
        <f>IF(I110="Yes",VLOOKUP(B110,'Other corrections needed'!$A$11:$K$17,11,FALSE),IF('Land data'!G110=0,VLOOKUP('Land data'!H110,'Other corrections needed'!$A$3:$E$6,5,FALSE),IF(ISERR('Land data'!G110),VLOOKUP('Land data'!H110,'Other corrections needed'!$A$3:$E$6,5,FALSE),'Land data'!G110)))</f>
        <v>3.5414743597055001</v>
      </c>
    </row>
    <row r="111" spans="1:10" x14ac:dyDescent="0.2">
      <c r="A111" s="21" t="s">
        <v>707</v>
      </c>
      <c r="B111" s="21" t="s">
        <v>413</v>
      </c>
      <c r="C111" s="21" t="s">
        <v>3008</v>
      </c>
      <c r="D111" s="21">
        <v>22.957000000000001</v>
      </c>
      <c r="E111" s="21">
        <v>14518</v>
      </c>
      <c r="F111" s="21">
        <f t="shared" si="2"/>
        <v>632.39970379404974</v>
      </c>
      <c r="G111" s="21">
        <f t="shared" si="3"/>
        <v>0.55750380039560021</v>
      </c>
      <c r="H111" s="21"/>
      <c r="I111" s="21"/>
      <c r="J111" s="89">
        <f>IF(I111="Yes",VLOOKUP(B111,'Other corrections needed'!$A$11:$K$17,11,FALSE),IF('Land data'!G111=0,VLOOKUP('Land data'!H111,'Other corrections needed'!$A$3:$E$6,5,FALSE),IF(ISERR('Land data'!G111),VLOOKUP('Land data'!H111,'Other corrections needed'!$A$3:$E$6,5,FALSE),'Land data'!G111)))</f>
        <v>0.55750380039560021</v>
      </c>
    </row>
    <row r="112" spans="1:10" x14ac:dyDescent="0.2">
      <c r="A112" s="21" t="s">
        <v>707</v>
      </c>
      <c r="B112" s="21" t="s">
        <v>9</v>
      </c>
      <c r="C112" s="21" t="s">
        <v>2993</v>
      </c>
      <c r="D112" s="21">
        <v>31.089000000000002</v>
      </c>
      <c r="E112" s="21">
        <v>3178</v>
      </c>
      <c r="F112" s="21">
        <f t="shared" si="2"/>
        <v>102.22265109845925</v>
      </c>
      <c r="G112" s="21">
        <f t="shared" si="3"/>
        <v>9.011629216775216E-2</v>
      </c>
      <c r="H112" s="21"/>
      <c r="I112" s="21"/>
      <c r="J112" s="89">
        <f>IF(I112="Yes",VLOOKUP(B112,'Other corrections needed'!$A$11:$K$17,11,FALSE),IF('Land data'!G112=0,VLOOKUP('Land data'!H112,'Other corrections needed'!$A$3:$E$6,5,FALSE),IF(ISERR('Land data'!G112),VLOOKUP('Land data'!H112,'Other corrections needed'!$A$3:$E$6,5,FALSE),'Land data'!G112)))</f>
        <v>9.011629216775216E-2</v>
      </c>
    </row>
    <row r="113" spans="1:10" x14ac:dyDescent="0.2">
      <c r="A113" s="21" t="s">
        <v>707</v>
      </c>
      <c r="B113" s="21" t="s">
        <v>1341</v>
      </c>
      <c r="C113" s="21" t="s">
        <v>2119</v>
      </c>
      <c r="D113" s="21">
        <v>14.17</v>
      </c>
      <c r="E113" s="21">
        <v>9000</v>
      </c>
      <c r="F113" s="21">
        <f t="shared" si="2"/>
        <v>635.1446718419196</v>
      </c>
      <c r="G113" s="21">
        <f t="shared" si="3"/>
        <v>0.55992367837699519</v>
      </c>
      <c r="H113" s="21"/>
      <c r="I113" s="21"/>
      <c r="J113" s="89">
        <f>IF(I113="Yes",VLOOKUP(B113,'Other corrections needed'!$A$11:$K$17,11,FALSE),IF('Land data'!G113=0,VLOOKUP('Land data'!H113,'Other corrections needed'!$A$3:$E$6,5,FALSE),IF(ISERR('Land data'!G113),VLOOKUP('Land data'!H113,'Other corrections needed'!$A$3:$E$6,5,FALSE),'Land data'!G113)))</f>
        <v>0.55992367837699519</v>
      </c>
    </row>
    <row r="114" spans="1:10" x14ac:dyDescent="0.2">
      <c r="A114" s="21" t="s">
        <v>707</v>
      </c>
      <c r="B114" s="21" t="s">
        <v>3666</v>
      </c>
      <c r="C114" s="21" t="s">
        <v>2125</v>
      </c>
      <c r="D114" s="21">
        <v>16</v>
      </c>
      <c r="E114" s="21">
        <v>24303</v>
      </c>
      <c r="F114" s="21">
        <f t="shared" si="2"/>
        <v>1518.9375</v>
      </c>
      <c r="G114" s="21">
        <f t="shared" si="3"/>
        <v>1.3390477948249786</v>
      </c>
      <c r="H114" s="21"/>
      <c r="I114" s="21"/>
      <c r="J114" s="89">
        <f>IF(I114="Yes",VLOOKUP(B114,'Other corrections needed'!$A$11:$K$17,11,FALSE),IF('Land data'!G114=0,VLOOKUP('Land data'!H114,'Other corrections needed'!$A$3:$E$6,5,FALSE),IF(ISERR('Land data'!G114),VLOOKUP('Land data'!H114,'Other corrections needed'!$A$3:$E$6,5,FALSE),'Land data'!G114)))</f>
        <v>1.3390477948249786</v>
      </c>
    </row>
    <row r="115" spans="1:10" x14ac:dyDescent="0.2">
      <c r="A115" s="21" t="s">
        <v>707</v>
      </c>
      <c r="B115" s="21" t="s">
        <v>3684</v>
      </c>
      <c r="C115" s="21" t="s">
        <v>203</v>
      </c>
      <c r="D115" s="21">
        <v>30.730699999999999</v>
      </c>
      <c r="E115" s="21">
        <v>55112</v>
      </c>
      <c r="F115" s="21">
        <f t="shared" si="2"/>
        <v>1793.3857673271355</v>
      </c>
      <c r="G115" s="21">
        <f t="shared" si="3"/>
        <v>1.5809928038578962</v>
      </c>
      <c r="H115" s="21"/>
      <c r="I115" s="21"/>
      <c r="J115" s="89">
        <f>IF(I115="Yes",VLOOKUP(B115,'Other corrections needed'!$A$11:$K$17,11,FALSE),IF('Land data'!G115=0,VLOOKUP('Land data'!H115,'Other corrections needed'!$A$3:$E$6,5,FALSE),IF(ISERR('Land data'!G115),VLOOKUP('Land data'!H115,'Other corrections needed'!$A$3:$E$6,5,FALSE),'Land data'!G115)))</f>
        <v>1.5809928038578962</v>
      </c>
    </row>
    <row r="116" spans="1:10" x14ac:dyDescent="0.2">
      <c r="A116" s="21" t="s">
        <v>707</v>
      </c>
      <c r="B116" s="21" t="s">
        <v>3734</v>
      </c>
      <c r="C116" s="21" t="s">
        <v>3557</v>
      </c>
      <c r="D116" s="21">
        <v>18.079999999999998</v>
      </c>
      <c r="E116" s="21">
        <v>6016</v>
      </c>
      <c r="F116" s="21">
        <f t="shared" si="2"/>
        <v>332.74336283185846</v>
      </c>
      <c r="G116" s="21">
        <f t="shared" si="3"/>
        <v>0.29333614203523706</v>
      </c>
      <c r="H116" s="21"/>
      <c r="I116" s="21"/>
      <c r="J116" s="89">
        <f>IF(I116="Yes",VLOOKUP(B116,'Other corrections needed'!$A$11:$K$17,11,FALSE),IF('Land data'!G116=0,VLOOKUP('Land data'!H116,'Other corrections needed'!$A$3:$E$6,5,FALSE),IF(ISERR('Land data'!G116),VLOOKUP('Land data'!H116,'Other corrections needed'!$A$3:$E$6,5,FALSE),'Land data'!G116)))</f>
        <v>0.29333614203523706</v>
      </c>
    </row>
    <row r="117" spans="1:10" x14ac:dyDescent="0.2">
      <c r="A117" s="21" t="s">
        <v>707</v>
      </c>
      <c r="B117" s="21" t="s">
        <v>3668</v>
      </c>
      <c r="C117" s="21" t="s">
        <v>2126</v>
      </c>
      <c r="D117" s="21">
        <v>35.689600000000006</v>
      </c>
      <c r="E117" s="21">
        <v>40289</v>
      </c>
      <c r="F117" s="21">
        <f t="shared" si="2"/>
        <v>1128.8722765175287</v>
      </c>
      <c r="G117" s="21">
        <f t="shared" si="3"/>
        <v>0.99517849319662621</v>
      </c>
      <c r="H117" s="21"/>
      <c r="I117" s="21"/>
      <c r="J117" s="89">
        <f>IF(I117="Yes",VLOOKUP(B117,'Other corrections needed'!$A$11:$K$17,11,FALSE),IF('Land data'!G117=0,VLOOKUP('Land data'!H117,'Other corrections needed'!$A$3:$E$6,5,FALSE),IF(ISERR('Land data'!G117),VLOOKUP('Land data'!H117,'Other corrections needed'!$A$3:$E$6,5,FALSE),'Land data'!G117)))</f>
        <v>0.99517849319662621</v>
      </c>
    </row>
    <row r="118" spans="1:10" x14ac:dyDescent="0.2">
      <c r="A118" s="21" t="s">
        <v>707</v>
      </c>
      <c r="B118" s="21" t="s">
        <v>2373</v>
      </c>
      <c r="C118" s="21" t="s">
        <v>3445</v>
      </c>
      <c r="D118" s="21">
        <v>2.1467999999999998</v>
      </c>
      <c r="E118" s="21">
        <v>41855</v>
      </c>
      <c r="F118" s="21">
        <f t="shared" si="2"/>
        <v>19496.459847214461</v>
      </c>
      <c r="G118" s="21">
        <f t="shared" si="3"/>
        <v>17.187469244327872</v>
      </c>
      <c r="H118" s="21" t="s">
        <v>3769</v>
      </c>
      <c r="I118" s="21"/>
      <c r="J118" s="89">
        <f>IF(I118="Yes",VLOOKUP(B118,'Other corrections needed'!$A$11:$K$17,11,FALSE),IF('Land data'!G118=0,VLOOKUP('Land data'!H118,'Other corrections needed'!$A$3:$E$6,5,FALSE),IF(ISERR('Land data'!G118),VLOOKUP('Land data'!H118,'Other corrections needed'!$A$3:$E$6,5,FALSE),'Land data'!G118)))</f>
        <v>17.187469244327872</v>
      </c>
    </row>
    <row r="119" spans="1:10" x14ac:dyDescent="0.2">
      <c r="A119" s="21" t="s">
        <v>707</v>
      </c>
      <c r="B119" s="21" t="s">
        <v>2337</v>
      </c>
      <c r="C119" s="21" t="s">
        <v>3043</v>
      </c>
      <c r="D119" s="21">
        <v>28.3066</v>
      </c>
      <c r="E119" s="21">
        <v>22448</v>
      </c>
      <c r="F119" s="21">
        <f t="shared" si="2"/>
        <v>793.0306006373072</v>
      </c>
      <c r="G119" s="21">
        <f t="shared" si="3"/>
        <v>0.6991109752785184</v>
      </c>
      <c r="H119" s="21"/>
      <c r="I119" s="21"/>
      <c r="J119" s="89">
        <f>IF(I119="Yes",VLOOKUP(B119,'Other corrections needed'!$A$11:$K$17,11,FALSE),IF('Land data'!G119=0,VLOOKUP('Land data'!H119,'Other corrections needed'!$A$3:$E$6,5,FALSE),IF(ISERR('Land data'!G119),VLOOKUP('Land data'!H119,'Other corrections needed'!$A$3:$E$6,5,FALSE),'Land data'!G119)))</f>
        <v>0.6991109752785184</v>
      </c>
    </row>
    <row r="120" spans="1:10" x14ac:dyDescent="0.2">
      <c r="A120" s="21" t="s">
        <v>707</v>
      </c>
      <c r="B120" s="21" t="s">
        <v>401</v>
      </c>
      <c r="C120" s="21" t="s">
        <v>3459</v>
      </c>
      <c r="D120" s="21">
        <v>0.67</v>
      </c>
      <c r="E120" s="21">
        <v>10230</v>
      </c>
      <c r="F120" s="21">
        <f t="shared" si="2"/>
        <v>15268.656716417909</v>
      </c>
      <c r="G120" s="21">
        <f>F120/F$236</f>
        <v>13.46037022988701</v>
      </c>
      <c r="H120" s="21" t="s">
        <v>3781</v>
      </c>
      <c r="I120" s="21"/>
      <c r="J120" s="89">
        <f>IF(I120="Yes",VLOOKUP(B120,'Other corrections needed'!$A$11:$K$17,11,FALSE),IF('Land data'!G120=0,VLOOKUP('Land data'!H120,'Other corrections needed'!$A$3:$E$6,5,FALSE),IF(ISERR('Land data'!G120),VLOOKUP('Land data'!H120,'Other corrections needed'!$A$3:$E$6,5,FALSE),'Land data'!G120)))</f>
        <v>13.46037022988701</v>
      </c>
    </row>
    <row r="121" spans="1:10" x14ac:dyDescent="0.2">
      <c r="A121" s="21" t="s">
        <v>707</v>
      </c>
      <c r="B121" s="21" t="s">
        <v>369</v>
      </c>
      <c r="C121" s="21" t="s">
        <v>2123</v>
      </c>
      <c r="D121" s="21">
        <v>16.47</v>
      </c>
      <c r="E121" s="21">
        <v>11860</v>
      </c>
      <c r="F121" s="21">
        <f t="shared" si="2"/>
        <v>720.09714632665452</v>
      </c>
      <c r="G121" s="21">
        <f t="shared" si="3"/>
        <v>0.63481512297146314</v>
      </c>
      <c r="H121" s="21"/>
      <c r="I121" s="21"/>
      <c r="J121" s="89">
        <f>IF(I121="Yes",VLOOKUP(B121,'Other corrections needed'!$A$11:$K$17,11,FALSE),IF('Land data'!G121=0,VLOOKUP('Land data'!H121,'Other corrections needed'!$A$3:$E$6,5,FALSE),IF(ISERR('Land data'!G121),VLOOKUP('Land data'!H121,'Other corrections needed'!$A$3:$E$6,5,FALSE),'Land data'!G121)))</f>
        <v>0.63481512297146314</v>
      </c>
    </row>
    <row r="122" spans="1:10" x14ac:dyDescent="0.2">
      <c r="A122" s="21" t="s">
        <v>707</v>
      </c>
      <c r="B122" s="21" t="s">
        <v>387</v>
      </c>
      <c r="C122" s="21" t="s">
        <v>3509</v>
      </c>
      <c r="D122" s="21">
        <v>14.833</v>
      </c>
      <c r="E122" s="21">
        <v>21485</v>
      </c>
      <c r="F122" s="21">
        <f t="shared" si="2"/>
        <v>1448.4595159441785</v>
      </c>
      <c r="G122" s="21">
        <f t="shared" si="3"/>
        <v>1.2769166082990961</v>
      </c>
      <c r="H122" s="21"/>
      <c r="I122" s="21"/>
      <c r="J122" s="89">
        <f>IF(I122="Yes",VLOOKUP(B122,'Other corrections needed'!$A$11:$K$17,11,FALSE),IF('Land data'!G122=0,VLOOKUP('Land data'!H122,'Other corrections needed'!$A$3:$E$6,5,FALSE),IF(ISERR('Land data'!G122),VLOOKUP('Land data'!H122,'Other corrections needed'!$A$3:$E$6,5,FALSE),'Land data'!G122)))</f>
        <v>1.2769166082990961</v>
      </c>
    </row>
    <row r="123" spans="1:10" x14ac:dyDescent="0.2">
      <c r="A123" s="21" t="s">
        <v>707</v>
      </c>
      <c r="B123" s="21" t="s">
        <v>3704</v>
      </c>
      <c r="C123" s="21" t="s">
        <v>3511</v>
      </c>
      <c r="D123" s="21">
        <v>6.95</v>
      </c>
      <c r="E123" s="21">
        <v>9229</v>
      </c>
      <c r="F123" s="21">
        <f t="shared" si="2"/>
        <v>1327.9136690647481</v>
      </c>
      <c r="G123" s="21">
        <f t="shared" si="3"/>
        <v>1.1706471597936698</v>
      </c>
      <c r="H123" s="21"/>
      <c r="I123" s="21"/>
      <c r="J123" s="89">
        <f>IF(I123="Yes",VLOOKUP(B123,'Other corrections needed'!$A$11:$K$17,11,FALSE),IF('Land data'!G123=0,VLOOKUP('Land data'!H123,'Other corrections needed'!$A$3:$E$6,5,FALSE),IF(ISERR('Land data'!G123),VLOOKUP('Land data'!H123,'Other corrections needed'!$A$3:$E$6,5,FALSE),'Land data'!G123)))</f>
        <v>1.1706471597936698</v>
      </c>
    </row>
    <row r="124" spans="1:10" x14ac:dyDescent="0.2">
      <c r="A124" s="21" t="s">
        <v>707</v>
      </c>
      <c r="B124" s="21" t="s">
        <v>3688</v>
      </c>
      <c r="C124" s="21" t="s">
        <v>3469</v>
      </c>
      <c r="D124" s="21">
        <v>31.14</v>
      </c>
      <c r="E124" s="21">
        <v>32315</v>
      </c>
      <c r="F124" s="21">
        <f t="shared" si="2"/>
        <v>1037.7328195247271</v>
      </c>
      <c r="G124" s="21">
        <f t="shared" si="3"/>
        <v>0.91483279832257314</v>
      </c>
      <c r="H124" s="21" t="s">
        <v>3796</v>
      </c>
      <c r="I124" s="21"/>
      <c r="J124" s="89">
        <f>IF(I124="Yes",VLOOKUP(B124,'Other corrections needed'!$A$11:$K$17,11,FALSE),IF('Land data'!G124=0,VLOOKUP('Land data'!H124,'Other corrections needed'!$A$3:$E$6,5,FALSE),IF(ISERR('Land data'!G124),VLOOKUP('Land data'!H124,'Other corrections needed'!$A$3:$E$6,5,FALSE),'Land data'!G124)))</f>
        <v>0.91483279832257314</v>
      </c>
    </row>
    <row r="125" spans="1:10" x14ac:dyDescent="0.2">
      <c r="A125" s="21" t="s">
        <v>707</v>
      </c>
      <c r="B125" s="21" t="s">
        <v>612</v>
      </c>
      <c r="C125" s="21" t="s">
        <v>3391</v>
      </c>
      <c r="D125" s="21">
        <v>8.5500000000000007</v>
      </c>
      <c r="E125" s="21">
        <v>26512</v>
      </c>
      <c r="F125" s="21">
        <f t="shared" si="2"/>
        <v>3100.8187134502923</v>
      </c>
      <c r="G125" s="21">
        <f t="shared" si="3"/>
        <v>2.733584798846326</v>
      </c>
      <c r="H125" s="21" t="s">
        <v>3782</v>
      </c>
      <c r="I125" s="21" t="s">
        <v>3833</v>
      </c>
      <c r="J125" s="89">
        <f>IF(I125="Yes",VLOOKUP(B125,'Other corrections needed'!$A$11:$K$17,11,FALSE),IF('Land data'!G125=0,VLOOKUP('Land data'!H125,'Other corrections needed'!$A$3:$E$6,5,FALSE),IF(ISERR('Land data'!G125),VLOOKUP('Land data'!H125,'Other corrections needed'!$A$3:$E$6,5,FALSE),'Land data'!G125)))</f>
        <v>4.7347738174227292</v>
      </c>
    </row>
    <row r="126" spans="1:10" x14ac:dyDescent="0.2">
      <c r="A126" s="21" t="s">
        <v>707</v>
      </c>
      <c r="B126" s="21" t="s">
        <v>2279</v>
      </c>
      <c r="C126" s="21" t="s">
        <v>2136</v>
      </c>
      <c r="D126" s="21">
        <v>5.9369999999999994</v>
      </c>
      <c r="E126" s="21">
        <v>14655</v>
      </c>
      <c r="F126" s="21">
        <f t="shared" si="2"/>
        <v>2468.4183931278426</v>
      </c>
      <c r="G126" s="21">
        <f t="shared" si="3"/>
        <v>2.1760804549385706</v>
      </c>
      <c r="H126" s="21" t="s">
        <v>3753</v>
      </c>
      <c r="I126" s="21"/>
      <c r="J126" s="89">
        <f>IF(I126="Yes",VLOOKUP(B126,'Other corrections needed'!$A$11:$K$17,11,FALSE),IF('Land data'!G126=0,VLOOKUP('Land data'!H126,'Other corrections needed'!$A$3:$E$6,5,FALSE),IF(ISERR('Land data'!G126),VLOOKUP('Land data'!H126,'Other corrections needed'!$A$3:$E$6,5,FALSE),'Land data'!G126)))</f>
        <v>2.1760804549385706</v>
      </c>
    </row>
    <row r="127" spans="1:10" x14ac:dyDescent="0.2">
      <c r="A127" s="21" t="s">
        <v>707</v>
      </c>
      <c r="B127" s="21" t="s">
        <v>3722</v>
      </c>
      <c r="C127" s="21" t="s">
        <v>3015</v>
      </c>
      <c r="D127" s="21">
        <v>20</v>
      </c>
      <c r="E127" s="21">
        <v>24087</v>
      </c>
      <c r="F127" s="21">
        <f t="shared" si="2"/>
        <v>1204.3499999999999</v>
      </c>
      <c r="G127" s="21">
        <f t="shared" si="3"/>
        <v>1.0617172936328605</v>
      </c>
      <c r="H127" s="21"/>
      <c r="I127" s="21"/>
      <c r="J127" s="89">
        <f>IF(I127="Yes",VLOOKUP(B127,'Other corrections needed'!$A$11:$K$17,11,FALSE),IF('Land data'!G127=0,VLOOKUP('Land data'!H127,'Other corrections needed'!$A$3:$E$6,5,FALSE),IF(ISERR('Land data'!G127),VLOOKUP('Land data'!H127,'Other corrections needed'!$A$3:$E$6,5,FALSE),'Land data'!G127)))</f>
        <v>1.0617172936328605</v>
      </c>
    </row>
    <row r="128" spans="1:10" x14ac:dyDescent="0.2">
      <c r="A128" s="21" t="s">
        <v>707</v>
      </c>
      <c r="B128" s="21" t="s">
        <v>393</v>
      </c>
      <c r="C128" s="21" t="s">
        <v>1150</v>
      </c>
      <c r="D128" s="21">
        <v>29.1</v>
      </c>
      <c r="E128" s="21">
        <v>50777</v>
      </c>
      <c r="F128" s="21">
        <f t="shared" si="2"/>
        <v>1744.914089347079</v>
      </c>
      <c r="G128" s="21">
        <f t="shared" si="3"/>
        <v>1.538261688515322</v>
      </c>
      <c r="H128" s="21"/>
      <c r="I128" s="21"/>
      <c r="J128" s="89">
        <f>IF(I128="Yes",VLOOKUP(B128,'Other corrections needed'!$A$11:$K$17,11,FALSE),IF('Land data'!G128=0,VLOOKUP('Land data'!H128,'Other corrections needed'!$A$3:$E$6,5,FALSE),IF(ISERR('Land data'!G128),VLOOKUP('Land data'!H128,'Other corrections needed'!$A$3:$E$6,5,FALSE),'Land data'!G128)))</f>
        <v>1.538261688515322</v>
      </c>
    </row>
    <row r="129" spans="1:10" x14ac:dyDescent="0.2">
      <c r="A129" s="21" t="s">
        <v>707</v>
      </c>
      <c r="B129" s="21" t="s">
        <v>2316</v>
      </c>
      <c r="C129" s="21" t="s">
        <v>3438</v>
      </c>
      <c r="D129" s="21">
        <v>2.34</v>
      </c>
      <c r="E129" s="21">
        <v>50000</v>
      </c>
      <c r="F129" s="21">
        <f t="shared" si="2"/>
        <v>21367.521367521367</v>
      </c>
      <c r="G129" s="21">
        <f t="shared" si="3"/>
        <v>18.83693856268286</v>
      </c>
      <c r="H129" s="21" t="s">
        <v>3782</v>
      </c>
      <c r="I129" s="21"/>
      <c r="J129" s="89">
        <f>IF(I129="Yes",VLOOKUP(B129,'Other corrections needed'!$A$11:$K$17,11,FALSE),IF('Land data'!G129=0,VLOOKUP('Land data'!H129,'Other corrections needed'!$A$3:$E$6,5,FALSE),IF(ISERR('Land data'!G129),VLOOKUP('Land data'!H129,'Other corrections needed'!$A$3:$E$6,5,FALSE),'Land data'!G129)))</f>
        <v>18.83693856268286</v>
      </c>
    </row>
    <row r="130" spans="1:10" x14ac:dyDescent="0.2">
      <c r="A130" s="21" t="s">
        <v>707</v>
      </c>
      <c r="B130" s="21" t="s">
        <v>1322</v>
      </c>
      <c r="C130" s="21" t="s">
        <v>1143</v>
      </c>
      <c r="D130" s="21">
        <v>16.59</v>
      </c>
      <c r="E130" s="21">
        <v>17850</v>
      </c>
      <c r="F130" s="21">
        <f t="shared" ref="F130:F193" si="4">E130/D130</f>
        <v>1075.9493670886077</v>
      </c>
      <c r="G130" s="21">
        <f t="shared" ref="G130:G193" si="5">F130/F$236</f>
        <v>0.94852331142218271</v>
      </c>
      <c r="H130" s="21"/>
      <c r="I130" s="21"/>
      <c r="J130" s="89">
        <f>IF(I130="Yes",VLOOKUP(B130,'Other corrections needed'!$A$11:$K$17,11,FALSE),IF('Land data'!G130=0,VLOOKUP('Land data'!H130,'Other corrections needed'!$A$3:$E$6,5,FALSE),IF(ISERR('Land data'!G130),VLOOKUP('Land data'!H130,'Other corrections needed'!$A$3:$E$6,5,FALSE),'Land data'!G130)))</f>
        <v>0.94852331142218271</v>
      </c>
    </row>
    <row r="131" spans="1:10" x14ac:dyDescent="0.2">
      <c r="A131" s="21" t="s">
        <v>707</v>
      </c>
      <c r="B131" s="21" t="s">
        <v>604</v>
      </c>
      <c r="C131" s="21" t="s">
        <v>1158</v>
      </c>
      <c r="D131" s="21">
        <v>14.5</v>
      </c>
      <c r="E131" s="21">
        <v>21000</v>
      </c>
      <c r="F131" s="21">
        <f t="shared" si="4"/>
        <v>1448.2758620689656</v>
      </c>
      <c r="G131" s="21">
        <f t="shared" si="5"/>
        <v>1.2767547047865322</v>
      </c>
      <c r="H131" s="21"/>
      <c r="I131" s="21"/>
      <c r="J131" s="89">
        <f>IF(I131="Yes",VLOOKUP(B131,'Other corrections needed'!$A$11:$K$17,11,FALSE),IF('Land data'!G131=0,VLOOKUP('Land data'!H131,'Other corrections needed'!$A$3:$E$6,5,FALSE),IF(ISERR('Land data'!G131),VLOOKUP('Land data'!H131,'Other corrections needed'!$A$3:$E$6,5,FALSE),'Land data'!G131)))</f>
        <v>1.2767547047865322</v>
      </c>
    </row>
    <row r="132" spans="1:10" x14ac:dyDescent="0.2">
      <c r="A132" s="21" t="s">
        <v>707</v>
      </c>
      <c r="B132" s="21" t="s">
        <v>1324</v>
      </c>
      <c r="C132" s="21" t="s">
        <v>3448</v>
      </c>
      <c r="D132" s="21">
        <v>10.2103</v>
      </c>
      <c r="E132" s="21">
        <v>22993</v>
      </c>
      <c r="F132" s="21">
        <f t="shared" si="4"/>
        <v>2251.9416667482838</v>
      </c>
      <c r="G132" s="21">
        <f t="shared" si="5"/>
        <v>1.9852413433296474</v>
      </c>
      <c r="H132" s="21" t="s">
        <v>3770</v>
      </c>
      <c r="I132" s="21"/>
      <c r="J132" s="89">
        <f>IF(I132="Yes",VLOOKUP(B132,'Other corrections needed'!$A$11:$K$17,11,FALSE),IF('Land data'!G132=0,VLOOKUP('Land data'!H132,'Other corrections needed'!$A$3:$E$6,5,FALSE),IF(ISERR('Land data'!G132),VLOOKUP('Land data'!H132,'Other corrections needed'!$A$3:$E$6,5,FALSE),'Land data'!G132)))</f>
        <v>1.9852413433296474</v>
      </c>
    </row>
    <row r="133" spans="1:10" x14ac:dyDescent="0.2">
      <c r="A133" s="21" t="s">
        <v>707</v>
      </c>
      <c r="B133" s="21" t="s">
        <v>562</v>
      </c>
      <c r="C133" s="21" t="s">
        <v>3475</v>
      </c>
      <c r="D133" s="21">
        <v>46.301000000000002</v>
      </c>
      <c r="E133" s="21">
        <v>89628</v>
      </c>
      <c r="F133" s="21">
        <f t="shared" si="4"/>
        <v>1935.7681259584026</v>
      </c>
      <c r="G133" s="21">
        <f t="shared" si="5"/>
        <v>1.7065126381810183</v>
      </c>
      <c r="H133" s="21" t="s">
        <v>3793</v>
      </c>
      <c r="I133" s="21"/>
      <c r="J133" s="89">
        <f>IF(I133="Yes",VLOOKUP(B133,'Other corrections needed'!$A$11:$K$17,11,FALSE),IF('Land data'!G133=0,VLOOKUP('Land data'!H133,'Other corrections needed'!$A$3:$E$6,5,FALSE),IF(ISERR('Land data'!G133),VLOOKUP('Land data'!H133,'Other corrections needed'!$A$3:$E$6,5,FALSE),'Land data'!G133)))</f>
        <v>1.7065126381810183</v>
      </c>
    </row>
    <row r="134" spans="1:10" x14ac:dyDescent="0.2">
      <c r="A134" s="21" t="s">
        <v>707</v>
      </c>
      <c r="B134" s="21" t="s">
        <v>2389</v>
      </c>
      <c r="C134" s="21" t="s">
        <v>2147</v>
      </c>
      <c r="D134" s="21">
        <v>36.192</v>
      </c>
      <c r="E134" s="21">
        <v>53175</v>
      </c>
      <c r="F134" s="21">
        <f t="shared" si="4"/>
        <v>1469.2473474801061</v>
      </c>
      <c r="G134" s="21">
        <f t="shared" si="5"/>
        <v>1.2952425104361998</v>
      </c>
      <c r="H134" s="21" t="s">
        <v>3753</v>
      </c>
      <c r="I134" s="21"/>
      <c r="J134" s="89">
        <f>IF(I134="Yes",VLOOKUP(B134,'Other corrections needed'!$A$11:$K$17,11,FALSE),IF('Land data'!G134=0,VLOOKUP('Land data'!H134,'Other corrections needed'!$A$3:$E$6,5,FALSE),IF(ISERR('Land data'!G134),VLOOKUP('Land data'!H134,'Other corrections needed'!$A$3:$E$6,5,FALSE),'Land data'!G134)))</f>
        <v>1.2952425104361998</v>
      </c>
    </row>
    <row r="135" spans="1:10" x14ac:dyDescent="0.2">
      <c r="A135" s="21" t="s">
        <v>707</v>
      </c>
      <c r="B135" s="21" t="s">
        <v>2367</v>
      </c>
      <c r="C135" s="21" t="s">
        <v>713</v>
      </c>
      <c r="D135" s="21">
        <v>21.048000000000002</v>
      </c>
      <c r="E135" s="21">
        <v>4125</v>
      </c>
      <c r="F135" s="21">
        <f t="shared" si="4"/>
        <v>195.98061573546178</v>
      </c>
      <c r="G135" s="21">
        <f t="shared" si="5"/>
        <v>0.1727703814864085</v>
      </c>
      <c r="H135" s="21"/>
      <c r="I135" s="21"/>
      <c r="J135" s="89">
        <f>IF(I135="Yes",VLOOKUP(B135,'Other corrections needed'!$A$11:$K$17,11,FALSE),IF('Land data'!G135=0,VLOOKUP('Land data'!H135,'Other corrections needed'!$A$3:$E$6,5,FALSE),IF(ISERR('Land data'!G135),VLOOKUP('Land data'!H135,'Other corrections needed'!$A$3:$E$6,5,FALSE),'Land data'!G135)))</f>
        <v>0.1727703814864085</v>
      </c>
    </row>
    <row r="136" spans="1:10" x14ac:dyDescent="0.2">
      <c r="A136" s="21" t="s">
        <v>707</v>
      </c>
      <c r="B136" s="21" t="s">
        <v>363</v>
      </c>
      <c r="C136" s="21" t="s">
        <v>3053</v>
      </c>
      <c r="D136" s="21">
        <v>55.37</v>
      </c>
      <c r="E136" s="21">
        <v>78897</v>
      </c>
      <c r="F136" s="21">
        <f t="shared" si="4"/>
        <v>1424.905183312263</v>
      </c>
      <c r="G136" s="21">
        <f t="shared" si="5"/>
        <v>1.2561518453188283</v>
      </c>
      <c r="H136" s="21"/>
      <c r="I136" s="21"/>
      <c r="J136" s="89">
        <f>IF(I136="Yes",VLOOKUP(B136,'Other corrections needed'!$A$11:$K$17,11,FALSE),IF('Land data'!G136=0,VLOOKUP('Land data'!H136,'Other corrections needed'!$A$3:$E$6,5,FALSE),IF(ISERR('Land data'!G136),VLOOKUP('Land data'!H136,'Other corrections needed'!$A$3:$E$6,5,FALSE),'Land data'!G136)))</f>
        <v>1.2561518453188283</v>
      </c>
    </row>
    <row r="137" spans="1:10" x14ac:dyDescent="0.2">
      <c r="A137" s="21" t="s">
        <v>707</v>
      </c>
      <c r="B137" s="21" t="s">
        <v>418</v>
      </c>
      <c r="C137" s="21" t="s">
        <v>1154</v>
      </c>
      <c r="D137" s="21">
        <v>21.868500000000001</v>
      </c>
      <c r="E137" s="21">
        <v>35634</v>
      </c>
      <c r="F137" s="21">
        <f t="shared" si="4"/>
        <v>1629.4670416352287</v>
      </c>
      <c r="G137" s="21">
        <f t="shared" si="5"/>
        <v>1.436487181889732</v>
      </c>
      <c r="H137" s="21"/>
      <c r="I137" s="21"/>
      <c r="J137" s="89">
        <f>IF(I137="Yes",VLOOKUP(B137,'Other corrections needed'!$A$11:$K$17,11,FALSE),IF('Land data'!G137=0,VLOOKUP('Land data'!H137,'Other corrections needed'!$A$3:$E$6,5,FALSE),IF(ISERR('Land data'!G137),VLOOKUP('Land data'!H137,'Other corrections needed'!$A$3:$E$6,5,FALSE),'Land data'!G137)))</f>
        <v>1.436487181889732</v>
      </c>
    </row>
    <row r="138" spans="1:10" x14ac:dyDescent="0.2">
      <c r="A138" s="21" t="s">
        <v>707</v>
      </c>
      <c r="B138" s="21" t="s">
        <v>554</v>
      </c>
      <c r="C138" s="21" t="s">
        <v>1115</v>
      </c>
      <c r="D138" s="21">
        <v>24.824199999999998</v>
      </c>
      <c r="E138" s="21">
        <v>37668</v>
      </c>
      <c r="F138" s="21">
        <f t="shared" si="4"/>
        <v>1517.3902885087939</v>
      </c>
      <c r="G138" s="21">
        <f t="shared" si="5"/>
        <v>1.337683821563783</v>
      </c>
      <c r="H138" s="21"/>
      <c r="I138" s="21"/>
      <c r="J138" s="89">
        <f>IF(I138="Yes",VLOOKUP(B138,'Other corrections needed'!$A$11:$K$17,11,FALSE),IF('Land data'!G138=0,VLOOKUP('Land data'!H138,'Other corrections needed'!$A$3:$E$6,5,FALSE),IF(ISERR('Land data'!G138),VLOOKUP('Land data'!H138,'Other corrections needed'!$A$3:$E$6,5,FALSE),'Land data'!G138)))</f>
        <v>1.337683821563783</v>
      </c>
    </row>
    <row r="139" spans="1:10" x14ac:dyDescent="0.2">
      <c r="A139" s="21" t="s">
        <v>707</v>
      </c>
      <c r="B139" s="21" t="s">
        <v>699</v>
      </c>
      <c r="C139" s="21" t="s">
        <v>3032</v>
      </c>
      <c r="D139" s="21">
        <v>33.486999999999995</v>
      </c>
      <c r="E139" s="21">
        <v>22728</v>
      </c>
      <c r="F139" s="21">
        <f t="shared" si="4"/>
        <v>678.71114163705329</v>
      </c>
      <c r="G139" s="21">
        <f t="shared" si="5"/>
        <v>0.59833051559543426</v>
      </c>
      <c r="H139" s="21" t="s">
        <v>533</v>
      </c>
      <c r="I139" s="21"/>
      <c r="J139" s="89">
        <f>IF(I139="Yes",VLOOKUP(B139,'Other corrections needed'!$A$11:$K$17,11,FALSE),IF('Land data'!G139=0,VLOOKUP('Land data'!H139,'Other corrections needed'!$A$3:$E$6,5,FALSE),IF(ISERR('Land data'!G139),VLOOKUP('Land data'!H139,'Other corrections needed'!$A$3:$E$6,5,FALSE),'Land data'!G139)))</f>
        <v>0.59833051559543426</v>
      </c>
    </row>
    <row r="140" spans="1:10" x14ac:dyDescent="0.2">
      <c r="A140" s="21" t="s">
        <v>707</v>
      </c>
      <c r="B140" s="21" t="s">
        <v>614</v>
      </c>
      <c r="C140" s="21" t="s">
        <v>2155</v>
      </c>
      <c r="D140" s="21">
        <v>4.4400000000000004</v>
      </c>
      <c r="E140" s="21">
        <v>5202</v>
      </c>
      <c r="F140" s="21">
        <f t="shared" si="4"/>
        <v>1171.6216216216214</v>
      </c>
      <c r="G140" s="21">
        <f t="shared" si="5"/>
        <v>1.032864978843236</v>
      </c>
      <c r="H140" s="21" t="s">
        <v>3753</v>
      </c>
      <c r="I140" s="21"/>
      <c r="J140" s="89">
        <f>IF(I140="Yes",VLOOKUP(B140,'Other corrections needed'!$A$11:$K$17,11,FALSE),IF('Land data'!G140=0,VLOOKUP('Land data'!H140,'Other corrections needed'!$A$3:$E$6,5,FALSE),IF(ISERR('Land data'!G140),VLOOKUP('Land data'!H140,'Other corrections needed'!$A$3:$E$6,5,FALSE),'Land data'!G140)))</f>
        <v>1.032864978843236</v>
      </c>
    </row>
    <row r="141" spans="1:10" x14ac:dyDescent="0.2">
      <c r="A141" s="21" t="s">
        <v>707</v>
      </c>
      <c r="B141" s="21" t="s">
        <v>3880</v>
      </c>
      <c r="C141" s="21" t="s">
        <v>1118</v>
      </c>
      <c r="D141" s="21">
        <v>37.78</v>
      </c>
      <c r="E141" s="21">
        <v>42500</v>
      </c>
      <c r="F141" s="21">
        <f t="shared" si="4"/>
        <v>1124.9338274219162</v>
      </c>
      <c r="G141" s="21">
        <f t="shared" si="5"/>
        <v>0.99170647964997904</v>
      </c>
      <c r="H141" s="21" t="s">
        <v>3753</v>
      </c>
      <c r="I141" s="21"/>
      <c r="J141" s="89">
        <f>IF(I141="Yes",VLOOKUP(B141,'Other corrections needed'!$A$11:$K$17,11,FALSE),IF('Land data'!G141=0,VLOOKUP('Land data'!H141,'Other corrections needed'!$A$3:$E$6,5,FALSE),IF(ISERR('Land data'!G141),VLOOKUP('Land data'!H141,'Other corrections needed'!$A$3:$E$6,5,FALSE),'Land data'!G141)))</f>
        <v>0.99170647964997904</v>
      </c>
    </row>
    <row r="142" spans="1:10" x14ac:dyDescent="0.2">
      <c r="A142" s="21" t="s">
        <v>707</v>
      </c>
      <c r="B142" s="21" t="s">
        <v>2263</v>
      </c>
      <c r="C142" s="21" t="s">
        <v>1172</v>
      </c>
      <c r="D142" s="21">
        <v>25.72</v>
      </c>
      <c r="E142" s="21">
        <v>87303</v>
      </c>
      <c r="F142" s="21">
        <f t="shared" si="4"/>
        <v>3394.3623639191292</v>
      </c>
      <c r="G142" s="21">
        <f t="shared" si="5"/>
        <v>2.992363700443772</v>
      </c>
      <c r="H142" s="21" t="s">
        <v>3776</v>
      </c>
      <c r="I142" s="21"/>
      <c r="J142" s="89">
        <f>IF(I142="Yes",VLOOKUP(B142,'Other corrections needed'!$A$11:$K$17,11,FALSE),IF('Land data'!G142=0,VLOOKUP('Land data'!H142,'Other corrections needed'!$A$3:$E$6,5,FALSE),IF(ISERR('Land data'!G142),VLOOKUP('Land data'!H142,'Other corrections needed'!$A$3:$E$6,5,FALSE),'Land data'!G142)))</f>
        <v>2.992363700443772</v>
      </c>
    </row>
    <row r="143" spans="1:10" x14ac:dyDescent="0.2">
      <c r="A143" s="21" t="s">
        <v>707</v>
      </c>
      <c r="B143" s="21" t="s">
        <v>377</v>
      </c>
      <c r="C143" s="21" t="s">
        <v>3456</v>
      </c>
      <c r="D143" s="21">
        <v>11.6</v>
      </c>
      <c r="E143" s="21">
        <v>35999</v>
      </c>
      <c r="F143" s="21">
        <f t="shared" si="4"/>
        <v>3103.3620689655172</v>
      </c>
      <c r="G143" s="21">
        <f t="shared" si="5"/>
        <v>2.7358269415244267</v>
      </c>
      <c r="H143" s="21" t="s">
        <v>3784</v>
      </c>
      <c r="I143" s="21"/>
      <c r="J143" s="89">
        <f>IF(I143="Yes",VLOOKUP(B143,'Other corrections needed'!$A$11:$K$17,11,FALSE),IF('Land data'!G143=0,VLOOKUP('Land data'!H143,'Other corrections needed'!$A$3:$E$6,5,FALSE),IF(ISERR('Land data'!G143),VLOOKUP('Land data'!H143,'Other corrections needed'!$A$3:$E$6,5,FALSE),'Land data'!G143)))</f>
        <v>2.7358269415244267</v>
      </c>
    </row>
    <row r="144" spans="1:10" x14ac:dyDescent="0.2">
      <c r="A144" s="21" t="s">
        <v>707</v>
      </c>
      <c r="B144" s="21" t="s">
        <v>3878</v>
      </c>
      <c r="C144" s="21" t="s">
        <v>3394</v>
      </c>
      <c r="D144" s="21">
        <v>4.9630000000000125</v>
      </c>
      <c r="E144" s="21">
        <v>110063</v>
      </c>
      <c r="F144" s="21">
        <f t="shared" si="4"/>
        <v>22176.70763651012</v>
      </c>
      <c r="G144" s="21">
        <f t="shared" si="5"/>
        <v>19.550291869907184</v>
      </c>
      <c r="H144" s="21" t="s">
        <v>3769</v>
      </c>
      <c r="I144" s="21"/>
      <c r="J144" s="89">
        <f>IF(I144="Yes",VLOOKUP(B144,'Other corrections needed'!$A$11:$K$17,11,FALSE),IF('Land data'!G144=0,VLOOKUP('Land data'!H144,'Other corrections needed'!$A$3:$E$6,5,FALSE),IF(ISERR('Land data'!G144),VLOOKUP('Land data'!H144,'Other corrections needed'!$A$3:$E$6,5,FALSE),'Land data'!G144)))</f>
        <v>19.550291869907184</v>
      </c>
    </row>
    <row r="145" spans="1:10" x14ac:dyDescent="0.2">
      <c r="A145" s="21" t="s">
        <v>707</v>
      </c>
      <c r="B145" s="21" t="s">
        <v>2304</v>
      </c>
      <c r="C145" s="21" t="s">
        <v>1134</v>
      </c>
      <c r="D145" s="21">
        <v>42.11</v>
      </c>
      <c r="E145" s="21">
        <v>18100</v>
      </c>
      <c r="F145" s="21">
        <f t="shared" si="4"/>
        <v>429.82664450249348</v>
      </c>
      <c r="G145" s="21">
        <f t="shared" si="5"/>
        <v>0.37892172685056752</v>
      </c>
      <c r="H145" s="21"/>
      <c r="I145" s="21"/>
      <c r="J145" s="89">
        <f>IF(I145="Yes",VLOOKUP(B145,'Other corrections needed'!$A$11:$K$17,11,FALSE),IF('Land data'!G145=0,VLOOKUP('Land data'!H145,'Other corrections needed'!$A$3:$E$6,5,FALSE),IF(ISERR('Land data'!G145),VLOOKUP('Land data'!H145,'Other corrections needed'!$A$3:$E$6,5,FALSE),'Land data'!G145)))</f>
        <v>0.37892172685056752</v>
      </c>
    </row>
    <row r="146" spans="1:10" x14ac:dyDescent="0.2">
      <c r="A146" s="21" t="s">
        <v>707</v>
      </c>
      <c r="B146" s="21" t="s">
        <v>3694</v>
      </c>
      <c r="C146" s="21" t="s">
        <v>3012</v>
      </c>
      <c r="D146" s="21">
        <v>14.128299999999999</v>
      </c>
      <c r="E146" s="21">
        <v>16261</v>
      </c>
      <c r="F146" s="21">
        <f t="shared" si="4"/>
        <v>1150.9523438771828</v>
      </c>
      <c r="G146" s="21">
        <f t="shared" si="5"/>
        <v>1.0146435900209074</v>
      </c>
      <c r="H146" s="21" t="s">
        <v>533</v>
      </c>
      <c r="I146" s="21"/>
      <c r="J146" s="89">
        <f>IF(I146="Yes",VLOOKUP(B146,'Other corrections needed'!$A$11:$K$17,11,FALSE),IF('Land data'!G146=0,VLOOKUP('Land data'!H146,'Other corrections needed'!$A$3:$E$6,5,FALSE),IF(ISERR('Land data'!G146),VLOOKUP('Land data'!H146,'Other corrections needed'!$A$3:$E$6,5,FALSE),'Land data'!G146)))</f>
        <v>1.0146435900209074</v>
      </c>
    </row>
    <row r="147" spans="1:10" x14ac:dyDescent="0.2">
      <c r="A147" s="21" t="s">
        <v>707</v>
      </c>
      <c r="B147" s="21" t="s">
        <v>3714</v>
      </c>
      <c r="C147" s="21" t="s">
        <v>3471</v>
      </c>
      <c r="D147" s="21">
        <v>21.17</v>
      </c>
      <c r="E147" s="21">
        <v>48436</v>
      </c>
      <c r="F147" s="21">
        <f t="shared" si="4"/>
        <v>2287.9546528105807</v>
      </c>
      <c r="G147" s="21">
        <f t="shared" si="5"/>
        <v>2.0169892655264339</v>
      </c>
      <c r="H147" s="21" t="s">
        <v>3782</v>
      </c>
      <c r="I147" s="21" t="s">
        <v>3833</v>
      </c>
      <c r="J147" s="89">
        <f>IF(I147="Yes",VLOOKUP(B147,'Other corrections needed'!$A$11:$K$17,11,FALSE),IF('Land data'!G147=0,VLOOKUP('Land data'!H147,'Other corrections needed'!$A$3:$E$6,5,FALSE),IF(ISERR('Land data'!G147),VLOOKUP('Land data'!H147,'Other corrections needed'!$A$3:$E$6,5,FALSE),'Land data'!G147)))</f>
        <v>12.566898217389056</v>
      </c>
    </row>
    <row r="148" spans="1:10" x14ac:dyDescent="0.2">
      <c r="A148" s="21" t="s">
        <v>707</v>
      </c>
      <c r="B148" s="21" t="s">
        <v>365</v>
      </c>
      <c r="C148" s="21" t="s">
        <v>2121</v>
      </c>
      <c r="D148" s="21">
        <v>45.08</v>
      </c>
      <c r="E148" s="21">
        <v>38497</v>
      </c>
      <c r="F148" s="21">
        <f t="shared" si="4"/>
        <v>853.9707187222715</v>
      </c>
      <c r="G148" s="21">
        <f t="shared" si="5"/>
        <v>0.75283387746379282</v>
      </c>
      <c r="H148" s="21"/>
      <c r="I148" s="21"/>
      <c r="J148" s="89">
        <f>IF(I148="Yes",VLOOKUP(B148,'Other corrections needed'!$A$11:$K$17,11,FALSE),IF('Land data'!G148=0,VLOOKUP('Land data'!H148,'Other corrections needed'!$A$3:$E$6,5,FALSE),IF(ISERR('Land data'!G148),VLOOKUP('Land data'!H148,'Other corrections needed'!$A$3:$E$6,5,FALSE),'Land data'!G148)))</f>
        <v>0.75283387746379282</v>
      </c>
    </row>
    <row r="149" spans="1:10" x14ac:dyDescent="0.2">
      <c r="A149" s="21" t="s">
        <v>707</v>
      </c>
      <c r="B149" s="21" t="s">
        <v>602</v>
      </c>
      <c r="C149" s="21" t="s">
        <v>715</v>
      </c>
      <c r="D149" s="21">
        <v>42.86</v>
      </c>
      <c r="E149" s="21">
        <v>77826</v>
      </c>
      <c r="F149" s="21">
        <f t="shared" si="4"/>
        <v>1815.8189454036399</v>
      </c>
      <c r="G149" s="21">
        <f t="shared" si="5"/>
        <v>1.6007691920465208</v>
      </c>
      <c r="H149" s="21"/>
      <c r="I149" s="21"/>
      <c r="J149" s="89">
        <f>IF(I149="Yes",VLOOKUP(B149,'Other corrections needed'!$A$11:$K$17,11,FALSE),IF('Land data'!G149=0,VLOOKUP('Land data'!H149,'Other corrections needed'!$A$3:$E$6,5,FALSE),IF(ISERR('Land data'!G149),VLOOKUP('Land data'!H149,'Other corrections needed'!$A$3:$E$6,5,FALSE),'Land data'!G149)))</f>
        <v>1.6007691920465208</v>
      </c>
    </row>
    <row r="150" spans="1:10" x14ac:dyDescent="0.2">
      <c r="A150" s="21" t="s">
        <v>707</v>
      </c>
      <c r="B150" s="21" t="s">
        <v>2371</v>
      </c>
      <c r="C150" s="21" t="s">
        <v>3541</v>
      </c>
      <c r="D150" s="21">
        <v>25.5</v>
      </c>
      <c r="E150" s="21">
        <v>34481</v>
      </c>
      <c r="F150" s="21">
        <f t="shared" si="4"/>
        <v>1352.1960784313726</v>
      </c>
      <c r="G150" s="21">
        <f t="shared" si="5"/>
        <v>1.1920537724524634</v>
      </c>
      <c r="H150" s="21"/>
      <c r="I150" s="21"/>
      <c r="J150" s="89">
        <f>IF(I150="Yes",VLOOKUP(B150,'Other corrections needed'!$A$11:$K$17,11,FALSE),IF('Land data'!G150=0,VLOOKUP('Land data'!H150,'Other corrections needed'!$A$3:$E$6,5,FALSE),IF(ISERR('Land data'!G150),VLOOKUP('Land data'!H150,'Other corrections needed'!$A$3:$E$6,5,FALSE),'Land data'!G150)))</f>
        <v>1.1920537724524634</v>
      </c>
    </row>
    <row r="151" spans="1:10" x14ac:dyDescent="0.2">
      <c r="A151" s="21" t="s">
        <v>707</v>
      </c>
      <c r="B151" s="21" t="s">
        <v>3676</v>
      </c>
      <c r="C151" s="21" t="s">
        <v>641</v>
      </c>
      <c r="D151" s="21">
        <v>38.520300000000006</v>
      </c>
      <c r="E151" s="21">
        <v>10630</v>
      </c>
      <c r="F151" s="21">
        <f t="shared" si="4"/>
        <v>275.95839077058065</v>
      </c>
      <c r="G151" s="21">
        <f t="shared" si="5"/>
        <v>0.24327628663114564</v>
      </c>
      <c r="H151" s="21"/>
      <c r="I151" s="21"/>
      <c r="J151" s="89">
        <f>IF(I151="Yes",VLOOKUP(B151,'Other corrections needed'!$A$11:$K$17,11,FALSE),IF('Land data'!G151=0,VLOOKUP('Land data'!H151,'Other corrections needed'!$A$3:$E$6,5,FALSE),IF(ISERR('Land data'!G151),VLOOKUP('Land data'!H151,'Other corrections needed'!$A$3:$E$6,5,FALSE),'Land data'!G151)))</f>
        <v>0.24327628663114564</v>
      </c>
    </row>
    <row r="152" spans="1:10" x14ac:dyDescent="0.2">
      <c r="A152" s="21" t="s">
        <v>707</v>
      </c>
      <c r="B152" s="21" t="s">
        <v>2329</v>
      </c>
      <c r="C152" s="21" t="s">
        <v>3072</v>
      </c>
      <c r="D152" s="21">
        <v>30.33</v>
      </c>
      <c r="E152" s="21">
        <v>39523</v>
      </c>
      <c r="F152" s="21">
        <f t="shared" si="4"/>
        <v>1303.0992416749093</v>
      </c>
      <c r="G152" s="21">
        <f t="shared" si="5"/>
        <v>1.1487715366846163</v>
      </c>
      <c r="H152" s="21"/>
      <c r="I152" s="21"/>
      <c r="J152" s="89">
        <f>IF(I152="Yes",VLOOKUP(B152,'Other corrections needed'!$A$11:$K$17,11,FALSE),IF('Land data'!G152=0,VLOOKUP('Land data'!H152,'Other corrections needed'!$A$3:$E$6,5,FALSE),IF(ISERR('Land data'!G152),VLOOKUP('Land data'!H152,'Other corrections needed'!$A$3:$E$6,5,FALSE),'Land data'!G152)))</f>
        <v>1.1487715366846163</v>
      </c>
    </row>
    <row r="153" spans="1:10" x14ac:dyDescent="0.2">
      <c r="A153" s="21" t="s">
        <v>707</v>
      </c>
      <c r="B153" s="21" t="s">
        <v>3682</v>
      </c>
      <c r="C153" s="21" t="s">
        <v>3828</v>
      </c>
      <c r="D153" s="21">
        <v>73.959999999999994</v>
      </c>
      <c r="E153" s="21">
        <v>138443</v>
      </c>
      <c r="F153" s="21">
        <f t="shared" si="4"/>
        <v>1871.8631692806923</v>
      </c>
      <c r="G153" s="21">
        <f t="shared" si="5"/>
        <v>1.650176027018496</v>
      </c>
      <c r="H153" s="21"/>
      <c r="I153" s="21"/>
      <c r="J153" s="89">
        <f>IF(I153="Yes",VLOOKUP(B153,'Other corrections needed'!$A$11:$K$17,11,FALSE),IF('Land data'!G153=0,VLOOKUP('Land data'!H153,'Other corrections needed'!$A$3:$E$6,5,FALSE),IF(ISERR('Land data'!G153),VLOOKUP('Land data'!H153,'Other corrections needed'!$A$3:$E$6,5,FALSE),'Land data'!G153)))</f>
        <v>1.650176027018496</v>
      </c>
    </row>
    <row r="154" spans="1:10" x14ac:dyDescent="0.2">
      <c r="A154" s="21" t="s">
        <v>707</v>
      </c>
      <c r="B154" s="21" t="s">
        <v>3384</v>
      </c>
      <c r="C154" s="21" t="s">
        <v>3497</v>
      </c>
      <c r="D154" s="21">
        <v>33.130000000000003</v>
      </c>
      <c r="E154" s="21">
        <v>37018</v>
      </c>
      <c r="F154" s="21">
        <f t="shared" si="4"/>
        <v>1117.3558708119529</v>
      </c>
      <c r="G154" s="21">
        <f t="shared" si="5"/>
        <v>0.98502599010524738</v>
      </c>
      <c r="H154" s="21"/>
      <c r="I154" s="21"/>
      <c r="J154" s="89">
        <f>IF(I154="Yes",VLOOKUP(B154,'Other corrections needed'!$A$11:$K$17,11,FALSE),IF('Land data'!G154=0,VLOOKUP('Land data'!H154,'Other corrections needed'!$A$3:$E$6,5,FALSE),IF(ISERR('Land data'!G154),VLOOKUP('Land data'!H154,'Other corrections needed'!$A$3:$E$6,5,FALSE),'Land data'!G154)))</f>
        <v>0.98502599010524738</v>
      </c>
    </row>
    <row r="155" spans="1:10" x14ac:dyDescent="0.2">
      <c r="A155" s="21" t="s">
        <v>707</v>
      </c>
      <c r="B155" s="21" t="s">
        <v>582</v>
      </c>
      <c r="C155" s="21" t="s">
        <v>189</v>
      </c>
      <c r="D155" s="21">
        <v>27.024999999999999</v>
      </c>
      <c r="E155" s="21">
        <v>16322</v>
      </c>
      <c r="F155" s="21">
        <f t="shared" si="4"/>
        <v>603.95929694727113</v>
      </c>
      <c r="G155" s="21">
        <f t="shared" si="5"/>
        <v>0.53243162720078208</v>
      </c>
      <c r="H155" s="21"/>
      <c r="I155" s="21"/>
      <c r="J155" s="89">
        <f>IF(I155="Yes",VLOOKUP(B155,'Other corrections needed'!$A$11:$K$17,11,FALSE),IF('Land data'!G155=0,VLOOKUP('Land data'!H155,'Other corrections needed'!$A$3:$E$6,5,FALSE),IF(ISERR('Land data'!G155),VLOOKUP('Land data'!H155,'Other corrections needed'!$A$3:$E$6,5,FALSE),'Land data'!G155)))</f>
        <v>0.53243162720078208</v>
      </c>
    </row>
    <row r="156" spans="1:10" x14ac:dyDescent="0.2">
      <c r="A156" s="21" t="s">
        <v>707</v>
      </c>
      <c r="B156" s="21" t="s">
        <v>3372</v>
      </c>
      <c r="C156" s="21" t="s">
        <v>3529</v>
      </c>
      <c r="D156" s="21">
        <v>8.4955999999999996</v>
      </c>
      <c r="E156" s="21">
        <v>18625</v>
      </c>
      <c r="F156" s="21">
        <f t="shared" si="4"/>
        <v>2192.3113140920009</v>
      </c>
      <c r="G156" s="21">
        <f t="shared" si="5"/>
        <v>1.9326730893830359</v>
      </c>
      <c r="H156" s="21"/>
      <c r="I156" s="21"/>
      <c r="J156" s="89">
        <f>IF(I156="Yes",VLOOKUP(B156,'Other corrections needed'!$A$11:$K$17,11,FALSE),IF('Land data'!G156=0,VLOOKUP('Land data'!H156,'Other corrections needed'!$A$3:$E$6,5,FALSE),IF(ISERR('Land data'!G156),VLOOKUP('Land data'!H156,'Other corrections needed'!$A$3:$E$6,5,FALSE),'Land data'!G156)))</f>
        <v>1.9326730893830359</v>
      </c>
    </row>
    <row r="157" spans="1:10" x14ac:dyDescent="0.2">
      <c r="A157" s="21" t="s">
        <v>707</v>
      </c>
      <c r="B157" s="21" t="s">
        <v>556</v>
      </c>
      <c r="C157" s="21" t="s">
        <v>643</v>
      </c>
      <c r="D157" s="21">
        <v>34.619999999999997</v>
      </c>
      <c r="E157" s="21">
        <v>31507</v>
      </c>
      <c r="F157" s="21">
        <f t="shared" si="4"/>
        <v>910.08087810514155</v>
      </c>
      <c r="G157" s="21">
        <f t="shared" si="5"/>
        <v>0.80229883911554623</v>
      </c>
      <c r="H157" s="21"/>
      <c r="I157" s="21"/>
      <c r="J157" s="89">
        <f>IF(I157="Yes",VLOOKUP(B157,'Other corrections needed'!$A$11:$K$17,11,FALSE),IF('Land data'!G157=0,VLOOKUP('Land data'!H157,'Other corrections needed'!$A$3:$E$6,5,FALSE),IF(ISERR('Land data'!G157),VLOOKUP('Land data'!H157,'Other corrections needed'!$A$3:$E$6,5,FALSE),'Land data'!G157)))</f>
        <v>0.80229883911554623</v>
      </c>
    </row>
    <row r="158" spans="1:10" x14ac:dyDescent="0.2">
      <c r="A158" s="21" t="s">
        <v>707</v>
      </c>
      <c r="B158" s="21" t="s">
        <v>3376</v>
      </c>
      <c r="C158" s="21" t="s">
        <v>2976</v>
      </c>
      <c r="D158" s="21">
        <v>18.543000000000003</v>
      </c>
      <c r="E158" s="21">
        <v>10368</v>
      </c>
      <c r="F158" s="21">
        <f t="shared" si="4"/>
        <v>559.13282640349451</v>
      </c>
      <c r="G158" s="21">
        <f t="shared" si="5"/>
        <v>0.49291401272919849</v>
      </c>
      <c r="H158" s="21" t="s">
        <v>533</v>
      </c>
      <c r="I158" s="21"/>
      <c r="J158" s="89">
        <f>IF(I158="Yes",VLOOKUP(B158,'Other corrections needed'!$A$11:$K$17,11,FALSE),IF('Land data'!G158=0,VLOOKUP('Land data'!H158,'Other corrections needed'!$A$3:$E$6,5,FALSE),IF(ISERR('Land data'!G158),VLOOKUP('Land data'!H158,'Other corrections needed'!$A$3:$E$6,5,FALSE),'Land data'!G158)))</f>
        <v>0.49291401272919849</v>
      </c>
    </row>
    <row r="159" spans="1:10" x14ac:dyDescent="0.2">
      <c r="A159" s="21" t="s">
        <v>707</v>
      </c>
      <c r="B159" s="21" t="s">
        <v>670</v>
      </c>
      <c r="C159" s="21" t="s">
        <v>3029</v>
      </c>
      <c r="D159" s="21">
        <v>30.84</v>
      </c>
      <c r="E159" s="21">
        <v>26395</v>
      </c>
      <c r="F159" s="21">
        <f t="shared" si="4"/>
        <v>855.86900129701689</v>
      </c>
      <c r="G159" s="21">
        <f t="shared" si="5"/>
        <v>0.75450734401239505</v>
      </c>
      <c r="H159" s="21"/>
      <c r="I159" s="21"/>
      <c r="J159" s="89">
        <f>IF(I159="Yes",VLOOKUP(B159,'Other corrections needed'!$A$11:$K$17,11,FALSE),IF('Land data'!G159=0,VLOOKUP('Land data'!H159,'Other corrections needed'!$A$3:$E$6,5,FALSE),IF(ISERR('Land data'!G159),VLOOKUP('Land data'!H159,'Other corrections needed'!$A$3:$E$6,5,FALSE),'Land data'!G159)))</f>
        <v>0.75450734401239505</v>
      </c>
    </row>
    <row r="160" spans="1:10" x14ac:dyDescent="0.2">
      <c r="A160" s="21" t="s">
        <v>707</v>
      </c>
      <c r="B160" s="21" t="s">
        <v>2310</v>
      </c>
      <c r="C160" s="21" t="s">
        <v>3437</v>
      </c>
      <c r="D160" s="21">
        <v>11.94</v>
      </c>
      <c r="E160" s="21">
        <v>54380</v>
      </c>
      <c r="F160" s="21">
        <f t="shared" si="4"/>
        <v>4554.4388609715243</v>
      </c>
      <c r="G160" s="21">
        <f t="shared" si="5"/>
        <v>4.0150508585436251</v>
      </c>
      <c r="H160" s="21" t="s">
        <v>3769</v>
      </c>
      <c r="I160" s="21"/>
      <c r="J160" s="89">
        <f>IF(I160="Yes",VLOOKUP(B160,'Other corrections needed'!$A$11:$K$17,11,FALSE),IF('Land data'!G160=0,VLOOKUP('Land data'!H160,'Other corrections needed'!$A$3:$E$6,5,FALSE),IF(ISERR('Land data'!G160),VLOOKUP('Land data'!H160,'Other corrections needed'!$A$3:$E$6,5,FALSE),'Land data'!G160)))</f>
        <v>4.0150508585436251</v>
      </c>
    </row>
    <row r="161" spans="1:10" x14ac:dyDescent="0.2">
      <c r="A161" s="21" t="s">
        <v>707</v>
      </c>
      <c r="B161" s="21" t="s">
        <v>550</v>
      </c>
      <c r="C161" s="21" t="s">
        <v>3473</v>
      </c>
      <c r="D161" s="21">
        <v>107.65</v>
      </c>
      <c r="E161" s="21">
        <v>70804</v>
      </c>
      <c r="F161" s="21">
        <f t="shared" si="4"/>
        <v>657.72410589874585</v>
      </c>
      <c r="G161" s="21">
        <f t="shared" si="5"/>
        <v>0.57982900126367698</v>
      </c>
      <c r="H161" s="21" t="s">
        <v>3789</v>
      </c>
      <c r="I161" s="21"/>
      <c r="J161" s="89">
        <f>IF(I161="Yes",VLOOKUP(B161,'Other corrections needed'!$A$11:$K$17,11,FALSE),IF('Land data'!G161=0,VLOOKUP('Land data'!H161,'Other corrections needed'!$A$3:$E$6,5,FALSE),IF(ISERR('Land data'!G161),VLOOKUP('Land data'!H161,'Other corrections needed'!$A$3:$E$6,5,FALSE),'Land data'!G161)))</f>
        <v>0.57982900126367698</v>
      </c>
    </row>
    <row r="162" spans="1:10" x14ac:dyDescent="0.2">
      <c r="A162" s="21" t="s">
        <v>707</v>
      </c>
      <c r="B162" s="21" t="s">
        <v>2273</v>
      </c>
      <c r="C162" s="21" t="s">
        <v>1162</v>
      </c>
      <c r="D162" s="21">
        <v>8.99</v>
      </c>
      <c r="E162" s="21">
        <v>11035</v>
      </c>
      <c r="F162" s="21">
        <f t="shared" si="4"/>
        <v>1227.4749721913236</v>
      </c>
      <c r="G162" s="21">
        <f t="shared" si="5"/>
        <v>1.0821035458770647</v>
      </c>
      <c r="H162" s="21"/>
      <c r="I162" s="21"/>
      <c r="J162" s="89">
        <f>IF(I162="Yes",VLOOKUP(B162,'Other corrections needed'!$A$11:$K$17,11,FALSE),IF('Land data'!G162=0,VLOOKUP('Land data'!H162,'Other corrections needed'!$A$3:$E$6,5,FALSE),IF(ISERR('Land data'!G162),VLOOKUP('Land data'!H162,'Other corrections needed'!$A$3:$E$6,5,FALSE),'Land data'!G162)))</f>
        <v>1.0821035458770647</v>
      </c>
    </row>
    <row r="163" spans="1:10" x14ac:dyDescent="0.2">
      <c r="A163" s="21" t="s">
        <v>707</v>
      </c>
      <c r="B163" s="21" t="s">
        <v>3664</v>
      </c>
      <c r="C163" s="21" t="s">
        <v>3467</v>
      </c>
      <c r="D163" s="21">
        <v>21.0654</v>
      </c>
      <c r="E163" s="21">
        <v>36322</v>
      </c>
      <c r="F163" s="21">
        <f t="shared" si="4"/>
        <v>1724.2492428342209</v>
      </c>
      <c r="G163" s="21">
        <f t="shared" si="5"/>
        <v>1.5200442061281669</v>
      </c>
      <c r="H163" s="21" t="s">
        <v>3767</v>
      </c>
      <c r="I163" s="21"/>
      <c r="J163" s="89">
        <f>IF(I163="Yes",VLOOKUP(B163,'Other corrections needed'!$A$11:$K$17,11,FALSE),IF('Land data'!G163=0,VLOOKUP('Land data'!H163,'Other corrections needed'!$A$3:$E$6,5,FALSE),IF(ISERR('Land data'!G163),VLOOKUP('Land data'!H163,'Other corrections needed'!$A$3:$E$6,5,FALSE),'Land data'!G163)))</f>
        <v>1.5200442061281669</v>
      </c>
    </row>
    <row r="164" spans="1:10" x14ac:dyDescent="0.2">
      <c r="A164" s="21" t="s">
        <v>707</v>
      </c>
      <c r="B164" s="21" t="s">
        <v>1330</v>
      </c>
      <c r="C164" s="21" t="s">
        <v>3049</v>
      </c>
      <c r="D164" s="21">
        <v>16.21</v>
      </c>
      <c r="E164" s="21">
        <v>13878</v>
      </c>
      <c r="F164" s="21">
        <f t="shared" si="4"/>
        <v>856.13818630475009</v>
      </c>
      <c r="G164" s="21">
        <f t="shared" si="5"/>
        <v>0.75474464909637984</v>
      </c>
      <c r="H164" s="21"/>
      <c r="I164" s="21"/>
      <c r="J164" s="89">
        <f>IF(I164="Yes",VLOOKUP(B164,'Other corrections needed'!$A$11:$K$17,11,FALSE),IF('Land data'!G164=0,VLOOKUP('Land data'!H164,'Other corrections needed'!$A$3:$E$6,5,FALSE),IF(ISERR('Land data'!G164),VLOOKUP('Land data'!H164,'Other corrections needed'!$A$3:$E$6,5,FALSE),'Land data'!G164)))</f>
        <v>0.75474464909637984</v>
      </c>
    </row>
    <row r="165" spans="1:10" x14ac:dyDescent="0.2">
      <c r="A165" s="21" t="s">
        <v>707</v>
      </c>
      <c r="B165" s="21" t="s">
        <v>411</v>
      </c>
      <c r="C165" s="21" t="s">
        <v>3545</v>
      </c>
      <c r="D165" s="21">
        <v>71.882999999999996</v>
      </c>
      <c r="E165" s="21">
        <v>81023</v>
      </c>
      <c r="F165" s="21">
        <f t="shared" si="4"/>
        <v>1127.1510649249476</v>
      </c>
      <c r="G165" s="21">
        <f t="shared" si="5"/>
        <v>0.99366112688795782</v>
      </c>
      <c r="H165" s="21"/>
      <c r="I165" s="21"/>
      <c r="J165" s="89">
        <f>IF(I165="Yes",VLOOKUP(B165,'Other corrections needed'!$A$11:$K$17,11,FALSE),IF('Land data'!G165=0,VLOOKUP('Land data'!H165,'Other corrections needed'!$A$3:$E$6,5,FALSE),IF(ISERR('Land data'!G165),VLOOKUP('Land data'!H165,'Other corrections needed'!$A$3:$E$6,5,FALSE),'Land data'!G165)))</f>
        <v>0.99366112688795782</v>
      </c>
    </row>
    <row r="166" spans="1:10" x14ac:dyDescent="0.2">
      <c r="A166" s="21" t="s">
        <v>707</v>
      </c>
      <c r="B166" s="21" t="s">
        <v>3224</v>
      </c>
      <c r="C166" s="21" t="s">
        <v>1170</v>
      </c>
      <c r="D166" s="21">
        <v>25.45</v>
      </c>
      <c r="E166" s="21">
        <v>99875</v>
      </c>
      <c r="F166" s="21">
        <f t="shared" si="4"/>
        <v>3924.3614931237721</v>
      </c>
      <c r="G166" s="21">
        <f t="shared" si="5"/>
        <v>3.4595943568866052</v>
      </c>
      <c r="H166" s="21" t="s">
        <v>3765</v>
      </c>
      <c r="I166" s="21"/>
      <c r="J166" s="89">
        <f>IF(I166="Yes",VLOOKUP(B166,'Other corrections needed'!$A$11:$K$17,11,FALSE),IF('Land data'!G166=0,VLOOKUP('Land data'!H166,'Other corrections needed'!$A$3:$E$6,5,FALSE),IF(ISERR('Land data'!G166),VLOOKUP('Land data'!H166,'Other corrections needed'!$A$3:$E$6,5,FALSE),'Land data'!G166)))</f>
        <v>3.4595943568866052</v>
      </c>
    </row>
    <row r="167" spans="1:10" x14ac:dyDescent="0.2">
      <c r="A167" s="21" t="s">
        <v>707</v>
      </c>
      <c r="B167" s="21" t="s">
        <v>3386</v>
      </c>
      <c r="C167" s="21" t="s">
        <v>3531</v>
      </c>
      <c r="D167" s="21">
        <v>36.380000000000003</v>
      </c>
      <c r="E167" s="21">
        <v>41992</v>
      </c>
      <c r="F167" s="21">
        <f t="shared" si="4"/>
        <v>1154.2605827377679</v>
      </c>
      <c r="G167" s="21">
        <f t="shared" si="5"/>
        <v>1.0175600299343475</v>
      </c>
      <c r="H167" s="21"/>
      <c r="I167" s="21"/>
      <c r="J167" s="89">
        <f>IF(I167="Yes",VLOOKUP(B167,'Other corrections needed'!$A$11:$K$17,11,FALSE),IF('Land data'!G167=0,VLOOKUP('Land data'!H167,'Other corrections needed'!$A$3:$E$6,5,FALSE),IF(ISERR('Land data'!G167),VLOOKUP('Land data'!H167,'Other corrections needed'!$A$3:$E$6,5,FALSE),'Land data'!G167)))</f>
        <v>1.0175600299343475</v>
      </c>
    </row>
    <row r="168" spans="1:10" x14ac:dyDescent="0.2">
      <c r="A168" s="21" t="s">
        <v>707</v>
      </c>
      <c r="B168" s="21" t="s">
        <v>2363</v>
      </c>
      <c r="C168" s="21" t="s">
        <v>3443</v>
      </c>
      <c r="D168" s="21">
        <v>19.010000000000002</v>
      </c>
      <c r="E168" s="21">
        <v>42180</v>
      </c>
      <c r="F168" s="21">
        <f t="shared" si="4"/>
        <v>2218.8321935823251</v>
      </c>
      <c r="G168" s="21">
        <f t="shared" si="5"/>
        <v>1.9560530672941334</v>
      </c>
      <c r="H168" s="21" t="s">
        <v>3790</v>
      </c>
      <c r="I168" s="21"/>
      <c r="J168" s="89">
        <f>IF(I168="Yes",VLOOKUP(B168,'Other corrections needed'!$A$11:$K$17,11,FALSE),IF('Land data'!G168=0,VLOOKUP('Land data'!H168,'Other corrections needed'!$A$3:$E$6,5,FALSE),IF(ISERR('Land data'!G168),VLOOKUP('Land data'!H168,'Other corrections needed'!$A$3:$E$6,5,FALSE),'Land data'!G168)))</f>
        <v>1.9560530672941334</v>
      </c>
    </row>
    <row r="169" spans="1:10" x14ac:dyDescent="0.2">
      <c r="A169" s="21" t="s">
        <v>707</v>
      </c>
      <c r="B169" s="21" t="s">
        <v>2351</v>
      </c>
      <c r="C169" s="21" t="s">
        <v>3502</v>
      </c>
      <c r="D169" s="21">
        <v>53.484000000000002</v>
      </c>
      <c r="E169" s="21">
        <v>32317</v>
      </c>
      <c r="F169" s="21">
        <f t="shared" si="4"/>
        <v>604.23678109341108</v>
      </c>
      <c r="G169" s="21">
        <f t="shared" si="5"/>
        <v>0.53267624854562845</v>
      </c>
      <c r="H169" s="21"/>
      <c r="I169" s="21"/>
      <c r="J169" s="89">
        <f>IF(I169="Yes",VLOOKUP(B169,'Other corrections needed'!$A$11:$K$17,11,FALSE),IF('Land data'!G169=0,VLOOKUP('Land data'!H169,'Other corrections needed'!$A$3:$E$6,5,FALSE),IF(ISERR('Land data'!G169),VLOOKUP('Land data'!H169,'Other corrections needed'!$A$3:$E$6,5,FALSE),'Land data'!G169)))</f>
        <v>0.53267624854562845</v>
      </c>
    </row>
    <row r="170" spans="1:10" x14ac:dyDescent="0.2">
      <c r="A170" s="21" t="s">
        <v>707</v>
      </c>
      <c r="B170" s="21" t="s">
        <v>3660</v>
      </c>
      <c r="C170" s="21" t="s">
        <v>638</v>
      </c>
      <c r="D170" s="21">
        <v>24.95</v>
      </c>
      <c r="E170" s="21">
        <v>18690</v>
      </c>
      <c r="F170" s="21">
        <f t="shared" si="4"/>
        <v>749.09819639278555</v>
      </c>
      <c r="G170" s="21">
        <f t="shared" si="5"/>
        <v>0.66038154169419627</v>
      </c>
      <c r="H170" s="21"/>
      <c r="I170" s="21"/>
      <c r="J170" s="89">
        <f>IF(I170="Yes",VLOOKUP(B170,'Other corrections needed'!$A$11:$K$17,11,FALSE),IF('Land data'!G170=0,VLOOKUP('Land data'!H170,'Other corrections needed'!$A$3:$E$6,5,FALSE),IF(ISERR('Land data'!G170),VLOOKUP('Land data'!H170,'Other corrections needed'!$A$3:$E$6,5,FALSE),'Land data'!G170)))</f>
        <v>0.66038154169419627</v>
      </c>
    </row>
    <row r="171" spans="1:10" x14ac:dyDescent="0.2">
      <c r="A171" s="21" t="s">
        <v>707</v>
      </c>
      <c r="B171" s="21" t="s">
        <v>571</v>
      </c>
      <c r="C171" s="21" t="s">
        <v>3018</v>
      </c>
      <c r="D171" s="21">
        <v>22.07</v>
      </c>
      <c r="E171" s="21">
        <v>10097</v>
      </c>
      <c r="F171" s="21">
        <f t="shared" si="4"/>
        <v>457.49886724059809</v>
      </c>
      <c r="G171" s="21">
        <f t="shared" si="5"/>
        <v>0.40331669296034139</v>
      </c>
      <c r="H171" s="21"/>
      <c r="I171" s="21"/>
      <c r="J171" s="89">
        <f>IF(I171="Yes",VLOOKUP(B171,'Other corrections needed'!$A$11:$K$17,11,FALSE),IF('Land data'!G171=0,VLOOKUP('Land data'!H171,'Other corrections needed'!$A$3:$E$6,5,FALSE),IF(ISERR('Land data'!G171),VLOOKUP('Land data'!H171,'Other corrections needed'!$A$3:$E$6,5,FALSE),'Land data'!G171)))</f>
        <v>0.40331669296034139</v>
      </c>
    </row>
    <row r="172" spans="1:10" x14ac:dyDescent="0.2">
      <c r="A172" s="21" t="s">
        <v>707</v>
      </c>
      <c r="B172" s="21" t="s">
        <v>2385</v>
      </c>
      <c r="C172" s="21" t="s">
        <v>197</v>
      </c>
      <c r="D172" s="21">
        <v>33.049999999999997</v>
      </c>
      <c r="E172" s="21">
        <v>37559</v>
      </c>
      <c r="F172" s="21">
        <f t="shared" si="4"/>
        <v>1136.4296520423602</v>
      </c>
      <c r="G172" s="21">
        <f t="shared" si="5"/>
        <v>1.0018408391003846</v>
      </c>
      <c r="H172" s="21"/>
      <c r="I172" s="21"/>
      <c r="J172" s="89">
        <f>IF(I172="Yes",VLOOKUP(B172,'Other corrections needed'!$A$11:$K$17,11,FALSE),IF('Land data'!G172=0,VLOOKUP('Land data'!H172,'Other corrections needed'!$A$3:$E$6,5,FALSE),IF(ISERR('Land data'!G172),VLOOKUP('Land data'!H172,'Other corrections needed'!$A$3:$E$6,5,FALSE),'Land data'!G172)))</f>
        <v>1.0018408391003846</v>
      </c>
    </row>
    <row r="173" spans="1:10" x14ac:dyDescent="0.2">
      <c r="A173" s="21" t="s">
        <v>707</v>
      </c>
      <c r="B173" s="21" t="s">
        <v>2314</v>
      </c>
      <c r="C173" s="21" t="s">
        <v>2985</v>
      </c>
      <c r="D173" s="21">
        <v>46.885999999999996</v>
      </c>
      <c r="E173" s="21">
        <v>47141</v>
      </c>
      <c r="F173" s="21">
        <f t="shared" si="4"/>
        <v>1005.4387237128354</v>
      </c>
      <c r="G173" s="21">
        <f t="shared" si="5"/>
        <v>0.88636333346126051</v>
      </c>
      <c r="H173" s="21" t="s">
        <v>533</v>
      </c>
      <c r="I173" s="21"/>
      <c r="J173" s="89">
        <f>IF(I173="Yes",VLOOKUP(B173,'Other corrections needed'!$A$11:$K$17,11,FALSE),IF('Land data'!G173=0,VLOOKUP('Land data'!H173,'Other corrections needed'!$A$3:$E$6,5,FALSE),IF(ISERR('Land data'!G173),VLOOKUP('Land data'!H173,'Other corrections needed'!$A$3:$E$6,5,FALSE),'Land data'!G173)))</f>
        <v>0.88636333346126051</v>
      </c>
    </row>
    <row r="174" spans="1:10" x14ac:dyDescent="0.2">
      <c r="A174" s="21" t="s">
        <v>707</v>
      </c>
      <c r="B174" s="21" t="s">
        <v>389</v>
      </c>
      <c r="C174" s="21" t="s">
        <v>3007</v>
      </c>
      <c r="D174" s="21">
        <v>96.7</v>
      </c>
      <c r="E174" s="21">
        <v>22941</v>
      </c>
      <c r="F174" s="21">
        <f t="shared" si="4"/>
        <v>237.23888314374352</v>
      </c>
      <c r="G174" s="21">
        <f t="shared" si="5"/>
        <v>0.20914237967024354</v>
      </c>
      <c r="H174" s="21"/>
      <c r="I174" s="21"/>
      <c r="J174" s="89">
        <f>IF(I174="Yes",VLOOKUP(B174,'Other corrections needed'!$A$11:$K$17,11,FALSE),IF('Land data'!G174=0,VLOOKUP('Land data'!H174,'Other corrections needed'!$A$3:$E$6,5,FALSE),IF(ISERR('Land data'!G174),VLOOKUP('Land data'!H174,'Other corrections needed'!$A$3:$E$6,5,FALSE),'Land data'!G174)))</f>
        <v>0.20914237967024354</v>
      </c>
    </row>
    <row r="175" spans="1:10" x14ac:dyDescent="0.2">
      <c r="A175" s="21" t="s">
        <v>707</v>
      </c>
      <c r="B175" s="21" t="s">
        <v>357</v>
      </c>
      <c r="C175" s="21" t="s">
        <v>3001</v>
      </c>
      <c r="D175" s="21">
        <v>44.32</v>
      </c>
      <c r="E175" s="21">
        <v>15087</v>
      </c>
      <c r="F175" s="21">
        <f t="shared" si="4"/>
        <v>340.41064981949461</v>
      </c>
      <c r="G175" s="21">
        <f t="shared" si="5"/>
        <v>0.30009538244709361</v>
      </c>
      <c r="H175" s="21"/>
      <c r="I175" s="21"/>
      <c r="J175" s="89">
        <f>IF(I175="Yes",VLOOKUP(B175,'Other corrections needed'!$A$11:$K$17,11,FALSE),IF('Land data'!G175=0,VLOOKUP('Land data'!H175,'Other corrections needed'!$A$3:$E$6,5,FALSE),IF(ISERR('Land data'!G175),VLOOKUP('Land data'!H175,'Other corrections needed'!$A$3:$E$6,5,FALSE),'Land data'!G175)))</f>
        <v>0.30009538244709361</v>
      </c>
    </row>
    <row r="176" spans="1:10" x14ac:dyDescent="0.2">
      <c r="A176" s="21" t="s">
        <v>707</v>
      </c>
      <c r="B176" s="21" t="s">
        <v>3692</v>
      </c>
      <c r="C176" s="21" t="s">
        <v>3011</v>
      </c>
      <c r="D176" s="21">
        <v>65.938000000000002</v>
      </c>
      <c r="E176" s="21">
        <v>59632</v>
      </c>
      <c r="F176" s="21">
        <f t="shared" si="4"/>
        <v>904.36470623919433</v>
      </c>
      <c r="G176" s="21">
        <f t="shared" si="5"/>
        <v>0.79725964077332534</v>
      </c>
      <c r="H176" s="21" t="s">
        <v>533</v>
      </c>
      <c r="I176" s="21"/>
      <c r="J176" s="89">
        <f>IF(I176="Yes",VLOOKUP(B176,'Other corrections needed'!$A$11:$K$17,11,FALSE),IF('Land data'!G176=0,VLOOKUP('Land data'!H176,'Other corrections needed'!$A$3:$E$6,5,FALSE),IF(ISERR('Land data'!G176),VLOOKUP('Land data'!H176,'Other corrections needed'!$A$3:$E$6,5,FALSE),'Land data'!G176)))</f>
        <v>0.79725964077332534</v>
      </c>
    </row>
    <row r="177" spans="1:10" x14ac:dyDescent="0.2">
      <c r="A177" s="21" t="s">
        <v>707</v>
      </c>
      <c r="B177" s="21" t="s">
        <v>1328</v>
      </c>
      <c r="C177" s="21" t="s">
        <v>3047</v>
      </c>
      <c r="D177" s="21">
        <v>88.77</v>
      </c>
      <c r="E177" s="21">
        <v>23610</v>
      </c>
      <c r="F177" s="21">
        <f t="shared" si="4"/>
        <v>265.96823251098346</v>
      </c>
      <c r="G177" s="21">
        <f t="shared" si="5"/>
        <v>0.2344692755543461</v>
      </c>
      <c r="H177" s="21"/>
      <c r="I177" s="21"/>
      <c r="J177" s="89">
        <f>IF(I177="Yes",VLOOKUP(B177,'Other corrections needed'!$A$11:$K$17,11,FALSE),IF('Land data'!G177=0,VLOOKUP('Land data'!H177,'Other corrections needed'!$A$3:$E$6,5,FALSE),IF(ISERR('Land data'!G177),VLOOKUP('Land data'!H177,'Other corrections needed'!$A$3:$E$6,5,FALSE),'Land data'!G177)))</f>
        <v>0.2344692755543461</v>
      </c>
    </row>
    <row r="178" spans="1:10" x14ac:dyDescent="0.2">
      <c r="A178" s="21" t="s">
        <v>707</v>
      </c>
      <c r="B178" s="21" t="s">
        <v>3876</v>
      </c>
      <c r="C178" s="21" t="s">
        <v>2131</v>
      </c>
      <c r="D178" s="21">
        <v>40.97</v>
      </c>
      <c r="E178" s="21">
        <v>14538</v>
      </c>
      <c r="F178" s="21">
        <f t="shared" si="4"/>
        <v>354.84500854283624</v>
      </c>
      <c r="G178" s="21">
        <f t="shared" si="5"/>
        <v>0.31282026165917665</v>
      </c>
      <c r="H178" s="21"/>
      <c r="I178" s="21"/>
      <c r="J178" s="89">
        <f>IF(I178="Yes",VLOOKUP(B178,'Other corrections needed'!$A$11:$K$17,11,FALSE),IF('Land data'!G178=0,VLOOKUP('Land data'!H178,'Other corrections needed'!$A$3:$E$6,5,FALSE),IF(ISERR('Land data'!G178),VLOOKUP('Land data'!H178,'Other corrections needed'!$A$3:$E$6,5,FALSE),'Land data'!G178)))</f>
        <v>0.31282026165917665</v>
      </c>
    </row>
    <row r="179" spans="1:10" x14ac:dyDescent="0.2">
      <c r="A179" s="21" t="s">
        <v>707</v>
      </c>
      <c r="B179" s="21" t="s">
        <v>668</v>
      </c>
      <c r="C179" s="21" t="s">
        <v>2132</v>
      </c>
      <c r="D179" s="21">
        <v>63.42</v>
      </c>
      <c r="E179" s="21">
        <v>56690</v>
      </c>
      <c r="F179" s="21">
        <f t="shared" si="4"/>
        <v>893.88205613371179</v>
      </c>
      <c r="G179" s="21">
        <f t="shared" si="5"/>
        <v>0.78801846428800693</v>
      </c>
      <c r="H179" s="21"/>
      <c r="I179" s="21"/>
      <c r="J179" s="89">
        <f>IF(I179="Yes",VLOOKUP(B179,'Other corrections needed'!$A$11:$K$17,11,FALSE),IF('Land data'!G179=0,VLOOKUP('Land data'!H179,'Other corrections needed'!$A$3:$E$6,5,FALSE),IF(ISERR('Land data'!G179),VLOOKUP('Land data'!H179,'Other corrections needed'!$A$3:$E$6,5,FALSE),'Land data'!G179)))</f>
        <v>0.78801846428800693</v>
      </c>
    </row>
    <row r="180" spans="1:10" x14ac:dyDescent="0.2">
      <c r="A180" s="21" t="s">
        <v>707</v>
      </c>
      <c r="B180" s="21" t="s">
        <v>381</v>
      </c>
      <c r="C180" s="21" t="s">
        <v>3508</v>
      </c>
      <c r="D180" s="21">
        <v>38.840000000000003</v>
      </c>
      <c r="E180" s="21">
        <v>33424</v>
      </c>
      <c r="F180" s="21">
        <f t="shared" si="4"/>
        <v>860.55612770339849</v>
      </c>
      <c r="G180" s="21">
        <f t="shared" si="5"/>
        <v>0.75863936806113386</v>
      </c>
      <c r="H180" s="21"/>
      <c r="I180" s="21"/>
      <c r="J180" s="89">
        <f>IF(I180="Yes",VLOOKUP(B180,'Other corrections needed'!$A$11:$K$17,11,FALSE),IF('Land data'!G180=0,VLOOKUP('Land data'!H180,'Other corrections needed'!$A$3:$E$6,5,FALSE),IF(ISERR('Land data'!G180),VLOOKUP('Land data'!H180,'Other corrections needed'!$A$3:$E$6,5,FALSE),'Land data'!G180)))</f>
        <v>0.75863936806113386</v>
      </c>
    </row>
    <row r="181" spans="1:10" x14ac:dyDescent="0.2">
      <c r="A181" s="21" t="s">
        <v>707</v>
      </c>
      <c r="B181" s="21" t="s">
        <v>676</v>
      </c>
      <c r="C181" s="21" t="s">
        <v>1165</v>
      </c>
      <c r="D181" s="21">
        <v>19.399999999999999</v>
      </c>
      <c r="E181" s="21">
        <v>65956</v>
      </c>
      <c r="F181" s="21">
        <f t="shared" si="4"/>
        <v>3399.7938144329901</v>
      </c>
      <c r="G181" s="21">
        <f t="shared" si="5"/>
        <v>2.9971518973467295</v>
      </c>
      <c r="H181" s="21"/>
      <c r="I181" s="21"/>
      <c r="J181" s="89">
        <f>IF(I181="Yes",VLOOKUP(B181,'Other corrections needed'!$A$11:$K$17,11,FALSE),IF('Land data'!G181=0,VLOOKUP('Land data'!H181,'Other corrections needed'!$A$3:$E$6,5,FALSE),IF(ISERR('Land data'!G181),VLOOKUP('Land data'!H181,'Other corrections needed'!$A$3:$E$6,5,FALSE),'Land data'!G181)))</f>
        <v>2.9971518973467295</v>
      </c>
    </row>
    <row r="182" spans="1:10" x14ac:dyDescent="0.2">
      <c r="A182" s="21" t="s">
        <v>707</v>
      </c>
      <c r="B182" s="21" t="s">
        <v>2347</v>
      </c>
      <c r="C182" s="21" t="s">
        <v>1137</v>
      </c>
      <c r="D182" s="21">
        <v>23.87</v>
      </c>
      <c r="E182" s="21">
        <v>73039</v>
      </c>
      <c r="F182" s="21">
        <f t="shared" si="4"/>
        <v>3059.8659405111016</v>
      </c>
      <c r="G182" s="21">
        <f t="shared" si="5"/>
        <v>2.6974821150320207</v>
      </c>
      <c r="H182" s="21"/>
      <c r="I182" s="21"/>
      <c r="J182" s="89">
        <f>IF(I182="Yes",VLOOKUP(B182,'Other corrections needed'!$A$11:$K$17,11,FALSE),IF('Land data'!G182=0,VLOOKUP('Land data'!H182,'Other corrections needed'!$A$3:$E$6,5,FALSE),IF(ISERR('Land data'!G182),VLOOKUP('Land data'!H182,'Other corrections needed'!$A$3:$E$6,5,FALSE),'Land data'!G182)))</f>
        <v>2.6974821150320207</v>
      </c>
    </row>
    <row r="183" spans="1:10" x14ac:dyDescent="0.2">
      <c r="A183" s="21" t="s">
        <v>707</v>
      </c>
      <c r="B183" s="21" t="s">
        <v>578</v>
      </c>
      <c r="C183" s="21" t="s">
        <v>3022</v>
      </c>
      <c r="D183" s="21">
        <v>16.850000000000001</v>
      </c>
      <c r="E183" s="21">
        <v>21500</v>
      </c>
      <c r="F183" s="21">
        <f t="shared" si="4"/>
        <v>1275.9643916913944</v>
      </c>
      <c r="G183" s="21">
        <f t="shared" si="5"/>
        <v>1.1248503015888127</v>
      </c>
      <c r="H183" s="21" t="s">
        <v>533</v>
      </c>
      <c r="I183" s="21"/>
      <c r="J183" s="89">
        <f>IF(I183="Yes",VLOOKUP(B183,'Other corrections needed'!$A$11:$K$17,11,FALSE),IF('Land data'!G183=0,VLOOKUP('Land data'!H183,'Other corrections needed'!$A$3:$E$6,5,FALSE),IF(ISERR('Land data'!G183),VLOOKUP('Land data'!H183,'Other corrections needed'!$A$3:$E$6,5,FALSE),'Land data'!G183)))</f>
        <v>1.1248503015888127</v>
      </c>
    </row>
    <row r="184" spans="1:10" x14ac:dyDescent="0.2">
      <c r="A184" s="21" t="s">
        <v>707</v>
      </c>
      <c r="B184" s="21" t="s">
        <v>2355</v>
      </c>
      <c r="C184" s="21" t="s">
        <v>3442</v>
      </c>
      <c r="D184" s="21">
        <v>6.06</v>
      </c>
      <c r="E184" s="21">
        <v>34107</v>
      </c>
      <c r="F184" s="21">
        <f t="shared" si="4"/>
        <v>5628.2178217821784</v>
      </c>
      <c r="G184" s="21">
        <f t="shared" si="5"/>
        <v>4.9616608076711985</v>
      </c>
      <c r="H184" s="21" t="s">
        <v>3791</v>
      </c>
      <c r="I184" s="21"/>
      <c r="J184" s="89">
        <f>IF(I184="Yes",VLOOKUP(B184,'Other corrections needed'!$A$11:$K$17,11,FALSE),IF('Land data'!G184=0,VLOOKUP('Land data'!H184,'Other corrections needed'!$A$3:$E$6,5,FALSE),IF(ISERR('Land data'!G184),VLOOKUP('Land data'!H184,'Other corrections needed'!$A$3:$E$6,5,FALSE),'Land data'!G184)))</f>
        <v>4.9616608076711985</v>
      </c>
    </row>
    <row r="185" spans="1:10" x14ac:dyDescent="0.2">
      <c r="A185" s="21" t="s">
        <v>707</v>
      </c>
      <c r="B185" s="21" t="s">
        <v>548</v>
      </c>
      <c r="C185" s="21" t="s">
        <v>1161</v>
      </c>
      <c r="D185" s="21">
        <v>30.574999999999999</v>
      </c>
      <c r="E185" s="21">
        <v>46006</v>
      </c>
      <c r="F185" s="21">
        <f t="shared" si="4"/>
        <v>1504.6933769419461</v>
      </c>
      <c r="G185" s="21">
        <f t="shared" si="5"/>
        <v>1.3264906214257421</v>
      </c>
      <c r="H185" s="21"/>
      <c r="I185" s="21"/>
      <c r="J185" s="89">
        <f>IF(I185="Yes",VLOOKUP(B185,'Other corrections needed'!$A$11:$K$17,11,FALSE),IF('Land data'!G185=0,VLOOKUP('Land data'!H185,'Other corrections needed'!$A$3:$E$6,5,FALSE),IF(ISERR('Land data'!G185),VLOOKUP('Land data'!H185,'Other corrections needed'!$A$3:$E$6,5,FALSE),'Land data'!G185)))</f>
        <v>1.3264906214257421</v>
      </c>
    </row>
    <row r="186" spans="1:10" x14ac:dyDescent="0.2">
      <c r="A186" s="21" t="s">
        <v>707</v>
      </c>
      <c r="B186" s="21" t="s">
        <v>695</v>
      </c>
      <c r="C186" s="21" t="s">
        <v>1124</v>
      </c>
      <c r="D186" s="21">
        <v>34.590000000000003</v>
      </c>
      <c r="E186" s="21">
        <v>28382</v>
      </c>
      <c r="F186" s="21">
        <f t="shared" si="4"/>
        <v>820.52616363110712</v>
      </c>
      <c r="G186" s="21">
        <f t="shared" si="5"/>
        <v>0.72335020368279379</v>
      </c>
      <c r="H186" s="21"/>
      <c r="I186" s="21"/>
      <c r="J186" s="89">
        <f>IF(I186="Yes",VLOOKUP(B186,'Other corrections needed'!$A$11:$K$17,11,FALSE),IF('Land data'!G186=0,VLOOKUP('Land data'!H186,'Other corrections needed'!$A$3:$E$6,5,FALSE),IF(ISERR('Land data'!G186),VLOOKUP('Land data'!H186,'Other corrections needed'!$A$3:$E$6,5,FALSE),'Land data'!G186)))</f>
        <v>0.72335020368279379</v>
      </c>
    </row>
    <row r="187" spans="1:10" x14ac:dyDescent="0.2">
      <c r="A187" s="21" t="s">
        <v>707</v>
      </c>
      <c r="B187" s="21" t="s">
        <v>697</v>
      </c>
      <c r="C187" s="21" t="s">
        <v>1126</v>
      </c>
      <c r="D187" s="21">
        <v>11.1089</v>
      </c>
      <c r="E187" s="21">
        <v>12048</v>
      </c>
      <c r="F187" s="21">
        <f t="shared" si="4"/>
        <v>1084.535822628703</v>
      </c>
      <c r="G187" s="21">
        <f t="shared" si="5"/>
        <v>0.95609286208264599</v>
      </c>
      <c r="H187" s="21"/>
      <c r="I187" s="21"/>
      <c r="J187" s="89">
        <f>IF(I187="Yes",VLOOKUP(B187,'Other corrections needed'!$A$11:$K$17,11,FALSE),IF('Land data'!G187=0,VLOOKUP('Land data'!H187,'Other corrections needed'!$A$3:$E$6,5,FALSE),IF(ISERR('Land data'!G187),VLOOKUP('Land data'!H187,'Other corrections needed'!$A$3:$E$6,5,FALSE),'Land data'!G187)))</f>
        <v>0.95609286208264599</v>
      </c>
    </row>
    <row r="188" spans="1:10" x14ac:dyDescent="0.2">
      <c r="A188" s="21" t="s">
        <v>707</v>
      </c>
      <c r="B188" s="21" t="s">
        <v>1320</v>
      </c>
      <c r="C188" s="21" t="s">
        <v>1141</v>
      </c>
      <c r="D188" s="21">
        <v>52.927</v>
      </c>
      <c r="E188" s="21">
        <v>52843</v>
      </c>
      <c r="F188" s="21">
        <f t="shared" si="4"/>
        <v>998.41290834545691</v>
      </c>
      <c r="G188" s="21">
        <f t="shared" si="5"/>
        <v>0.8801695943676271</v>
      </c>
      <c r="H188" s="21"/>
      <c r="I188" s="21"/>
      <c r="J188" s="89">
        <f>IF(I188="Yes",VLOOKUP(B188,'Other corrections needed'!$A$11:$K$17,11,FALSE),IF('Land data'!G188=0,VLOOKUP('Land data'!H188,'Other corrections needed'!$A$3:$E$6,5,FALSE),IF(ISERR('Land data'!G188),VLOOKUP('Land data'!H188,'Other corrections needed'!$A$3:$E$6,5,FALSE),'Land data'!G188)))</f>
        <v>0.8801695943676271</v>
      </c>
    </row>
    <row r="189" spans="1:10" x14ac:dyDescent="0.2">
      <c r="A189" s="21" t="s">
        <v>707</v>
      </c>
      <c r="B189" s="21" t="s">
        <v>2335</v>
      </c>
      <c r="C189" s="21" t="s">
        <v>3535</v>
      </c>
      <c r="D189" s="21">
        <v>80.27</v>
      </c>
      <c r="E189" s="21">
        <v>21982</v>
      </c>
      <c r="F189" s="21">
        <f t="shared" si="4"/>
        <v>273.85075370624145</v>
      </c>
      <c r="G189" s="21">
        <f t="shared" si="5"/>
        <v>0.24141825971213493</v>
      </c>
      <c r="H189" s="21"/>
      <c r="I189" s="21"/>
      <c r="J189" s="89">
        <f>IF(I189="Yes",VLOOKUP(B189,'Other corrections needed'!$A$11:$K$17,11,FALSE),IF('Land data'!G189=0,VLOOKUP('Land data'!H189,'Other corrections needed'!$A$3:$E$6,5,FALSE),IF(ISERR('Land data'!G189),VLOOKUP('Land data'!H189,'Other corrections needed'!$A$3:$E$6,5,FALSE),'Land data'!G189)))</f>
        <v>0.24141825971213493</v>
      </c>
    </row>
    <row r="190" spans="1:10" x14ac:dyDescent="0.2">
      <c r="A190" s="21" t="s">
        <v>707</v>
      </c>
      <c r="B190" s="21" t="s">
        <v>674</v>
      </c>
      <c r="C190" s="21" t="s">
        <v>3030</v>
      </c>
      <c r="D190" s="21">
        <v>18.100000000000001</v>
      </c>
      <c r="E190" s="21">
        <v>23669</v>
      </c>
      <c r="F190" s="21">
        <f t="shared" si="4"/>
        <v>1307.6795580110497</v>
      </c>
      <c r="G190" s="21">
        <f t="shared" si="5"/>
        <v>1.1528094003159439</v>
      </c>
      <c r="H190" s="21" t="s">
        <v>533</v>
      </c>
      <c r="I190" s="21"/>
      <c r="J190" s="89">
        <f>IF(I190="Yes",VLOOKUP(B190,'Other corrections needed'!$A$11:$K$17,11,FALSE),IF('Land data'!G190=0,VLOOKUP('Land data'!H190,'Other corrections needed'!$A$3:$E$6,5,FALSE),IF(ISERR('Land data'!G190),VLOOKUP('Land data'!H190,'Other corrections needed'!$A$3:$E$6,5,FALSE),'Land data'!G190)))</f>
        <v>1.1528094003159439</v>
      </c>
    </row>
    <row r="191" spans="1:10" x14ac:dyDescent="0.2">
      <c r="A191" s="21" t="s">
        <v>707</v>
      </c>
      <c r="B191" s="21" t="s">
        <v>2275</v>
      </c>
      <c r="C191" s="21" t="s">
        <v>193</v>
      </c>
      <c r="D191" s="21">
        <v>10.744299999999999</v>
      </c>
      <c r="E191" s="21">
        <v>13891</v>
      </c>
      <c r="F191" s="21">
        <f t="shared" si="4"/>
        <v>1292.8715691110638</v>
      </c>
      <c r="G191" s="21">
        <f t="shared" si="5"/>
        <v>1.1397551404255146</v>
      </c>
      <c r="H191" s="21"/>
      <c r="I191" s="21"/>
      <c r="J191" s="89">
        <f>IF(I191="Yes",VLOOKUP(B191,'Other corrections needed'!$A$11:$K$17,11,FALSE),IF('Land data'!G191=0,VLOOKUP('Land data'!H191,'Other corrections needed'!$A$3:$E$6,5,FALSE),IF(ISERR('Land data'!G191),VLOOKUP('Land data'!H191,'Other corrections needed'!$A$3:$E$6,5,FALSE),'Land data'!G191)))</f>
        <v>1.1397551404255146</v>
      </c>
    </row>
    <row r="192" spans="1:10" x14ac:dyDescent="0.2">
      <c r="A192" s="21" t="s">
        <v>707</v>
      </c>
      <c r="B192" s="21" t="s">
        <v>2298</v>
      </c>
      <c r="C192" s="21" t="s">
        <v>3041</v>
      </c>
      <c r="D192" s="21">
        <v>32.76</v>
      </c>
      <c r="E192" s="21">
        <v>60754</v>
      </c>
      <c r="F192" s="21">
        <f t="shared" si="4"/>
        <v>1854.5177045177047</v>
      </c>
      <c r="G192" s="21">
        <f t="shared" si="5"/>
        <v>1.6348848077674782</v>
      </c>
      <c r="H192" s="21"/>
      <c r="I192" s="21"/>
      <c r="J192" s="89">
        <f>IF(I192="Yes",VLOOKUP(B192,'Other corrections needed'!$A$11:$K$17,11,FALSE),IF('Land data'!G192=0,VLOOKUP('Land data'!H192,'Other corrections needed'!$A$3:$E$6,5,FALSE),IF(ISERR('Land data'!G192),VLOOKUP('Land data'!H192,'Other corrections needed'!$A$3:$E$6,5,FALSE),'Land data'!G192)))</f>
        <v>1.6348848077674782</v>
      </c>
    </row>
    <row r="193" spans="1:10" x14ac:dyDescent="0.2">
      <c r="A193" s="21" t="s">
        <v>707</v>
      </c>
      <c r="B193" s="21" t="s">
        <v>3678</v>
      </c>
      <c r="C193" s="21" t="s">
        <v>2127</v>
      </c>
      <c r="D193" s="21">
        <v>46.325000000000003</v>
      </c>
      <c r="E193" s="21">
        <v>56474</v>
      </c>
      <c r="F193" s="21">
        <f t="shared" si="4"/>
        <v>1219.0825688073394</v>
      </c>
      <c r="G193" s="21">
        <f t="shared" si="5"/>
        <v>1.0747050655283961</v>
      </c>
      <c r="H193" s="21"/>
      <c r="I193" s="21"/>
      <c r="J193" s="89">
        <f>IF(I193="Yes",VLOOKUP(B193,'Other corrections needed'!$A$11:$K$17,11,FALSE),IF('Land data'!G193=0,VLOOKUP('Land data'!H193,'Other corrections needed'!$A$3:$E$6,5,FALSE),IF(ISERR('Land data'!G193),VLOOKUP('Land data'!H193,'Other corrections needed'!$A$3:$E$6,5,FALSE),'Land data'!G193)))</f>
        <v>1.0747050655283961</v>
      </c>
    </row>
    <row r="194" spans="1:10" x14ac:dyDescent="0.2">
      <c r="A194" s="21" t="s">
        <v>707</v>
      </c>
      <c r="B194" s="21" t="s">
        <v>584</v>
      </c>
      <c r="C194" s="21" t="s">
        <v>190</v>
      </c>
      <c r="D194" s="21">
        <v>33.85410000000001</v>
      </c>
      <c r="E194" s="21">
        <v>53826</v>
      </c>
      <c r="F194" s="21">
        <f t="shared" ref="F194:F234" si="6">E194/D194</f>
        <v>1589.9403617287119</v>
      </c>
      <c r="G194" s="21">
        <f t="shared" ref="G194:G234" si="7">F194/F$236</f>
        <v>1.4016416970915924</v>
      </c>
      <c r="H194" s="21"/>
      <c r="I194" s="21"/>
      <c r="J194" s="89">
        <f>IF(I194="Yes",VLOOKUP(B194,'Other corrections needed'!$A$11:$K$17,11,FALSE),IF('Land data'!G194=0,VLOOKUP('Land data'!H194,'Other corrections needed'!$A$3:$E$6,5,FALSE),IF(ISERR('Land data'!G194),VLOOKUP('Land data'!H194,'Other corrections needed'!$A$3:$E$6,5,FALSE),'Land data'!G194)))</f>
        <v>1.4016416970915924</v>
      </c>
    </row>
    <row r="195" spans="1:10" x14ac:dyDescent="0.2">
      <c r="A195" s="21" t="s">
        <v>707</v>
      </c>
      <c r="B195" s="21" t="s">
        <v>592</v>
      </c>
      <c r="C195" s="21" t="s">
        <v>2973</v>
      </c>
      <c r="D195" s="21">
        <v>83.97</v>
      </c>
      <c r="E195" s="21">
        <v>56816</v>
      </c>
      <c r="F195" s="21">
        <f t="shared" si="6"/>
        <v>676.62260331070627</v>
      </c>
      <c r="G195" s="21">
        <f t="shared" si="7"/>
        <v>0.59648932552651934</v>
      </c>
      <c r="H195" s="21"/>
      <c r="I195" s="21"/>
      <c r="J195" s="89">
        <f>IF(I195="Yes",VLOOKUP(B195,'Other corrections needed'!$A$11:$K$17,11,FALSE),IF('Land data'!G195=0,VLOOKUP('Land data'!H195,'Other corrections needed'!$A$3:$E$6,5,FALSE),IF(ISERR('Land data'!G195),VLOOKUP('Land data'!H195,'Other corrections needed'!$A$3:$E$6,5,FALSE),'Land data'!G195)))</f>
        <v>0.59648932552651934</v>
      </c>
    </row>
    <row r="196" spans="1:10" x14ac:dyDescent="0.2">
      <c r="A196" s="21" t="s">
        <v>707</v>
      </c>
      <c r="B196" s="21" t="s">
        <v>3674</v>
      </c>
      <c r="C196" s="21" t="s">
        <v>640</v>
      </c>
      <c r="D196" s="21">
        <v>240.19899999999998</v>
      </c>
      <c r="E196" s="21">
        <v>54953</v>
      </c>
      <c r="F196" s="21">
        <f t="shared" si="6"/>
        <v>228.78113564169712</v>
      </c>
      <c r="G196" s="21">
        <f t="shared" si="7"/>
        <v>0.20168629399074608</v>
      </c>
      <c r="H196" s="21"/>
      <c r="I196" s="21"/>
      <c r="J196" s="89">
        <f>IF(I196="Yes",VLOOKUP(B196,'Other corrections needed'!$A$11:$K$17,11,FALSE),IF('Land data'!G196=0,VLOOKUP('Land data'!H196,'Other corrections needed'!$A$3:$E$6,5,FALSE),IF(ISERR('Land data'!G196),VLOOKUP('Land data'!H196,'Other corrections needed'!$A$3:$E$6,5,FALSE),'Land data'!G196)))</f>
        <v>0.20168629399074608</v>
      </c>
    </row>
    <row r="197" spans="1:10" x14ac:dyDescent="0.2">
      <c r="A197" s="21" t="s">
        <v>707</v>
      </c>
      <c r="B197" s="21" t="s">
        <v>2375</v>
      </c>
      <c r="C197" s="21" t="s">
        <v>3542</v>
      </c>
      <c r="D197" s="21">
        <v>7.6710000000000003</v>
      </c>
      <c r="E197" s="21">
        <v>10947</v>
      </c>
      <c r="F197" s="21">
        <f t="shared" si="6"/>
        <v>1427.0629644114197</v>
      </c>
      <c r="G197" s="21">
        <f t="shared" si="7"/>
        <v>1.2580540776506661</v>
      </c>
      <c r="H197" s="21"/>
      <c r="I197" s="21"/>
      <c r="J197" s="89">
        <f>IF(I197="Yes",VLOOKUP(B197,'Other corrections needed'!$A$11:$K$17,11,FALSE),IF('Land data'!G197=0,VLOOKUP('Land data'!H197,'Other corrections needed'!$A$3:$E$6,5,FALSE),IF(ISERR('Land data'!G197),VLOOKUP('Land data'!H197,'Other corrections needed'!$A$3:$E$6,5,FALSE),'Land data'!G197)))</f>
        <v>1.2580540776506661</v>
      </c>
    </row>
    <row r="198" spans="1:10" x14ac:dyDescent="0.2">
      <c r="A198" s="21" t="s">
        <v>707</v>
      </c>
      <c r="B198" s="21" t="s">
        <v>415</v>
      </c>
      <c r="C198" s="21" t="s">
        <v>637</v>
      </c>
      <c r="D198" s="21">
        <v>13.83</v>
      </c>
      <c r="E198" s="21">
        <v>4057</v>
      </c>
      <c r="F198" s="21">
        <f t="shared" si="6"/>
        <v>293.34779464931307</v>
      </c>
      <c r="G198" s="21">
        <f t="shared" si="7"/>
        <v>0.25860624123239656</v>
      </c>
      <c r="H198" s="21"/>
      <c r="I198" s="21"/>
      <c r="J198" s="89">
        <f>IF(I198="Yes",VLOOKUP(B198,'Other corrections needed'!$A$11:$K$17,11,FALSE),IF('Land data'!G198=0,VLOOKUP('Land data'!H198,'Other corrections needed'!$A$3:$E$6,5,FALSE),IF(ISERR('Land data'!G198),VLOOKUP('Land data'!H198,'Other corrections needed'!$A$3:$E$6,5,FALSE),'Land data'!G198)))</f>
        <v>0.25860624123239656</v>
      </c>
    </row>
    <row r="199" spans="1:10" x14ac:dyDescent="0.2">
      <c r="A199" s="21" t="s">
        <v>707</v>
      </c>
      <c r="B199" s="21" t="s">
        <v>3662</v>
      </c>
      <c r="C199" s="21" t="s">
        <v>3009</v>
      </c>
      <c r="D199" s="21">
        <v>28.35</v>
      </c>
      <c r="E199" s="21">
        <v>20397</v>
      </c>
      <c r="F199" s="21">
        <f t="shared" si="6"/>
        <v>719.47089947089944</v>
      </c>
      <c r="G199" s="21">
        <f t="shared" si="7"/>
        <v>0.6342630433294667</v>
      </c>
      <c r="H199" s="21" t="s">
        <v>533</v>
      </c>
      <c r="I199" s="21"/>
      <c r="J199" s="89">
        <f>IF(I199="Yes",VLOOKUP(B199,'Other corrections needed'!$A$11:$K$17,11,FALSE),IF('Land data'!G199=0,VLOOKUP('Land data'!H199,'Other corrections needed'!$A$3:$E$6,5,FALSE),IF(ISERR('Land data'!G199),VLOOKUP('Land data'!H199,'Other corrections needed'!$A$3:$E$6,5,FALSE),'Land data'!G199)))</f>
        <v>0.6342630433294667</v>
      </c>
    </row>
    <row r="200" spans="1:10" x14ac:dyDescent="0.2">
      <c r="A200" s="21" t="s">
        <v>707</v>
      </c>
      <c r="B200" s="21" t="s">
        <v>705</v>
      </c>
      <c r="C200" s="21" t="s">
        <v>3068</v>
      </c>
      <c r="D200" s="21">
        <v>13.327999999999999</v>
      </c>
      <c r="E200" s="21">
        <v>19858</v>
      </c>
      <c r="F200" s="21">
        <f t="shared" si="6"/>
        <v>1489.9459783913567</v>
      </c>
      <c r="G200" s="21">
        <f t="shared" si="7"/>
        <v>1.3134897760923616</v>
      </c>
      <c r="H200" s="21"/>
      <c r="I200" s="21"/>
      <c r="J200" s="89">
        <f>IF(I200="Yes",VLOOKUP(B200,'Other corrections needed'!$A$11:$K$17,11,FALSE),IF('Land data'!G200=0,VLOOKUP('Land data'!H200,'Other corrections needed'!$A$3:$E$6,5,FALSE),IF(ISERR('Land data'!G200),VLOOKUP('Land data'!H200,'Other corrections needed'!$A$3:$E$6,5,FALSE),'Land data'!G200)))</f>
        <v>1.3134897760923616</v>
      </c>
    </row>
    <row r="201" spans="1:10" x14ac:dyDescent="0.2">
      <c r="A201" s="21" t="s">
        <v>707</v>
      </c>
      <c r="B201" s="21" t="s">
        <v>2357</v>
      </c>
      <c r="C201" s="21" t="s">
        <v>2117</v>
      </c>
      <c r="D201" s="21">
        <v>18.399999999999999</v>
      </c>
      <c r="E201" s="21">
        <v>17313</v>
      </c>
      <c r="F201" s="21">
        <f t="shared" si="6"/>
        <v>940.92391304347836</v>
      </c>
      <c r="G201" s="21">
        <f t="shared" si="7"/>
        <v>0.82948909409304838</v>
      </c>
      <c r="H201" s="21"/>
      <c r="I201" s="21"/>
      <c r="J201" s="89">
        <f>IF(I201="Yes",VLOOKUP(B201,'Other corrections needed'!$A$11:$K$17,11,FALSE),IF('Land data'!G201=0,VLOOKUP('Land data'!H201,'Other corrections needed'!$A$3:$E$6,5,FALSE),IF(ISERR('Land data'!G201),VLOOKUP('Land data'!H201,'Other corrections needed'!$A$3:$E$6,5,FALSE),'Land data'!G201)))</f>
        <v>0.82948909409304838</v>
      </c>
    </row>
    <row r="202" spans="1:10" x14ac:dyDescent="0.2">
      <c r="A202" s="21" t="s">
        <v>707</v>
      </c>
      <c r="B202" s="21" t="s">
        <v>2318</v>
      </c>
      <c r="C202" s="21" t="s">
        <v>2987</v>
      </c>
      <c r="D202" s="21">
        <v>29.295999999999999</v>
      </c>
      <c r="E202" s="21">
        <v>9665</v>
      </c>
      <c r="F202" s="21">
        <f t="shared" si="6"/>
        <v>329.90851993446205</v>
      </c>
      <c r="G202" s="21">
        <f t="shared" si="7"/>
        <v>0.29083703319735932</v>
      </c>
      <c r="H202" s="21"/>
      <c r="I202" s="21"/>
      <c r="J202" s="89">
        <f>IF(I202="Yes",VLOOKUP(B202,'Other corrections needed'!$A$11:$K$17,11,FALSE),IF('Land data'!G202=0,VLOOKUP('Land data'!H202,'Other corrections needed'!$A$3:$E$6,5,FALSE),IF(ISERR('Land data'!G202),VLOOKUP('Land data'!H202,'Other corrections needed'!$A$3:$E$6,5,FALSE),'Land data'!G202)))</f>
        <v>0.29083703319735932</v>
      </c>
    </row>
    <row r="203" spans="1:10" x14ac:dyDescent="0.2">
      <c r="A203" s="21" t="s">
        <v>707</v>
      </c>
      <c r="B203" s="21" t="s">
        <v>2361</v>
      </c>
      <c r="C203" s="21" t="s">
        <v>3504</v>
      </c>
      <c r="D203" s="21">
        <v>29.576999999999998</v>
      </c>
      <c r="E203" s="21">
        <v>33611</v>
      </c>
      <c r="F203" s="21">
        <f t="shared" si="6"/>
        <v>1136.3897623153127</v>
      </c>
      <c r="G203" s="21">
        <f t="shared" si="7"/>
        <v>1.0018056735645813</v>
      </c>
      <c r="H203" s="21" t="s">
        <v>3795</v>
      </c>
      <c r="I203" s="21"/>
      <c r="J203" s="89">
        <f>IF(I203="Yes",VLOOKUP(B203,'Other corrections needed'!$A$11:$K$17,11,FALSE),IF('Land data'!G203=0,VLOOKUP('Land data'!H203,'Other corrections needed'!$A$3:$E$6,5,FALSE),IF(ISERR('Land data'!G203),VLOOKUP('Land data'!H203,'Other corrections needed'!$A$3:$E$6,5,FALSE),'Land data'!G203)))</f>
        <v>1.0018056735645813</v>
      </c>
    </row>
    <row r="204" spans="1:10" x14ac:dyDescent="0.2">
      <c r="A204" s="21" t="s">
        <v>707</v>
      </c>
      <c r="B204" s="21" t="s">
        <v>3708</v>
      </c>
      <c r="C204" s="21" t="s">
        <v>3058</v>
      </c>
      <c r="D204" s="21">
        <v>39.777000000000008</v>
      </c>
      <c r="E204" s="21">
        <v>30133</v>
      </c>
      <c r="F204" s="21">
        <f t="shared" si="6"/>
        <v>757.54833195062463</v>
      </c>
      <c r="G204" s="21">
        <f t="shared" si="7"/>
        <v>0.66783091692174623</v>
      </c>
      <c r="H204" s="21"/>
      <c r="I204" s="21"/>
      <c r="J204" s="89">
        <f>IF(I204="Yes",VLOOKUP(B204,'Other corrections needed'!$A$11:$K$17,11,FALSE),IF('Land data'!G204=0,VLOOKUP('Land data'!H204,'Other corrections needed'!$A$3:$E$6,5,FALSE),IF(ISERR('Land data'!G204),VLOOKUP('Land data'!H204,'Other corrections needed'!$A$3:$E$6,5,FALSE),'Land data'!G204)))</f>
        <v>0.66783091692174623</v>
      </c>
    </row>
    <row r="205" spans="1:10" x14ac:dyDescent="0.2">
      <c r="A205" s="21" t="s">
        <v>707</v>
      </c>
      <c r="B205" s="21" t="s">
        <v>397</v>
      </c>
      <c r="C205" s="21" t="s">
        <v>3054</v>
      </c>
      <c r="D205" s="21">
        <v>59.646999999999998</v>
      </c>
      <c r="E205" s="21">
        <v>71239</v>
      </c>
      <c r="F205" s="21">
        <f t="shared" si="6"/>
        <v>1194.3433869264172</v>
      </c>
      <c r="G205" s="21">
        <f t="shared" si="7"/>
        <v>1.05289577650668</v>
      </c>
      <c r="H205" s="21"/>
      <c r="I205" s="21"/>
      <c r="J205" s="89">
        <f>IF(I205="Yes",VLOOKUP(B205,'Other corrections needed'!$A$11:$K$17,11,FALSE),IF('Land data'!G205=0,VLOOKUP('Land data'!H205,'Other corrections needed'!$A$3:$E$6,5,FALSE),IF(ISERR('Land data'!G205),VLOOKUP('Land data'!H205,'Other corrections needed'!$A$3:$E$6,5,FALSE),'Land data'!G205)))</f>
        <v>1.05289577650668</v>
      </c>
    </row>
    <row r="206" spans="1:10" x14ac:dyDescent="0.2">
      <c r="A206" s="21" t="s">
        <v>707</v>
      </c>
      <c r="B206" s="21" t="s">
        <v>564</v>
      </c>
      <c r="C206" s="21" t="s">
        <v>3064</v>
      </c>
      <c r="D206" s="21">
        <v>26.64</v>
      </c>
      <c r="E206" s="21">
        <v>13821</v>
      </c>
      <c r="F206" s="21">
        <f t="shared" si="6"/>
        <v>518.80630630630628</v>
      </c>
      <c r="G206" s="21">
        <f t="shared" si="7"/>
        <v>0.45736341383417806</v>
      </c>
      <c r="H206" s="21"/>
      <c r="I206" s="21"/>
      <c r="J206" s="89">
        <f>IF(I206="Yes",VLOOKUP(B206,'Other corrections needed'!$A$11:$K$17,11,FALSE),IF('Land data'!G206=0,VLOOKUP('Land data'!H206,'Other corrections needed'!$A$3:$E$6,5,FALSE),IF(ISERR('Land data'!G206),VLOOKUP('Land data'!H206,'Other corrections needed'!$A$3:$E$6,5,FALSE),'Land data'!G206)))</f>
        <v>0.45736341383417806</v>
      </c>
    </row>
    <row r="207" spans="1:10" x14ac:dyDescent="0.2">
      <c r="A207" s="21" t="s">
        <v>707</v>
      </c>
      <c r="B207" s="21" t="s">
        <v>2292</v>
      </c>
      <c r="C207" s="21" t="s">
        <v>3499</v>
      </c>
      <c r="D207" s="21">
        <v>24.204999999999998</v>
      </c>
      <c r="E207" s="21">
        <v>30835</v>
      </c>
      <c r="F207" s="21">
        <f t="shared" si="6"/>
        <v>1273.9103491014255</v>
      </c>
      <c r="G207" s="21">
        <f t="shared" si="7"/>
        <v>1.1230395218822253</v>
      </c>
      <c r="H207" s="21" t="s">
        <v>3795</v>
      </c>
      <c r="I207" s="21"/>
      <c r="J207" s="89">
        <f>IF(I207="Yes",VLOOKUP(B207,'Other corrections needed'!$A$11:$K$17,11,FALSE),IF('Land data'!G207=0,VLOOKUP('Land data'!H207,'Other corrections needed'!$A$3:$E$6,5,FALSE),IF(ISERR('Land data'!G207),VLOOKUP('Land data'!H207,'Other corrections needed'!$A$3:$E$6,5,FALSE),'Land data'!G207)))</f>
        <v>1.1230395218822253</v>
      </c>
    </row>
    <row r="208" spans="1:10" x14ac:dyDescent="0.2">
      <c r="A208" s="21" t="s">
        <v>707</v>
      </c>
      <c r="B208" s="21" t="s">
        <v>3736</v>
      </c>
      <c r="C208" s="21" t="s">
        <v>1111</v>
      </c>
      <c r="D208" s="21">
        <v>32.200000000000003</v>
      </c>
      <c r="E208" s="21">
        <v>23374</v>
      </c>
      <c r="F208" s="21">
        <f t="shared" si="6"/>
        <v>725.9006211180124</v>
      </c>
      <c r="G208" s="21">
        <f t="shared" si="7"/>
        <v>0.63993128484230377</v>
      </c>
      <c r="H208" s="21" t="s">
        <v>3753</v>
      </c>
      <c r="I208" s="21"/>
      <c r="J208" s="89">
        <f>IF(I208="Yes",VLOOKUP(B208,'Other corrections needed'!$A$11:$K$17,11,FALSE),IF('Land data'!G208=0,VLOOKUP('Land data'!H208,'Other corrections needed'!$A$3:$E$6,5,FALSE),IF(ISERR('Land data'!G208),VLOOKUP('Land data'!H208,'Other corrections needed'!$A$3:$E$6,5,FALSE),'Land data'!G208)))</f>
        <v>0.63993128484230377</v>
      </c>
    </row>
    <row r="209" spans="1:10" x14ac:dyDescent="0.2">
      <c r="A209" s="21" t="s">
        <v>707</v>
      </c>
      <c r="B209" s="21" t="s">
        <v>2285</v>
      </c>
      <c r="C209" s="21" t="s">
        <v>2981</v>
      </c>
      <c r="D209" s="21">
        <v>24.746299999999998</v>
      </c>
      <c r="E209" s="21">
        <v>9209</v>
      </c>
      <c r="F209" s="21">
        <f t="shared" si="6"/>
        <v>372.13644059920074</v>
      </c>
      <c r="G209" s="21">
        <f t="shared" si="7"/>
        <v>0.32806384736592281</v>
      </c>
      <c r="H209" s="21"/>
      <c r="I209" s="21"/>
      <c r="J209" s="89">
        <f>IF(I209="Yes",VLOOKUP(B209,'Other corrections needed'!$A$11:$K$17,11,FALSE),IF('Land data'!G209=0,VLOOKUP('Land data'!H209,'Other corrections needed'!$A$3:$E$6,5,FALSE),IF(ISERR('Land data'!G209),VLOOKUP('Land data'!H209,'Other corrections needed'!$A$3:$E$6,5,FALSE),'Land data'!G209)))</f>
        <v>0.32806384736592281</v>
      </c>
    </row>
    <row r="210" spans="1:10" x14ac:dyDescent="0.2">
      <c r="A210" s="21" t="s">
        <v>707</v>
      </c>
      <c r="B210" s="21" t="s">
        <v>2333</v>
      </c>
      <c r="C210" s="21" t="s">
        <v>3074</v>
      </c>
      <c r="D210" s="21">
        <v>67.306899999999999</v>
      </c>
      <c r="E210" s="21">
        <v>11910</v>
      </c>
      <c r="F210" s="21">
        <f t="shared" si="6"/>
        <v>176.95065439056026</v>
      </c>
      <c r="G210" s="21">
        <f t="shared" si="7"/>
        <v>0.15599416273185476</v>
      </c>
      <c r="H210" s="21"/>
      <c r="I210" s="21"/>
      <c r="J210" s="89">
        <f>IF(I210="Yes",VLOOKUP(B210,'Other corrections needed'!$A$11:$K$17,11,FALSE),IF('Land data'!G210=0,VLOOKUP('Land data'!H210,'Other corrections needed'!$A$3:$E$6,5,FALSE),IF(ISERR('Land data'!G210),VLOOKUP('Land data'!H210,'Other corrections needed'!$A$3:$E$6,5,FALSE),'Land data'!G210)))</f>
        <v>0.15599416273185476</v>
      </c>
    </row>
    <row r="211" spans="1:10" x14ac:dyDescent="0.2">
      <c r="A211" s="21" t="s">
        <v>707</v>
      </c>
      <c r="B211" s="21" t="s">
        <v>359</v>
      </c>
      <c r="C211" s="21" t="s">
        <v>3003</v>
      </c>
      <c r="D211" s="21">
        <v>34.83</v>
      </c>
      <c r="E211" s="21">
        <v>33003</v>
      </c>
      <c r="F211" s="21">
        <f t="shared" si="6"/>
        <v>947.54521963824288</v>
      </c>
      <c r="G211" s="21">
        <f t="shared" si="7"/>
        <v>0.83532623090386482</v>
      </c>
      <c r="H211" s="21"/>
      <c r="I211" s="21"/>
      <c r="J211" s="89">
        <f>IF(I211="Yes",VLOOKUP(B211,'Other corrections needed'!$A$11:$K$17,11,FALSE),IF('Land data'!G211=0,VLOOKUP('Land data'!H211,'Other corrections needed'!$A$3:$E$6,5,FALSE),IF(ISERR('Land data'!G211),VLOOKUP('Land data'!H211,'Other corrections needed'!$A$3:$E$6,5,FALSE),'Land data'!G211)))</f>
        <v>0.83532623090386482</v>
      </c>
    </row>
    <row r="212" spans="1:10" x14ac:dyDescent="0.2">
      <c r="A212" s="21" t="s">
        <v>707</v>
      </c>
      <c r="B212" s="21" t="s">
        <v>5</v>
      </c>
      <c r="C212" s="21" t="s">
        <v>711</v>
      </c>
      <c r="D212" s="21">
        <v>28.594000000000001</v>
      </c>
      <c r="E212" s="21">
        <v>37907</v>
      </c>
      <c r="F212" s="21">
        <f t="shared" si="6"/>
        <v>1325.6976988179338</v>
      </c>
      <c r="G212" s="21">
        <f t="shared" si="7"/>
        <v>1.1686936297291384</v>
      </c>
      <c r="H212" s="21"/>
      <c r="I212" s="21"/>
      <c r="J212" s="89">
        <f>IF(I212="Yes",VLOOKUP(B212,'Other corrections needed'!$A$11:$K$17,11,FALSE),IF('Land data'!G212=0,VLOOKUP('Land data'!H212,'Other corrections needed'!$A$3:$E$6,5,FALSE),IF(ISERR('Land data'!G212),VLOOKUP('Land data'!H212,'Other corrections needed'!$A$3:$E$6,5,FALSE),'Land data'!G212)))</f>
        <v>1.1686936297291384</v>
      </c>
    </row>
    <row r="213" spans="1:10" x14ac:dyDescent="0.2">
      <c r="A213" s="21" t="s">
        <v>707</v>
      </c>
      <c r="B213" s="21" t="s">
        <v>2294</v>
      </c>
      <c r="C213" s="21" t="s">
        <v>195</v>
      </c>
      <c r="D213" s="21">
        <v>28.765000000000001</v>
      </c>
      <c r="E213" s="21">
        <v>28642</v>
      </c>
      <c r="F213" s="21">
        <f t="shared" si="6"/>
        <v>995.7239701025552</v>
      </c>
      <c r="G213" s="21">
        <f t="shared" si="7"/>
        <v>0.87779911050994497</v>
      </c>
      <c r="H213" s="21"/>
      <c r="I213" s="21"/>
      <c r="J213" s="89">
        <f>IF(I213="Yes",VLOOKUP(B213,'Other corrections needed'!$A$11:$K$17,11,FALSE),IF('Land data'!G213=0,VLOOKUP('Land data'!H213,'Other corrections needed'!$A$3:$E$6,5,FALSE),IF(ISERR('Land data'!G213),VLOOKUP('Land data'!H213,'Other corrections needed'!$A$3:$E$6,5,FALSE),'Land data'!G213)))</f>
        <v>0.87779911050994497</v>
      </c>
    </row>
    <row r="214" spans="1:10" x14ac:dyDescent="0.2">
      <c r="A214" s="21" t="s">
        <v>707</v>
      </c>
      <c r="B214" s="21" t="s">
        <v>2353</v>
      </c>
      <c r="C214" s="21" t="s">
        <v>2997</v>
      </c>
      <c r="D214" s="21">
        <v>45.67</v>
      </c>
      <c r="E214" s="21">
        <v>23678</v>
      </c>
      <c r="F214" s="21">
        <f t="shared" si="6"/>
        <v>518.45850667834463</v>
      </c>
      <c r="G214" s="21">
        <f t="shared" si="7"/>
        <v>0.45705680455969311</v>
      </c>
      <c r="H214" s="21"/>
      <c r="I214" s="21"/>
      <c r="J214" s="89">
        <f>IF(I214="Yes",VLOOKUP(B214,'Other corrections needed'!$A$11:$K$17,11,FALSE),IF('Land data'!G214=0,VLOOKUP('Land data'!H214,'Other corrections needed'!$A$3:$E$6,5,FALSE),IF(ISERR('Land data'!G214),VLOOKUP('Land data'!H214,'Other corrections needed'!$A$3:$E$6,5,FALSE),'Land data'!G214)))</f>
        <v>0.45705680455969311</v>
      </c>
    </row>
    <row r="215" spans="1:10" x14ac:dyDescent="0.2">
      <c r="A215" s="21" t="s">
        <v>707</v>
      </c>
      <c r="B215" s="21" t="s">
        <v>2277</v>
      </c>
      <c r="C215" s="21" t="s">
        <v>2134</v>
      </c>
      <c r="D215" s="21">
        <v>43.761999999999993</v>
      </c>
      <c r="E215" s="21">
        <v>51244</v>
      </c>
      <c r="F215" s="21">
        <f t="shared" si="6"/>
        <v>1170.9702481605048</v>
      </c>
      <c r="G215" s="21">
        <f t="shared" si="7"/>
        <v>1.032290748371794</v>
      </c>
      <c r="H215" s="21" t="s">
        <v>3753</v>
      </c>
      <c r="I215" s="21"/>
      <c r="J215" s="89">
        <f>IF(I215="Yes",VLOOKUP(B215,'Other corrections needed'!$A$11:$K$17,11,FALSE),IF('Land data'!G215=0,VLOOKUP('Land data'!H215,'Other corrections needed'!$A$3:$E$6,5,FALSE),IF(ISERR('Land data'!G215),VLOOKUP('Land data'!H215,'Other corrections needed'!$A$3:$E$6,5,FALSE),'Land data'!G215)))</f>
        <v>1.032290748371794</v>
      </c>
    </row>
    <row r="216" spans="1:10" x14ac:dyDescent="0.2">
      <c r="A216" s="21" t="s">
        <v>707</v>
      </c>
      <c r="B216" s="21" t="s">
        <v>2379</v>
      </c>
      <c r="C216" s="21" t="s">
        <v>2999</v>
      </c>
      <c r="D216" s="21">
        <v>27.96</v>
      </c>
      <c r="E216" s="21">
        <v>17985</v>
      </c>
      <c r="F216" s="21">
        <f t="shared" si="6"/>
        <v>643.24034334763951</v>
      </c>
      <c r="G216" s="21">
        <f t="shared" si="7"/>
        <v>0.56706056918215453</v>
      </c>
      <c r="H216" s="21" t="s">
        <v>533</v>
      </c>
      <c r="I216" s="21"/>
      <c r="J216" s="89">
        <f>IF(I216="Yes",VLOOKUP(B216,'Other corrections needed'!$A$11:$K$17,11,FALSE),IF('Land data'!G216=0,VLOOKUP('Land data'!H216,'Other corrections needed'!$A$3:$E$6,5,FALSE),IF(ISERR('Land data'!G216),VLOOKUP('Land data'!H216,'Other corrections needed'!$A$3:$E$6,5,FALSE),'Land data'!G216)))</f>
        <v>0.56706056918215453</v>
      </c>
    </row>
    <row r="217" spans="1:10" x14ac:dyDescent="0.2">
      <c r="A217" s="21" t="s">
        <v>707</v>
      </c>
      <c r="B217" s="21" t="s">
        <v>2782</v>
      </c>
      <c r="C217" s="21" t="s">
        <v>1114</v>
      </c>
      <c r="D217" s="21">
        <v>30</v>
      </c>
      <c r="E217" s="21">
        <v>37532</v>
      </c>
      <c r="F217" s="21">
        <f t="shared" si="6"/>
        <v>1251.0666666666666</v>
      </c>
      <c r="G217" s="21">
        <f t="shared" si="7"/>
        <v>1.1029012458899965</v>
      </c>
      <c r="H217" s="21"/>
      <c r="I217" s="21"/>
      <c r="J217" s="89">
        <f>IF(I217="Yes",VLOOKUP(B217,'Other corrections needed'!$A$11:$K$17,11,FALSE),IF('Land data'!G217=0,VLOOKUP('Land data'!H217,'Other corrections needed'!$A$3:$E$6,5,FALSE),IF(ISERR('Land data'!G217),VLOOKUP('Land data'!H217,'Other corrections needed'!$A$3:$E$6,5,FALSE),'Land data'!G217)))</f>
        <v>1.1029012458899965</v>
      </c>
    </row>
    <row r="218" spans="1:10" x14ac:dyDescent="0.2">
      <c r="A218" s="21" t="s">
        <v>707</v>
      </c>
      <c r="B218" s="21" t="s">
        <v>580</v>
      </c>
      <c r="C218" s="21" t="s">
        <v>188</v>
      </c>
      <c r="D218" s="21">
        <v>48.52</v>
      </c>
      <c r="E218" s="21">
        <v>59772</v>
      </c>
      <c r="F218" s="21">
        <f t="shared" si="6"/>
        <v>1231.904369332234</v>
      </c>
      <c r="G218" s="21">
        <f t="shared" si="7"/>
        <v>1.0860083638659155</v>
      </c>
      <c r="H218" s="21"/>
      <c r="I218" s="21"/>
      <c r="J218" s="89">
        <f>IF(I218="Yes",VLOOKUP(B218,'Other corrections needed'!$A$11:$K$17,11,FALSE),IF('Land data'!G218=0,VLOOKUP('Land data'!H218,'Other corrections needed'!$A$3:$E$6,5,FALSE),IF(ISERR('Land data'!G218),VLOOKUP('Land data'!H218,'Other corrections needed'!$A$3:$E$6,5,FALSE),'Land data'!G218)))</f>
        <v>1.0860083638659155</v>
      </c>
    </row>
    <row r="219" spans="1:10" x14ac:dyDescent="0.2">
      <c r="A219" s="21" t="s">
        <v>707</v>
      </c>
      <c r="B219" s="21" t="s">
        <v>1338</v>
      </c>
      <c r="C219" s="21" t="s">
        <v>3507</v>
      </c>
      <c r="D219" s="21">
        <v>46.8</v>
      </c>
      <c r="E219" s="21">
        <v>33883</v>
      </c>
      <c r="F219" s="21">
        <f t="shared" si="6"/>
        <v>723.99572649572656</v>
      </c>
      <c r="G219" s="21">
        <f t="shared" si="7"/>
        <v>0.63825198931938343</v>
      </c>
      <c r="H219" s="21"/>
      <c r="I219" s="21"/>
      <c r="J219" s="89">
        <f>IF(I219="Yes",VLOOKUP(B219,'Other corrections needed'!$A$11:$K$17,11,FALSE),IF('Land data'!G219=0,VLOOKUP('Land data'!H219,'Other corrections needed'!$A$3:$E$6,5,FALSE),IF(ISERR('Land data'!G219),VLOOKUP('Land data'!H219,'Other corrections needed'!$A$3:$E$6,5,FALSE),'Land data'!G219)))</f>
        <v>0.63825198931938343</v>
      </c>
    </row>
    <row r="220" spans="1:10" x14ac:dyDescent="0.2">
      <c r="A220" s="21" t="s">
        <v>707</v>
      </c>
      <c r="B220" s="21" t="s">
        <v>682</v>
      </c>
      <c r="C220" s="21" t="s">
        <v>1123</v>
      </c>
      <c r="D220" s="21">
        <v>15.071</v>
      </c>
      <c r="E220" s="21">
        <v>3998</v>
      </c>
      <c r="F220" s="21">
        <f t="shared" si="6"/>
        <v>265.2776856213921</v>
      </c>
      <c r="G220" s="21">
        <f t="shared" si="7"/>
        <v>0.23386051101352034</v>
      </c>
      <c r="H220" s="21" t="s">
        <v>3753</v>
      </c>
      <c r="I220" s="21"/>
      <c r="J220" s="89">
        <f>IF(I220="Yes",VLOOKUP(B220,'Other corrections needed'!$A$11:$K$17,11,FALSE),IF('Land data'!G220=0,VLOOKUP('Land data'!H220,'Other corrections needed'!$A$3:$E$6,5,FALSE),IF(ISERR('Land data'!G220),VLOOKUP('Land data'!H220,'Other corrections needed'!$A$3:$E$6,5,FALSE),'Land data'!G220)))</f>
        <v>0.23386051101352034</v>
      </c>
    </row>
    <row r="221" spans="1:10" x14ac:dyDescent="0.2">
      <c r="A221" s="21" t="s">
        <v>707</v>
      </c>
      <c r="B221" s="21" t="s">
        <v>2359</v>
      </c>
      <c r="C221" s="21" t="s">
        <v>1139</v>
      </c>
      <c r="D221" s="21">
        <v>19</v>
      </c>
      <c r="E221" s="21">
        <v>15386</v>
      </c>
      <c r="F221" s="21">
        <f t="shared" si="6"/>
        <v>809.78947368421052</v>
      </c>
      <c r="G221" s="21">
        <f t="shared" si="7"/>
        <v>0.71388507361844855</v>
      </c>
      <c r="H221" s="21"/>
      <c r="I221" s="21"/>
      <c r="J221" s="89">
        <f>IF(I221="Yes",VLOOKUP(B221,'Other corrections needed'!$A$11:$K$17,11,FALSE),IF('Land data'!G221=0,VLOOKUP('Land data'!H221,'Other corrections needed'!$A$3:$E$6,5,FALSE),IF(ISERR('Land data'!G221),VLOOKUP('Land data'!H221,'Other corrections needed'!$A$3:$E$6,5,FALSE),'Land data'!G221)))</f>
        <v>0.71388507361844855</v>
      </c>
    </row>
    <row r="222" spans="1:10" x14ac:dyDescent="0.2">
      <c r="A222" s="21" t="s">
        <v>707</v>
      </c>
      <c r="B222" s="21" t="s">
        <v>547</v>
      </c>
      <c r="C222" s="21" t="s">
        <v>186</v>
      </c>
      <c r="D222" s="21">
        <v>11.28</v>
      </c>
      <c r="E222" s="21">
        <v>18052</v>
      </c>
      <c r="F222" s="21">
        <f t="shared" si="6"/>
        <v>1600.3546099290782</v>
      </c>
      <c r="G222" s="21">
        <f t="shared" si="7"/>
        <v>1.4108225725966481</v>
      </c>
      <c r="H222" s="21" t="s">
        <v>3795</v>
      </c>
      <c r="I222" s="21"/>
      <c r="J222" s="89">
        <f>IF(I222="Yes",VLOOKUP(B222,'Other corrections needed'!$A$11:$K$17,11,FALSE),IF('Land data'!G222=0,VLOOKUP('Land data'!H222,'Other corrections needed'!$A$3:$E$6,5,FALSE),IF(ISERR('Land data'!G222),VLOOKUP('Land data'!H222,'Other corrections needed'!$A$3:$E$6,5,FALSE),'Land data'!G222)))</f>
        <v>1.4108225725966481</v>
      </c>
    </row>
    <row r="223" spans="1:10" x14ac:dyDescent="0.2">
      <c r="A223" s="21" t="s">
        <v>707</v>
      </c>
      <c r="B223" s="21" t="s">
        <v>2789</v>
      </c>
      <c r="C223" s="21" t="s">
        <v>3525</v>
      </c>
      <c r="D223" s="21">
        <v>12</v>
      </c>
      <c r="E223" s="21">
        <v>20689</v>
      </c>
      <c r="F223" s="21">
        <f t="shared" si="6"/>
        <v>1724.0833333333333</v>
      </c>
      <c r="G223" s="21">
        <f t="shared" si="7"/>
        <v>1.5198979455010484</v>
      </c>
      <c r="H223" s="21"/>
      <c r="I223" s="21"/>
      <c r="J223" s="89">
        <f>IF(I223="Yes",VLOOKUP(B223,'Other corrections needed'!$A$11:$K$17,11,FALSE),IF('Land data'!G223=0,VLOOKUP('Land data'!H223,'Other corrections needed'!$A$3:$E$6,5,FALSE),IF(ISERR('Land data'!G223),VLOOKUP('Land data'!H223,'Other corrections needed'!$A$3:$E$6,5,FALSE),'Land data'!G223)))</f>
        <v>1.5198979455010484</v>
      </c>
    </row>
    <row r="224" spans="1:10" x14ac:dyDescent="0.2">
      <c r="A224" s="21" t="s">
        <v>707</v>
      </c>
      <c r="B224" s="21" t="s">
        <v>566</v>
      </c>
      <c r="C224" s="21" t="s">
        <v>3562</v>
      </c>
      <c r="D224" s="21">
        <v>10.125</v>
      </c>
      <c r="E224" s="21">
        <v>6081</v>
      </c>
      <c r="F224" s="21">
        <f t="shared" si="6"/>
        <v>600.59259259259261</v>
      </c>
      <c r="G224" s="21">
        <f t="shared" si="7"/>
        <v>0.52946364593627315</v>
      </c>
      <c r="H224" s="21"/>
      <c r="I224" s="21"/>
      <c r="J224" s="89">
        <f>IF(I224="Yes",VLOOKUP(B224,'Other corrections needed'!$A$11:$K$17,11,FALSE),IF('Land data'!G224=0,VLOOKUP('Land data'!H224,'Other corrections needed'!$A$3:$E$6,5,FALSE),IF(ISERR('Land data'!G224),VLOOKUP('Land data'!H224,'Other corrections needed'!$A$3:$E$6,5,FALSE),'Land data'!G224)))</f>
        <v>0.52946364593627315</v>
      </c>
    </row>
    <row r="225" spans="1:10" x14ac:dyDescent="0.2">
      <c r="A225" s="21" t="s">
        <v>707</v>
      </c>
      <c r="B225" s="21" t="s">
        <v>7</v>
      </c>
      <c r="C225" s="21" t="s">
        <v>2141</v>
      </c>
      <c r="D225" s="21">
        <v>22.86</v>
      </c>
      <c r="E225" s="21">
        <v>22704</v>
      </c>
      <c r="F225" s="21">
        <f t="shared" si="6"/>
        <v>993.17585301837278</v>
      </c>
      <c r="G225" s="21">
        <f t="shared" si="7"/>
        <v>0.87555277018157052</v>
      </c>
      <c r="H225" s="21"/>
      <c r="I225" s="21"/>
      <c r="J225" s="89">
        <f>IF(I225="Yes",VLOOKUP(B225,'Other corrections needed'!$A$11:$K$17,11,FALSE),IF('Land data'!G225=0,VLOOKUP('Land data'!H225,'Other corrections needed'!$A$3:$E$6,5,FALSE),IF(ISERR('Land data'!G225),VLOOKUP('Land data'!H225,'Other corrections needed'!$A$3:$E$6,5,FALSE),'Land data'!G225)))</f>
        <v>0.87555277018157052</v>
      </c>
    </row>
    <row r="226" spans="1:10" x14ac:dyDescent="0.2">
      <c r="A226" s="21" t="s">
        <v>707</v>
      </c>
      <c r="B226" s="21" t="s">
        <v>1332</v>
      </c>
      <c r="C226" s="21" t="s">
        <v>3450</v>
      </c>
      <c r="D226" s="21">
        <v>14.129799999999999</v>
      </c>
      <c r="E226" s="21">
        <v>136526</v>
      </c>
      <c r="F226" s="21">
        <f t="shared" si="6"/>
        <v>9662.274059080808</v>
      </c>
      <c r="G226" s="21">
        <f t="shared" si="7"/>
        <v>8.5179586202900062</v>
      </c>
      <c r="H226" s="21" t="s">
        <v>3794</v>
      </c>
      <c r="I226" s="21"/>
      <c r="J226" s="89">
        <f>IF(I226="Yes",VLOOKUP(B226,'Other corrections needed'!$A$11:$K$17,11,FALSE),IF('Land data'!G226=0,VLOOKUP('Land data'!H226,'Other corrections needed'!$A$3:$E$6,5,FALSE),IF(ISERR('Land data'!G226),VLOOKUP('Land data'!H226,'Other corrections needed'!$A$3:$E$6,5,FALSE),'Land data'!G226)))</f>
        <v>8.5179586202900062</v>
      </c>
    </row>
    <row r="227" spans="1:10" x14ac:dyDescent="0.2">
      <c r="A227" s="21" t="s">
        <v>707</v>
      </c>
      <c r="B227" s="21" t="s">
        <v>2343</v>
      </c>
      <c r="C227" s="21" t="s">
        <v>2143</v>
      </c>
      <c r="D227" s="21">
        <v>9.4239999999999995</v>
      </c>
      <c r="E227" s="21">
        <v>12280</v>
      </c>
      <c r="F227" s="21">
        <f t="shared" si="6"/>
        <v>1303.0560271646859</v>
      </c>
      <c r="G227" s="21">
        <f t="shared" si="7"/>
        <v>1.1487334401239486</v>
      </c>
      <c r="H227" s="21" t="s">
        <v>3753</v>
      </c>
      <c r="I227" s="21"/>
      <c r="J227" s="89">
        <f>IF(I227="Yes",VLOOKUP(B227,'Other corrections needed'!$A$11:$K$17,11,FALSE),IF('Land data'!G227=0,VLOOKUP('Land data'!H227,'Other corrections needed'!$A$3:$E$6,5,FALSE),IF(ISERR('Land data'!G227),VLOOKUP('Land data'!H227,'Other corrections needed'!$A$3:$E$6,5,FALSE),'Land data'!G227)))</f>
        <v>1.1487334401239486</v>
      </c>
    </row>
    <row r="228" spans="1:10" x14ac:dyDescent="0.2">
      <c r="A228" s="21" t="s">
        <v>707</v>
      </c>
      <c r="B228" s="21" t="s">
        <v>552</v>
      </c>
      <c r="C228" s="21" t="s">
        <v>3829</v>
      </c>
      <c r="D228" s="21">
        <v>64.95</v>
      </c>
      <c r="E228" s="21">
        <v>113489</v>
      </c>
      <c r="F228" s="21">
        <f t="shared" si="6"/>
        <v>1747.3287143956888</v>
      </c>
      <c r="G228" s="21">
        <f t="shared" si="7"/>
        <v>1.5403903464401347</v>
      </c>
      <c r="H228" s="21" t="s">
        <v>3766</v>
      </c>
      <c r="I228" s="21"/>
      <c r="J228" s="89">
        <f>IF(I228="Yes",VLOOKUP(B228,'Other corrections needed'!$A$11:$K$17,11,FALSE),IF('Land data'!G228=0,VLOOKUP('Land data'!H228,'Other corrections needed'!$A$3:$E$6,5,FALSE),IF(ISERR('Land data'!G228),VLOOKUP('Land data'!H228,'Other corrections needed'!$A$3:$E$6,5,FALSE),'Land data'!G228)))</f>
        <v>1.5403903464401347</v>
      </c>
    </row>
    <row r="229" spans="1:10" x14ac:dyDescent="0.2">
      <c r="A229" s="21" t="s">
        <v>707</v>
      </c>
      <c r="B229" s="21" t="s">
        <v>685</v>
      </c>
      <c r="C229" s="21" t="s">
        <v>3830</v>
      </c>
      <c r="D229" s="21">
        <v>24.5379</v>
      </c>
      <c r="E229" s="21">
        <v>36748</v>
      </c>
      <c r="F229" s="21">
        <f t="shared" si="6"/>
        <v>1497.6016692545002</v>
      </c>
      <c r="G229" s="21">
        <f t="shared" si="7"/>
        <v>1.3202387937235374</v>
      </c>
      <c r="H229" s="21"/>
      <c r="I229" s="21"/>
      <c r="J229" s="89">
        <f>IF(I229="Yes",VLOOKUP(B229,'Other corrections needed'!$A$11:$K$17,11,FALSE),IF('Land data'!G229=0,VLOOKUP('Land data'!H229,'Other corrections needed'!$A$3:$E$6,5,FALSE),IF(ISERR('Land data'!G229),VLOOKUP('Land data'!H229,'Other corrections needed'!$A$3:$E$6,5,FALSE),'Land data'!G229)))</f>
        <v>1.3202387937235374</v>
      </c>
    </row>
    <row r="230" spans="1:10" x14ac:dyDescent="0.2">
      <c r="A230" s="21" t="s">
        <v>707</v>
      </c>
      <c r="B230" s="21" t="s">
        <v>2287</v>
      </c>
      <c r="C230" s="21" t="s">
        <v>3039</v>
      </c>
      <c r="D230" s="21">
        <v>22.07</v>
      </c>
      <c r="E230" s="21">
        <v>18087</v>
      </c>
      <c r="F230" s="21">
        <f t="shared" si="6"/>
        <v>819.5287720888083</v>
      </c>
      <c r="G230" s="21">
        <f t="shared" si="7"/>
        <v>0.72247093449278943</v>
      </c>
      <c r="H230" s="21"/>
      <c r="I230" s="21"/>
      <c r="J230" s="89">
        <f>IF(I230="Yes",VLOOKUP(B230,'Other corrections needed'!$A$11:$K$17,11,FALSE),IF('Land data'!G230=0,VLOOKUP('Land data'!H230,'Other corrections needed'!$A$3:$E$6,5,FALSE),IF(ISERR('Land data'!G230),VLOOKUP('Land data'!H230,'Other corrections needed'!$A$3:$E$6,5,FALSE),'Land data'!G230)))</f>
        <v>0.72247093449278943</v>
      </c>
    </row>
    <row r="231" spans="1:10" x14ac:dyDescent="0.2">
      <c r="A231" s="21" t="s">
        <v>707</v>
      </c>
      <c r="B231" s="21" t="s">
        <v>383</v>
      </c>
      <c r="C231" s="21" t="s">
        <v>3006</v>
      </c>
      <c r="D231" s="21">
        <v>3.74</v>
      </c>
      <c r="E231" s="21">
        <v>0</v>
      </c>
      <c r="F231" s="21">
        <f t="shared" si="6"/>
        <v>0</v>
      </c>
      <c r="G231" s="21">
        <f t="shared" si="7"/>
        <v>0</v>
      </c>
      <c r="H231" s="21" t="s">
        <v>533</v>
      </c>
      <c r="I231" s="21"/>
      <c r="J231" s="89">
        <f ca="1">IF(I231="Yes",VLOOKUP(B231,'Other corrections needed'!$A$11:$K$17,11,FALSE),IF('Land data'!G231=0,VLOOKUP('Land data'!H231,'Other corrections needed'!$A$3:$E$6,5,FALSE),IF(ISERR('Land data'!G231),VLOOKUP('Land data'!H231,'Other corrections needed'!$A$3:$E$6,5,FALSE),'Land data'!G231)))</f>
        <v>0.82004585689832254</v>
      </c>
    </row>
    <row r="232" spans="1:10" x14ac:dyDescent="0.2">
      <c r="A232" s="21" t="s">
        <v>707</v>
      </c>
      <c r="B232" s="21" t="s">
        <v>2308</v>
      </c>
      <c r="C232" s="21" t="s">
        <v>3435</v>
      </c>
      <c r="D232" s="21">
        <v>6.2</v>
      </c>
      <c r="E232" s="21">
        <v>32860</v>
      </c>
      <c r="F232" s="21">
        <f t="shared" si="6"/>
        <v>5300</v>
      </c>
      <c r="G232" s="21">
        <f t="shared" si="7"/>
        <v>4.6723142410878573</v>
      </c>
      <c r="H232" s="21" t="s">
        <v>3769</v>
      </c>
      <c r="I232" s="21"/>
      <c r="J232" s="89">
        <f>IF(I232="Yes",VLOOKUP(B232,'Other corrections needed'!$A$11:$K$17,11,FALSE),IF('Land data'!G232=0,VLOOKUP('Land data'!H232,'Other corrections needed'!$A$3:$E$6,5,FALSE),IF(ISERR('Land data'!G232),VLOOKUP('Land data'!H232,'Other corrections needed'!$A$3:$E$6,5,FALSE),'Land data'!G232)))</f>
        <v>4.6723142410878573</v>
      </c>
    </row>
    <row r="233" spans="1:10" x14ac:dyDescent="0.2">
      <c r="A233" s="21" t="s">
        <v>707</v>
      </c>
      <c r="B233" s="21" t="s">
        <v>2774</v>
      </c>
      <c r="C233" s="21" t="s">
        <v>3062</v>
      </c>
      <c r="D233" s="21">
        <v>19.368000000000002</v>
      </c>
      <c r="E233" s="21">
        <v>14414</v>
      </c>
      <c r="F233" s="21">
        <f t="shared" si="6"/>
        <v>744.2172655927302</v>
      </c>
      <c r="G233" s="21">
        <f t="shared" si="7"/>
        <v>0.65607866575327878</v>
      </c>
      <c r="H233" s="21"/>
      <c r="I233" s="21"/>
      <c r="J233" s="89">
        <f>IF(I233="Yes",VLOOKUP(B233,'Other corrections needed'!$A$11:$K$17,11,FALSE),IF('Land data'!G233=0,VLOOKUP('Land data'!H233,'Other corrections needed'!$A$3:$E$6,5,FALSE),IF(ISERR('Land data'!G233),VLOOKUP('Land data'!H233,'Other corrections needed'!$A$3:$E$6,5,FALSE),'Land data'!G233)))</f>
        <v>0.65607866575327878</v>
      </c>
    </row>
    <row r="234" spans="1:10" ht="13.5" thickBot="1" x14ac:dyDescent="0.25">
      <c r="A234" s="49" t="s">
        <v>707</v>
      </c>
      <c r="B234" s="49" t="s">
        <v>2770</v>
      </c>
      <c r="C234" s="49" t="s">
        <v>1112</v>
      </c>
      <c r="D234" s="49">
        <v>7.75</v>
      </c>
      <c r="E234" s="49">
        <v>7519</v>
      </c>
      <c r="F234" s="49">
        <f t="shared" si="6"/>
        <v>970.19354838709683</v>
      </c>
      <c r="G234" s="49">
        <f t="shared" si="7"/>
        <v>0.85529228919633837</v>
      </c>
      <c r="H234" s="49" t="s">
        <v>3753</v>
      </c>
      <c r="I234" s="49"/>
      <c r="J234" s="90">
        <f>IF(I234="Yes",VLOOKUP(B234,'Other corrections needed'!$A$11:$K$17,11,FALSE),IF('Land data'!G234=0,VLOOKUP('Land data'!H234,'Other corrections needed'!$A$3:$E$6,5,FALSE),IF(ISERR('Land data'!G234),VLOOKUP('Land data'!H234,'Other corrections needed'!$A$3:$E$6,5,FALSE),'Land data'!G234)))</f>
        <v>0.85529228919633837</v>
      </c>
    </row>
    <row r="235" spans="1:10" s="61" customFormat="1" ht="13.5" thickBot="1" x14ac:dyDescent="0.25">
      <c r="J235" s="24"/>
    </row>
    <row r="236" spans="1:10" s="61" customFormat="1" ht="51.75" thickBot="1" x14ac:dyDescent="0.25">
      <c r="E236" s="99" t="s">
        <v>528</v>
      </c>
      <c r="F236" s="100">
        <f>SUM(E2:E234,'PCT data'!N3:N154)/SUM(D2:D234,'PCT data'!M3:M154)</f>
        <v>1134.3415118341866</v>
      </c>
    </row>
    <row r="237" spans="1:10" s="61" customFormat="1" x14ac:dyDescent="0.2"/>
    <row r="238" spans="1:10" s="61" customFormat="1" x14ac:dyDescent="0.2">
      <c r="B238" s="148" t="s">
        <v>1109</v>
      </c>
    </row>
    <row r="239" spans="1:10" s="61" customFormat="1" x14ac:dyDescent="0.2">
      <c r="B239" s="164" t="s">
        <v>2725</v>
      </c>
      <c r="C239" s="164" t="s">
        <v>3831</v>
      </c>
      <c r="D239" s="164" t="s">
        <v>2726</v>
      </c>
      <c r="E239" s="164" t="s">
        <v>523</v>
      </c>
      <c r="F239" s="164" t="s">
        <v>524</v>
      </c>
      <c r="G239" s="164" t="s">
        <v>2729</v>
      </c>
      <c r="H239" s="164" t="s">
        <v>2731</v>
      </c>
      <c r="I239" s="164" t="s">
        <v>3832</v>
      </c>
      <c r="J239" s="164" t="s">
        <v>3834</v>
      </c>
    </row>
    <row r="240" spans="1:10" s="61" customFormat="1" x14ac:dyDescent="0.2">
      <c r="B240" s="2" t="s">
        <v>2281</v>
      </c>
      <c r="C240" s="2" t="s">
        <v>2727</v>
      </c>
      <c r="D240" s="2">
        <v>20.45</v>
      </c>
      <c r="E240" s="2">
        <v>33277</v>
      </c>
      <c r="F240" s="2">
        <f t="shared" ref="F240" si="8">E240/D240</f>
        <v>1627.237163814181</v>
      </c>
      <c r="G240" s="2">
        <f t="shared" ref="G240" si="9">F240/F$236</f>
        <v>1.4345213913427193</v>
      </c>
      <c r="H240" s="163"/>
      <c r="I240" s="163"/>
      <c r="J240" s="150">
        <f>IF(I240="Yes",VLOOKUP(B240,'Other corrections needed'!$A$11:$K$17,11,FALSE),IF('Land data'!G240=0,VLOOKUP('Land data'!H240,'Other corrections needed'!$A$3:$E$6,5,FALSE),IF(ISERR('Land data'!G240),VLOOKUP('Land data'!H240,'Other corrections needed'!$A$3:$E$6,5,FALSE),'Land data'!G240)))</f>
        <v>1.4345213913427193</v>
      </c>
    </row>
    <row r="241" spans="2:10" s="61" customFormat="1" x14ac:dyDescent="0.2">
      <c r="J241" s="24"/>
    </row>
    <row r="242" spans="2:10" s="61" customFormat="1" x14ac:dyDescent="0.2">
      <c r="J242" s="24"/>
    </row>
    <row r="243" spans="2:10" s="61" customFormat="1" x14ac:dyDescent="0.2">
      <c r="J243" s="24"/>
    </row>
    <row r="244" spans="2:10" s="61" customFormat="1" x14ac:dyDescent="0.2">
      <c r="J244" s="24"/>
    </row>
    <row r="245" spans="2:10" s="61" customFormat="1" x14ac:dyDescent="0.2">
      <c r="J245" s="24"/>
    </row>
    <row r="246" spans="2:10" s="61" customFormat="1" x14ac:dyDescent="0.2">
      <c r="J246" s="24"/>
    </row>
    <row r="247" spans="2:10" s="61" customFormat="1" x14ac:dyDescent="0.2">
      <c r="J247" s="24"/>
    </row>
    <row r="248" spans="2:10" s="61" customFormat="1" x14ac:dyDescent="0.2">
      <c r="H248" s="19"/>
      <c r="I248" s="19"/>
      <c r="J248" s="24"/>
    </row>
    <row r="249" spans="2:10" s="61" customFormat="1" x14ac:dyDescent="0.2">
      <c r="B249" s="19"/>
      <c r="C249" s="19"/>
      <c r="D249" s="19"/>
      <c r="E249" s="19"/>
      <c r="F249" s="19"/>
      <c r="G249" s="19"/>
      <c r="H249" s="19"/>
      <c r="I249" s="19"/>
      <c r="J249" s="24"/>
    </row>
  </sheetData>
  <phoneticPr fontId="7" type="noConversion"/>
  <pageMargins left="0.75" right="0.75" top="1" bottom="1" header="0.5" footer="0.5"/>
  <pageSetup paperSize="9" orientation="portrait"/>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autoPageBreaks="0"/>
  </sheetPr>
  <dimension ref="A1:K31"/>
  <sheetViews>
    <sheetView workbookViewId="0"/>
  </sheetViews>
  <sheetFormatPr defaultRowHeight="12.75" x14ac:dyDescent="0.2"/>
  <cols>
    <col min="1" max="1" width="18.140625" style="120" customWidth="1"/>
    <col min="2" max="2" width="26.85546875" style="120" customWidth="1"/>
    <col min="3" max="256" width="11.42578125" style="120" customWidth="1"/>
    <col min="257" max="16384" width="9.140625" style="120"/>
  </cols>
  <sheetData>
    <row r="1" spans="1:11" x14ac:dyDescent="0.2">
      <c r="A1" s="20" t="s">
        <v>3811</v>
      </c>
    </row>
    <row r="2" spans="1:11" ht="25.5" x14ac:dyDescent="0.2">
      <c r="A2" s="121"/>
      <c r="B2" s="573" t="s">
        <v>522</v>
      </c>
      <c r="C2" s="573" t="s">
        <v>523</v>
      </c>
      <c r="D2" s="573" t="s">
        <v>524</v>
      </c>
      <c r="E2" s="573" t="s">
        <v>3812</v>
      </c>
    </row>
    <row r="3" spans="1:11" x14ac:dyDescent="0.2">
      <c r="A3" s="121" t="s">
        <v>3795</v>
      </c>
      <c r="B3" s="122">
        <f ca="1">SUMIF('PCT data'!$P$3:$P$159,'Other corrections needed'!$A3,'PCT data'!M$3:M$154)+SUMIF('Land data'!$H$2:$H$234,'Other corrections needed'!$A3,'Land data'!D$2:D$234)</f>
        <v>87.593000000000004</v>
      </c>
      <c r="C3" s="123">
        <f ca="1">SUMIF('PCT data'!$P$3:$P$159,'Other corrections needed'!$A3,'PCT data'!N$3:N$154)+SUMIF('Land data'!$H$2:$H$234,'Other corrections needed'!$A3,'Land data'!E$2:E$234)</f>
        <v>120575</v>
      </c>
      <c r="D3" s="123">
        <f ca="1">C3/B3</f>
        <v>1376.5369378831642</v>
      </c>
      <c r="E3" s="122">
        <f ca="1">D3/'Land data'!$F$236</f>
        <v>1.2135119128782981</v>
      </c>
    </row>
    <row r="4" spans="1:11" x14ac:dyDescent="0.2">
      <c r="A4" s="121" t="s">
        <v>533</v>
      </c>
      <c r="B4" s="122">
        <f ca="1">SUMIF('PCT data'!$P$3:$P$159,'Other corrections needed'!$A4,'PCT data'!M$3:M$154)+SUMIF('Land data'!$H$2:$H$234,'Other corrections needed'!$A4,'Land data'!D$2:D$234)</f>
        <v>442.17810000000009</v>
      </c>
      <c r="C4" s="123">
        <f ca="1">SUMIF('PCT data'!$P$3:$P$159,'Other corrections needed'!$A4,'PCT data'!N$3:N$154)+SUMIF('Land data'!$H$2:$H$234,'Other corrections needed'!$A4,'Land data'!E$2:E$234)</f>
        <v>411319.4</v>
      </c>
      <c r="D4" s="123">
        <f ca="1">C4/B4</f>
        <v>930.21205708740422</v>
      </c>
      <c r="E4" s="122">
        <f ca="1">D4/'Land data'!$F$236</f>
        <v>0.82004585689832254</v>
      </c>
    </row>
    <row r="5" spans="1:11" x14ac:dyDescent="0.2">
      <c r="A5" s="121" t="s">
        <v>3769</v>
      </c>
      <c r="B5" s="122">
        <f ca="1">SUMIF('PCT data'!$P$3:$P$159,'Other corrections needed'!$A5,'PCT data'!M$3:M$154)+SUMIF('Land data'!$H$2:$H$234,'Other corrections needed'!$A5,'Land data'!D$2:D$234)</f>
        <v>38.261800000000008</v>
      </c>
      <c r="C5" s="123">
        <f ca="1">SUMIF('PCT data'!$P$3:$P$159,'Other corrections needed'!$A5,'PCT data'!N$3:N$154)+SUMIF('Land data'!$H$2:$H$234,'Other corrections needed'!$A5,'Land data'!E$2:E$234)</f>
        <v>367715</v>
      </c>
      <c r="D5" s="123">
        <f ca="1">C5/B5</f>
        <v>9610.4992446774577</v>
      </c>
      <c r="E5" s="122">
        <f ca="1">D5/'Land data'!$F$236</f>
        <v>8.4723155631831286</v>
      </c>
    </row>
    <row r="6" spans="1:11" x14ac:dyDescent="0.2">
      <c r="A6" s="121" t="s">
        <v>3753</v>
      </c>
      <c r="B6" s="122">
        <f ca="1">SUMIF('PCT data'!$P$3:$P$159,'Other corrections needed'!$A6,'PCT data'!M$3:M$154)+SUMIF('Land data'!$H$2:$H$234,'Other corrections needed'!$A6,'Land data'!D$2:D$234)</f>
        <v>439.16290000000004</v>
      </c>
      <c r="C6" s="123">
        <f ca="1">SUMIF('PCT data'!$P$3:$P$159,'Other corrections needed'!$A6,'PCT data'!N$3:N$154)+SUMIF('Land data'!$H$2:$H$234,'Other corrections needed'!$A6,'Land data'!E$2:E$234)</f>
        <v>428360</v>
      </c>
      <c r="D6" s="123">
        <f ca="1">C6/B6</f>
        <v>975.40115524330486</v>
      </c>
      <c r="E6" s="122">
        <f ca="1">D6/'Land data'!$F$236</f>
        <v>0.8598831525314794</v>
      </c>
    </row>
    <row r="9" spans="1:11" x14ac:dyDescent="0.2">
      <c r="A9" s="20" t="s">
        <v>3813</v>
      </c>
      <c r="B9" s="124"/>
      <c r="C9" s="124"/>
      <c r="D9" s="124"/>
      <c r="E9" s="124"/>
      <c r="F9" s="124"/>
      <c r="G9" s="124"/>
      <c r="H9" s="124"/>
      <c r="I9" s="124"/>
      <c r="J9" s="124"/>
      <c r="K9" s="124"/>
    </row>
    <row r="10" spans="1:11" ht="38.25" x14ac:dyDescent="0.2">
      <c r="A10" s="123"/>
      <c r="B10" s="125" t="s">
        <v>3814</v>
      </c>
      <c r="C10" s="574" t="s">
        <v>3815</v>
      </c>
      <c r="D10" s="575" t="s">
        <v>3816</v>
      </c>
      <c r="E10" s="574" t="s">
        <v>3817</v>
      </c>
      <c r="F10" s="574" t="s">
        <v>3818</v>
      </c>
      <c r="G10" s="576" t="s">
        <v>3819</v>
      </c>
      <c r="H10" s="574" t="s">
        <v>3820</v>
      </c>
      <c r="I10" s="574" t="s">
        <v>3821</v>
      </c>
      <c r="J10" s="574" t="s">
        <v>525</v>
      </c>
      <c r="K10" s="574" t="s">
        <v>3822</v>
      </c>
    </row>
    <row r="11" spans="1:11" ht="25.5" x14ac:dyDescent="0.2">
      <c r="A11" s="123" t="s">
        <v>612</v>
      </c>
      <c r="B11" s="577" t="s">
        <v>3823</v>
      </c>
      <c r="C11" s="127">
        <v>1.1000000000000001</v>
      </c>
      <c r="D11" s="126">
        <v>15600.002</v>
      </c>
      <c r="E11" s="128">
        <f>D11/D13</f>
        <v>0.43441699381139648</v>
      </c>
      <c r="F11" s="123">
        <f>E11*F13</f>
        <v>11517.263339927744</v>
      </c>
      <c r="G11" s="123">
        <v>81</v>
      </c>
      <c r="H11" s="128">
        <f>G11/G13</f>
        <v>0.39705882352941174</v>
      </c>
      <c r="I11" s="126">
        <f>F11/C11</f>
        <v>10470.239399934311</v>
      </c>
      <c r="J11" s="129">
        <f>I11/'Land data'!F236</f>
        <v>9.2302355954551434</v>
      </c>
      <c r="K11" s="129">
        <f>J11*H11+J12*H12</f>
        <v>4.7347738174227292</v>
      </c>
    </row>
    <row r="12" spans="1:11" x14ac:dyDescent="0.2">
      <c r="A12" s="123" t="s">
        <v>612</v>
      </c>
      <c r="B12" s="577" t="s">
        <v>3824</v>
      </c>
      <c r="C12" s="127">
        <v>7.45</v>
      </c>
      <c r="D12" s="126">
        <v>20310.2</v>
      </c>
      <c r="E12" s="128">
        <f>D12/D13</f>
        <v>0.56558300618860335</v>
      </c>
      <c r="F12" s="123">
        <f>E12*F13</f>
        <v>14994.736660072253</v>
      </c>
      <c r="G12" s="123">
        <v>123</v>
      </c>
      <c r="H12" s="128">
        <f>G12/G13</f>
        <v>0.6029411764705882</v>
      </c>
      <c r="I12" s="126">
        <f>F12/C12</f>
        <v>2012.7163302110405</v>
      </c>
      <c r="J12" s="129">
        <f>I12/'Land data'!F236</f>
        <v>1.7743477684745537</v>
      </c>
      <c r="K12" s="140"/>
    </row>
    <row r="13" spans="1:11" x14ac:dyDescent="0.2">
      <c r="A13" s="123"/>
      <c r="B13" s="577"/>
      <c r="C13" s="127">
        <f>SUM(C11:C12)</f>
        <v>8.5500000000000007</v>
      </c>
      <c r="D13" s="126">
        <f>SUM(D11:D12)</f>
        <v>35910.202000000005</v>
      </c>
      <c r="E13" s="122"/>
      <c r="F13" s="126">
        <f>VLOOKUP(A11,'Land data'!B2:F234,4,FALSE)</f>
        <v>26512</v>
      </c>
      <c r="G13" s="123">
        <f>SUM(G11:G12)</f>
        <v>204</v>
      </c>
      <c r="H13" s="130"/>
      <c r="I13" s="126">
        <f>D13/C13</f>
        <v>4200.0236257309944</v>
      </c>
      <c r="J13" s="129">
        <f>I13/'Land data'!F236</f>
        <v>3.702609471586487</v>
      </c>
      <c r="K13" s="141"/>
    </row>
    <row r="14" spans="1:11" x14ac:dyDescent="0.2">
      <c r="A14" s="139"/>
      <c r="B14" s="578"/>
      <c r="C14" s="144"/>
      <c r="D14" s="144"/>
      <c r="E14" s="145"/>
      <c r="F14" s="145"/>
      <c r="G14" s="144"/>
      <c r="H14" s="146"/>
      <c r="I14" s="144"/>
      <c r="J14" s="144"/>
      <c r="K14" s="147"/>
    </row>
    <row r="15" spans="1:11" x14ac:dyDescent="0.2">
      <c r="A15" s="123" t="s">
        <v>3714</v>
      </c>
      <c r="B15" s="577" t="s">
        <v>3825</v>
      </c>
      <c r="C15" s="127">
        <v>19.14</v>
      </c>
      <c r="D15" s="126">
        <v>5345</v>
      </c>
      <c r="E15" s="128">
        <f>D15/D17</f>
        <v>8.539020688553399E-2</v>
      </c>
      <c r="F15" s="123">
        <f>E15*F17</f>
        <v>4135.9600607077246</v>
      </c>
      <c r="G15" s="123">
        <v>145</v>
      </c>
      <c r="H15" s="128">
        <f>G15/G17</f>
        <v>0.35024154589371981</v>
      </c>
      <c r="I15" s="126">
        <f>F15/C15</f>
        <v>216.08986733060212</v>
      </c>
      <c r="J15" s="129">
        <f>I15/'Land data'!F236</f>
        <v>0.19049806877048264</v>
      </c>
      <c r="K15" s="129">
        <f>J15*H15+J16*H16</f>
        <v>12.566898217389056</v>
      </c>
    </row>
    <row r="16" spans="1:11" ht="25.5" customHeight="1" x14ac:dyDescent="0.2">
      <c r="A16" s="579" t="s">
        <v>3714</v>
      </c>
      <c r="B16" s="580" t="s">
        <v>3826</v>
      </c>
      <c r="C16" s="581">
        <v>2.0299999999999998</v>
      </c>
      <c r="D16" s="582">
        <v>57250</v>
      </c>
      <c r="E16" s="583">
        <f>D16/D17</f>
        <v>0.914609793114466</v>
      </c>
      <c r="F16" s="579">
        <f>E16*F17</f>
        <v>44300.039939292277</v>
      </c>
      <c r="G16" s="579">
        <v>269</v>
      </c>
      <c r="H16" s="583">
        <f>G16/G17</f>
        <v>0.64975845410628019</v>
      </c>
      <c r="I16" s="582">
        <f>F16/C16</f>
        <v>21822.679773050386</v>
      </c>
      <c r="J16" s="584">
        <f>I16/'Land data'!F236</f>
        <v>19.238191977796838</v>
      </c>
      <c r="K16" s="142"/>
    </row>
    <row r="17" spans="1:11" x14ac:dyDescent="0.2">
      <c r="A17" s="123"/>
      <c r="B17" s="126"/>
      <c r="C17" s="127">
        <f>SUM(C15:C16)</f>
        <v>21.17</v>
      </c>
      <c r="D17" s="126">
        <f>SUM(D15:D16)</f>
        <v>62595</v>
      </c>
      <c r="E17" s="123"/>
      <c r="F17" s="126">
        <f>VLOOKUP(A15,'Land data'!B2:E234,4,FALSE)</f>
        <v>48436</v>
      </c>
      <c r="G17" s="123">
        <f>SUM(G15:G16)</f>
        <v>414</v>
      </c>
      <c r="H17" s="130"/>
      <c r="I17" s="126">
        <f>D17/C17</f>
        <v>2956.7784600850259</v>
      </c>
      <c r="J17" s="129">
        <f>I17/'Land data'!F236</f>
        <v>2.6066034163768097</v>
      </c>
      <c r="K17" s="143"/>
    </row>
    <row r="24" spans="1:11" x14ac:dyDescent="0.2">
      <c r="A24" s="131"/>
      <c r="D24" s="132"/>
      <c r="F24" s="133"/>
    </row>
    <row r="25" spans="1:11" x14ac:dyDescent="0.2">
      <c r="A25" s="134"/>
      <c r="B25" s="135"/>
      <c r="C25" s="136"/>
      <c r="D25" s="137"/>
      <c r="E25" s="138"/>
      <c r="F25" s="133"/>
    </row>
    <row r="26" spans="1:11" x14ac:dyDescent="0.2">
      <c r="A26" s="134"/>
      <c r="B26" s="135"/>
      <c r="C26" s="136"/>
      <c r="D26" s="137"/>
      <c r="E26" s="138"/>
      <c r="F26" s="133"/>
    </row>
    <row r="27" spans="1:11" x14ac:dyDescent="0.2">
      <c r="A27" s="131"/>
      <c r="D27" s="124"/>
      <c r="F27" s="133"/>
    </row>
    <row r="28" spans="1:11" x14ac:dyDescent="0.2">
      <c r="A28" s="131"/>
      <c r="F28" s="133"/>
    </row>
    <row r="29" spans="1:11" x14ac:dyDescent="0.2">
      <c r="A29" s="134"/>
      <c r="B29" s="135"/>
      <c r="C29" s="136"/>
      <c r="D29" s="137"/>
      <c r="E29" s="138"/>
      <c r="F29" s="133"/>
    </row>
    <row r="30" spans="1:11" x14ac:dyDescent="0.2">
      <c r="A30" s="134"/>
      <c r="B30" s="135"/>
      <c r="C30" s="136"/>
      <c r="D30" s="137"/>
      <c r="E30" s="138"/>
      <c r="F30" s="133"/>
    </row>
    <row r="31" spans="1:11" x14ac:dyDescent="0.2">
      <c r="A31" s="131"/>
      <c r="D31" s="124"/>
      <c r="E31" s="133"/>
      <c r="F31" s="133"/>
    </row>
  </sheetData>
  <phoneticPr fontId="7" type="noConversion"/>
  <pageMargins left="0.75" right="0.75" top="1" bottom="1" header="0.5" footer="0.5"/>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1"/>
  </sheetPr>
  <dimension ref="A1"/>
  <sheetViews>
    <sheetView workbookViewId="0"/>
  </sheetViews>
  <sheetFormatPr defaultRowHeight="12.75" x14ac:dyDescent="0.2"/>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00B050"/>
    <pageSetUpPr autoPageBreaks="0"/>
  </sheetPr>
  <dimension ref="A1:D24"/>
  <sheetViews>
    <sheetView workbookViewId="0"/>
  </sheetViews>
  <sheetFormatPr defaultRowHeight="11.25" x14ac:dyDescent="0.2"/>
  <cols>
    <col min="1" max="1" width="6.7109375" style="6" bestFit="1" customWidth="1"/>
    <col min="2" max="2" width="68.28515625" style="6" bestFit="1" customWidth="1"/>
    <col min="3" max="3" width="11" style="6" bestFit="1" customWidth="1"/>
    <col min="4" max="4" width="10.5703125" style="6" bestFit="1" customWidth="1"/>
    <col min="5" max="227" width="11.42578125" style="6" customWidth="1"/>
    <col min="228" max="16384" width="9.140625" style="6"/>
  </cols>
  <sheetData>
    <row r="1" spans="1:4" s="84" customFormat="1" ht="45.75" thickBot="1" x14ac:dyDescent="0.25">
      <c r="A1" s="585" t="s">
        <v>3368</v>
      </c>
      <c r="B1" s="586" t="s">
        <v>3369</v>
      </c>
      <c r="C1" s="587" t="s">
        <v>4168</v>
      </c>
      <c r="D1" s="587" t="s">
        <v>4178</v>
      </c>
    </row>
    <row r="2" spans="1:4" x14ac:dyDescent="0.2">
      <c r="A2" s="184" t="s">
        <v>3518</v>
      </c>
      <c r="B2" s="186" t="s">
        <v>3519</v>
      </c>
      <c r="C2" s="191">
        <f ca="1">SUMIF('Mergers &amp; new Provs to 2013-14'!$B$5:$B$21,$A2,'Mergers &amp; new Provs to 2013-14'!$N$5:$N$21)</f>
        <v>1.2128018536817009</v>
      </c>
      <c r="D2" s="201" t="s">
        <v>4169</v>
      </c>
    </row>
    <row r="3" spans="1:4" x14ac:dyDescent="0.2">
      <c r="A3" s="185" t="s">
        <v>659</v>
      </c>
      <c r="B3" s="187" t="s">
        <v>3883</v>
      </c>
      <c r="C3" s="191">
        <f ca="1">SUMIF('Mergers &amp; new Provs to 2013-14'!$B$5:$B$21,$A3,'Mergers &amp; new Provs to 2013-14'!$N$5:$N$21)</f>
        <v>1.0619612076803719</v>
      </c>
      <c r="D3" s="200" t="s">
        <v>4169</v>
      </c>
    </row>
    <row r="4" spans="1:4" x14ac:dyDescent="0.2">
      <c r="A4" s="185" t="s">
        <v>548</v>
      </c>
      <c r="B4" s="187" t="s">
        <v>549</v>
      </c>
      <c r="C4" s="191">
        <f ca="1">SUMIF('Mergers &amp; new Provs to 2013-14'!$B$5:$B$21,$A4,'Mergers &amp; new Provs to 2013-14'!$N$5:$N$21)</f>
        <v>1.1099000643481478</v>
      </c>
      <c r="D4" s="200" t="s">
        <v>4169</v>
      </c>
    </row>
    <row r="5" spans="1:4" x14ac:dyDescent="0.2">
      <c r="A5" s="185" t="s">
        <v>2385</v>
      </c>
      <c r="B5" s="187" t="s">
        <v>1310</v>
      </c>
      <c r="C5" s="191">
        <f ca="1">SUMIF('Mergers &amp; new Provs to 2013-14'!$B$5:$B$21,$A5,'Mergers &amp; new Provs to 2013-14'!$N$5:$N$21)</f>
        <v>1.0910634041637464</v>
      </c>
      <c r="D5" s="200" t="s">
        <v>4169</v>
      </c>
    </row>
    <row r="6" spans="1:4" x14ac:dyDescent="0.2">
      <c r="A6" s="185" t="s">
        <v>3516</v>
      </c>
      <c r="B6" s="187" t="s">
        <v>3517</v>
      </c>
      <c r="C6" s="191">
        <f ca="1">SUMIF('Mergers &amp; new Provs to 2013-14'!$B$5:$B$21,$A6,'Mergers &amp; new Provs to 2013-14'!$N$5:$N$21)</f>
        <v>1.0363907313533507</v>
      </c>
      <c r="D6" s="200" t="s">
        <v>4169</v>
      </c>
    </row>
    <row r="7" spans="1:4" x14ac:dyDescent="0.2">
      <c r="A7" s="185" t="s">
        <v>703</v>
      </c>
      <c r="B7" s="187" t="s">
        <v>1289</v>
      </c>
      <c r="C7" s="191">
        <f ca="1">SUMIF('Mergers &amp; new Provs to 2013-14'!$B$5:$B$21,$A7,'Mergers &amp; new Provs to 2013-14'!$N$5:$N$21)</f>
        <v>1.0340419674053025</v>
      </c>
      <c r="D7" s="200" t="s">
        <v>4169</v>
      </c>
    </row>
    <row r="8" spans="1:4" x14ac:dyDescent="0.2">
      <c r="A8" s="185" t="s">
        <v>566</v>
      </c>
      <c r="B8" s="187" t="s">
        <v>649</v>
      </c>
      <c r="C8" s="191">
        <f ca="1">SUMIF('Mergers &amp; new Provs to 2013-14'!$B$5:$B$21,$A8,'Mergers &amp; new Provs to 2013-14'!$N$5:$N$21)</f>
        <v>1.0485561367605876</v>
      </c>
      <c r="D8" s="200" t="s">
        <v>4169</v>
      </c>
    </row>
    <row r="9" spans="1:4" x14ac:dyDescent="0.2">
      <c r="A9" s="185"/>
      <c r="B9" s="187"/>
      <c r="C9" s="191"/>
      <c r="D9" s="200"/>
    </row>
    <row r="10" spans="1:4" x14ac:dyDescent="0.2">
      <c r="A10" s="185" t="s">
        <v>11</v>
      </c>
      <c r="B10" s="187" t="s">
        <v>2328</v>
      </c>
      <c r="C10" s="191">
        <f ca="1">INDEX('1.Summary'!$C$4:$C$30,MATCH($A10,'1.Summary'!$A$4:$A$30,0)+2,1)</f>
        <v>1.1577267123254336</v>
      </c>
      <c r="D10" s="200" t="s">
        <v>4170</v>
      </c>
    </row>
    <row r="11" spans="1:4" x14ac:dyDescent="0.2">
      <c r="A11" s="185" t="s">
        <v>353</v>
      </c>
      <c r="B11" s="187" t="s">
        <v>354</v>
      </c>
      <c r="C11" s="191">
        <f ca="1">INDEX('1.Summary'!$C$4:$C$30,MATCH($A11,'1.Summary'!$A$4:$A$30,0)+2,1)</f>
        <v>1.2132263403656423</v>
      </c>
      <c r="D11" s="200" t="s">
        <v>4170</v>
      </c>
    </row>
    <row r="12" spans="1:4" x14ac:dyDescent="0.2">
      <c r="A12" s="185" t="s">
        <v>600</v>
      </c>
      <c r="B12" s="187" t="s">
        <v>3903</v>
      </c>
      <c r="C12" s="191">
        <f ca="1">INDEX('1.Summary'!$C$4:$C$30,MATCH($A12,'1.Summary'!$A$4:$A$30,0)+2,1)</f>
        <v>1.2043007239644323</v>
      </c>
      <c r="D12" s="200" t="s">
        <v>4170</v>
      </c>
    </row>
    <row r="13" spans="1:4" x14ac:dyDescent="0.2">
      <c r="A13" s="185" t="s">
        <v>3688</v>
      </c>
      <c r="B13" s="187" t="s">
        <v>3689</v>
      </c>
      <c r="C13" s="191">
        <f ca="1">INDEX('1.Summary'!$C$4:$C$30,MATCH($A13,'1.Summary'!$A$4:$A$30,0)+2,1)</f>
        <v>1.1776731639298659</v>
      </c>
      <c r="D13" s="200" t="s">
        <v>4170</v>
      </c>
    </row>
    <row r="14" spans="1:4" x14ac:dyDescent="0.2">
      <c r="A14" s="185"/>
      <c r="B14" s="187"/>
      <c r="C14" s="191"/>
      <c r="D14" s="200"/>
    </row>
    <row r="15" spans="1:4" x14ac:dyDescent="0.2">
      <c r="A15" s="185" t="s">
        <v>2365</v>
      </c>
      <c r="B15" s="187" t="s">
        <v>2366</v>
      </c>
      <c r="C15" s="191">
        <f ca="1">'Frimley + Heatherwood|Wexham'!$E$40</f>
        <v>1.1651529697580674</v>
      </c>
      <c r="D15" s="200" t="s">
        <v>4172</v>
      </c>
    </row>
    <row r="16" spans="1:4" x14ac:dyDescent="0.2">
      <c r="A16" s="185" t="s">
        <v>3720</v>
      </c>
      <c r="B16" s="187" t="s">
        <v>3521</v>
      </c>
      <c r="C16" s="191">
        <f ca="1">'Royal Free + Barnet|Chase Farm'!$E$40</f>
        <v>1.2196238749024033</v>
      </c>
      <c r="D16" s="200" t="s">
        <v>4172</v>
      </c>
    </row>
    <row r="17" spans="1:4" x14ac:dyDescent="0.2">
      <c r="A17" s="185" t="s">
        <v>3730</v>
      </c>
      <c r="B17" s="187" t="s">
        <v>3731</v>
      </c>
      <c r="C17" s="191">
        <f ca="1">'RUH Bath + RNHRD'!$E$40</f>
        <v>1.0807203664060818</v>
      </c>
      <c r="D17" s="200" t="s">
        <v>4172</v>
      </c>
    </row>
    <row r="18" spans="1:4" x14ac:dyDescent="0.2">
      <c r="A18" s="185" t="s">
        <v>3914</v>
      </c>
      <c r="B18" s="187" t="s">
        <v>4174</v>
      </c>
      <c r="C18" s="191">
        <f ca="1">'London North West Trust'!$F$48</f>
        <v>1.1958759999999999</v>
      </c>
      <c r="D18" s="200" t="s">
        <v>4172</v>
      </c>
    </row>
    <row r="19" spans="1:4" x14ac:dyDescent="0.2">
      <c r="A19" s="185" t="s">
        <v>3870</v>
      </c>
      <c r="B19" s="187" t="s">
        <v>3075</v>
      </c>
      <c r="C19" s="191">
        <f ca="1">'Mid Staff|Royal Wolverhampton'!$E$40</f>
        <v>1.0343565793093397</v>
      </c>
      <c r="D19" s="200" t="s">
        <v>4172</v>
      </c>
    </row>
    <row r="20" spans="1:4" x14ac:dyDescent="0.2">
      <c r="A20" s="185" t="s">
        <v>3882</v>
      </c>
      <c r="B20" s="187" t="s">
        <v>661</v>
      </c>
      <c r="C20" s="191">
        <f ca="1">'Mid Staff|UHNS'!$E$42</f>
        <v>1.0267022188505168</v>
      </c>
      <c r="D20" s="200" t="s">
        <v>4172</v>
      </c>
    </row>
    <row r="21" spans="1:4" x14ac:dyDescent="0.2">
      <c r="A21" s="185"/>
      <c r="B21" s="187"/>
      <c r="C21" s="191"/>
      <c r="D21" s="200"/>
    </row>
    <row r="22" spans="1:4" x14ac:dyDescent="0.2">
      <c r="A22" s="185" t="s">
        <v>2316</v>
      </c>
      <c r="B22" s="187" t="s">
        <v>2317</v>
      </c>
      <c r="C22" s="191">
        <f ca="1">'Chelsea Westminster+West Midsx'!$E$40</f>
        <v>1.247733529536794</v>
      </c>
      <c r="D22" s="200" t="s">
        <v>4173</v>
      </c>
    </row>
    <row r="23" spans="1:4" x14ac:dyDescent="0.2">
      <c r="A23" s="185" t="s">
        <v>2790</v>
      </c>
      <c r="B23" s="187" t="s">
        <v>3912</v>
      </c>
      <c r="C23" s="191">
        <f ca="1">'South Devon + Torbay|Sthn Devon'!$E$40</f>
        <v>1.0132418800827625</v>
      </c>
      <c r="D23" s="200" t="s">
        <v>4173</v>
      </c>
    </row>
    <row r="24" spans="1:4" ht="12" thickBot="1" x14ac:dyDescent="0.25">
      <c r="A24" s="190"/>
      <c r="B24" s="188"/>
      <c r="C24" s="192"/>
      <c r="D24" s="203"/>
    </row>
  </sheetData>
  <sortState ref="A10:D14">
    <sortCondition ref="B10:B14"/>
  </sortState>
  <pageMargins left="0.75" right="0.75" top="1" bottom="1" header="0.5" footer="0.5"/>
  <pageSetup paperSize="9" orientation="portrait"/>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00B050"/>
  </sheetPr>
  <dimension ref="A1:N21"/>
  <sheetViews>
    <sheetView workbookViewId="0">
      <selection activeCell="L20" sqref="L20:L21"/>
    </sheetView>
  </sheetViews>
  <sheetFormatPr defaultRowHeight="12.75" x14ac:dyDescent="0.2"/>
  <cols>
    <col min="1" max="1" width="11.42578125" customWidth="1"/>
    <col min="2" max="2" width="7.85546875" customWidth="1"/>
    <col min="3" max="3" width="68" bestFit="1" customWidth="1"/>
    <col min="4" max="4" width="11.42578125" customWidth="1"/>
    <col min="5" max="5" width="8.85546875" customWidth="1"/>
    <col min="6" max="9" width="11.42578125" customWidth="1"/>
    <col min="10" max="10" width="60.7109375" bestFit="1" customWidth="1"/>
    <col min="11" max="11" width="2.140625" customWidth="1"/>
    <col min="12" max="12" width="11.42578125" customWidth="1"/>
    <col min="13" max="13" width="8" bestFit="1" customWidth="1"/>
    <col min="14" max="14" width="9.7109375" customWidth="1"/>
  </cols>
  <sheetData>
    <row r="1" spans="1:14" ht="18" x14ac:dyDescent="0.25">
      <c r="A1" s="290" t="s">
        <v>4158</v>
      </c>
    </row>
    <row r="2" spans="1:14" x14ac:dyDescent="0.2">
      <c r="A2" s="596"/>
      <c r="B2" s="596"/>
      <c r="C2" s="596"/>
      <c r="D2" s="596"/>
      <c r="E2" s="596"/>
      <c r="F2" s="596"/>
      <c r="G2" s="596"/>
      <c r="H2" s="596"/>
      <c r="I2" s="596"/>
      <c r="J2" s="596"/>
      <c r="K2" s="596"/>
      <c r="L2" s="596"/>
      <c r="M2" s="596"/>
      <c r="N2" s="596"/>
    </row>
    <row r="3" spans="1:14" ht="13.5" thickBot="1" x14ac:dyDescent="0.25">
      <c r="A3" s="598"/>
      <c r="B3" s="599"/>
      <c r="C3" s="598"/>
      <c r="D3" s="598"/>
      <c r="E3" s="598"/>
      <c r="F3" s="598"/>
      <c r="G3" s="598"/>
      <c r="H3" s="598"/>
      <c r="I3" s="598"/>
      <c r="J3" s="598"/>
      <c r="K3" s="598"/>
      <c r="L3" s="600"/>
      <c r="M3" s="598"/>
      <c r="N3" s="601"/>
    </row>
    <row r="4" spans="1:14" ht="33.75" x14ac:dyDescent="0.2">
      <c r="A4" s="591" t="s">
        <v>3572</v>
      </c>
      <c r="B4" s="592" t="s">
        <v>3368</v>
      </c>
      <c r="C4" s="591" t="s">
        <v>3369</v>
      </c>
      <c r="D4" s="592" t="s">
        <v>3520</v>
      </c>
      <c r="E4" s="592" t="s">
        <v>2734</v>
      </c>
      <c r="F4" s="592" t="s">
        <v>2735</v>
      </c>
      <c r="G4" s="592" t="s">
        <v>2753</v>
      </c>
      <c r="H4" s="592" t="s">
        <v>2733</v>
      </c>
      <c r="I4" s="592" t="s">
        <v>634</v>
      </c>
      <c r="J4" s="593" t="s">
        <v>860</v>
      </c>
      <c r="K4" s="592"/>
      <c r="L4" s="594" t="s">
        <v>862</v>
      </c>
      <c r="M4" s="592" t="s">
        <v>635</v>
      </c>
      <c r="N4" s="595" t="s">
        <v>861</v>
      </c>
    </row>
    <row r="5" spans="1:14" x14ac:dyDescent="0.2">
      <c r="A5" s="3" t="s">
        <v>2133</v>
      </c>
      <c r="B5" s="3" t="s">
        <v>3516</v>
      </c>
      <c r="C5" s="3" t="s">
        <v>3517</v>
      </c>
      <c r="D5" s="3" t="s">
        <v>697</v>
      </c>
      <c r="E5" s="16">
        <f>VLOOKUP(D5,'Base MFF calcs'!$B$7:$H$228,4,FALSE)</f>
        <v>0.93119310251000975</v>
      </c>
      <c r="F5" s="16">
        <f>IF(A5="Q36",'M&amp;D data'!$J$10,'M&amp;D data'!$J$9)</f>
        <v>0.99619990923086066</v>
      </c>
      <c r="G5" s="16">
        <f>'Base MFF calcs'!G224</f>
        <v>0.94535377638704943</v>
      </c>
      <c r="H5" s="16">
        <f>'Base MFF calcs'!H224</f>
        <v>0.95609286208264599</v>
      </c>
      <c r="I5" s="17">
        <f>E5*'Base MFF calcs'!$E$4+F5*'Base MFF calcs'!$F$4+G5*'Base MFF calcs'!$G$4+H5*'Base MFF calcs'!$H$4+'Base MFF calcs'!$I$4</f>
        <v>0.96003413517050595</v>
      </c>
      <c r="J5" s="189" t="s">
        <v>3226</v>
      </c>
      <c r="K5" s="3"/>
      <c r="L5" s="16">
        <f ca="1">I5/MIN('Base MFF calcs'!$I$7:$I$258)</f>
        <v>1.0363907313533507</v>
      </c>
      <c r="M5" s="3"/>
      <c r="N5" s="16">
        <f ca="1">L5</f>
        <v>1.0363907313533507</v>
      </c>
    </row>
    <row r="6" spans="1:14" x14ac:dyDescent="0.2">
      <c r="A6" s="668" t="s">
        <v>1167</v>
      </c>
      <c r="B6" s="668" t="s">
        <v>3518</v>
      </c>
      <c r="C6" s="668" t="s">
        <v>3519</v>
      </c>
      <c r="D6" s="3" t="s">
        <v>2267</v>
      </c>
      <c r="E6" s="678">
        <f>(VLOOKUP(D6,'Base MFF calcs'!$B$7:$H$228,4,FALSE)*SUMIF('Staff data'!B:B,'Mergers &amp; new Provs to 2013-14'!D6,'Staff data'!I:I)+VLOOKUP(D7,'Base MFF calcs'!$B$7:$H$228,4,FALSE)*SUMIF('Staff data'!B:B,'Mergers &amp; new Provs to 2013-14'!D7,'Staff data'!I:I)+VLOOKUP(D8,'Base MFF calcs'!$B$7:$H$228,4,FALSE)*SUMIF('Staff data'!B:B,'Mergers &amp; new Provs to 2013-14'!D8,'Staff data'!I:I))/(SUMIF('Staff data'!B:B,'Mergers &amp; new Provs to 2013-14'!D6,'Staff data'!I:I)+SUMIF('Staff data'!B:B,'Mergers &amp; new Provs to 2013-14'!D7,'Staff data'!I:I)+SUMIF('Staff data'!B:B,'Mergers &amp; new Provs to 2013-14'!D8,'Staff data'!I:I))</f>
        <v>1.1859331338197914</v>
      </c>
      <c r="F6" s="678">
        <f>IF(A6="Q36",'M&amp;D data'!$J$10,'M&amp;D data'!$J$9)</f>
        <v>1.0185025427599708</v>
      </c>
      <c r="G6" s="678">
        <f>(VLOOKUP(D6,'Base MFF calcs'!$B$7:$H$228,6,FALSE)*SUMIF('Buildings data'!B:B,'Mergers &amp; new Provs to 2013-14'!D6,'Buildings data'!I:I)+VLOOKUP(D7,'Base MFF calcs'!$B$7:$H$228,6,FALSE)*SUMIF('Buildings data'!B:B,'Mergers &amp; new Provs to 2013-14'!D7,'Buildings data'!I:I)+VLOOKUP(D8,'Base MFF calcs'!$B$7:$H$228,6,FALSE)*SUMIF('Buildings data'!B:B,'Mergers &amp; new Provs to 2013-14'!D8,'Buildings data'!I:I))/(SUMIF('Buildings data'!B:B,'Mergers &amp; new Provs to 2013-14'!D6,'Buildings data'!I:I)+SUMIF('Buildings data'!B:B,'Mergers &amp; new Provs to 2013-14'!D7,'Buildings data'!I:I)+SUMIF('Buildings data'!B:B,'Mergers &amp; new Provs to 2013-14'!D8,'Buildings data'!I:I))</f>
        <v>1.1462173333397709</v>
      </c>
      <c r="H6" s="672">
        <f>VLOOKUP(D6,'Land data'!$B$2:$J$234,9,FALSE)*(SUMIF('Staff data'!B:B,'Mergers &amp; new Provs to 2013-14'!D6,'Staff data'!I:I)/(SUMIF('Staff data'!B:B,'Mergers &amp; new Provs to 2013-14'!D6,'Staff data'!I:I)+SUMIF('Staff data'!B:B,'Mergers &amp; new Provs to 2013-14'!D7,'Staff data'!I:I)+SUMIF('Staff data'!B:B,'Mergers &amp; new Provs to 2013-14'!D8,'Staff data'!I:I)))+VLOOKUP(D7,'Land data'!$B$2:$J$234,9,FALSE)*(SUMIF('Staff data'!B:B,'Mergers &amp; new Provs to 2013-14'!D7,'Staff data'!I:I)/(SUMIF('Staff data'!B:B,'Mergers &amp; new Provs to 2013-14'!D6,'Staff data'!I:I)+SUMIF('Staff data'!B:B,'Mergers &amp; new Provs to 2013-14'!D7,'Staff data'!I:I)+SUMIF('Staff data'!B:B,'Mergers &amp; new Provs to 2013-14'!D8,'Staff data'!I:I)))+VLOOKUP(D8,'Land data'!$B$2:$J$234,9,FALSE)*(SUMIF('Staff data'!B:B,'Mergers &amp; new Provs to 2013-14'!D8,'Staff data'!I:I)/(SUMIF('Staff data'!B:B,'Mergers &amp; new Provs to 2013-14'!D6,'Staff data'!I:I)+SUMIF('Staff data'!B:B,'Mergers &amp; new Provs to 2013-14'!D7,'Staff data'!I:I)+SUMIF('Staff data'!B:B,'Mergers &amp; new Provs to 2013-14'!D8,'Staff data'!I:I)))</f>
        <v>4.3190582534934627</v>
      </c>
      <c r="I6" s="675">
        <f>E6*'Base MFF calcs'!$E$4+F6*'Base MFF calcs'!$F$4+G6*'Base MFF calcs'!$G$4+H6*'Base MFF calcs'!$H$4+'Base MFF calcs'!$I$4</f>
        <v>1.1234480814123828</v>
      </c>
      <c r="J6" s="180" t="s">
        <v>3225</v>
      </c>
      <c r="K6" s="183"/>
      <c r="L6" s="678">
        <f ca="1">I6/MIN('Base MFF calcs'!$I$7:$I$258)</f>
        <v>1.2128018536817009</v>
      </c>
      <c r="M6" s="183"/>
      <c r="N6" s="678">
        <f ca="1">L6</f>
        <v>1.2128018536817009</v>
      </c>
    </row>
    <row r="7" spans="1:14" x14ac:dyDescent="0.2">
      <c r="A7" s="681"/>
      <c r="B7" s="681"/>
      <c r="C7" s="681"/>
      <c r="D7" s="3" t="s">
        <v>403</v>
      </c>
      <c r="E7" s="679"/>
      <c r="F7" s="679"/>
      <c r="G7" s="679"/>
      <c r="H7" s="673"/>
      <c r="I7" s="676"/>
      <c r="J7" s="181" t="s">
        <v>658</v>
      </c>
      <c r="K7" s="4"/>
      <c r="L7" s="679">
        <f ca="1">I7/MIN('Base MFF calcs'!$I$7:$I$258)</f>
        <v>0</v>
      </c>
      <c r="M7" s="4"/>
      <c r="N7" s="679"/>
    </row>
    <row r="8" spans="1:14" x14ac:dyDescent="0.2">
      <c r="A8" s="669"/>
      <c r="B8" s="669"/>
      <c r="C8" s="669"/>
      <c r="D8" s="3" t="s">
        <v>689</v>
      </c>
      <c r="E8" s="680"/>
      <c r="F8" s="680"/>
      <c r="G8" s="680"/>
      <c r="H8" s="674"/>
      <c r="I8" s="677"/>
      <c r="J8" s="182"/>
      <c r="K8" s="5"/>
      <c r="L8" s="680">
        <f ca="1">I8/MIN('Base MFF calcs'!$I$7:$I$258)</f>
        <v>0</v>
      </c>
      <c r="M8" s="4"/>
      <c r="N8" s="680"/>
    </row>
    <row r="9" spans="1:14" x14ac:dyDescent="0.2">
      <c r="A9" s="667" t="s">
        <v>3034</v>
      </c>
      <c r="B9" s="668" t="s">
        <v>703</v>
      </c>
      <c r="C9" s="667" t="s">
        <v>1289</v>
      </c>
      <c r="D9" s="3" t="s">
        <v>703</v>
      </c>
      <c r="E9" s="663">
        <f>(VLOOKUP(D9,'Base MFF calcs'!$B$7:$H$228,4,FALSE)*SUMIF('Staff data'!B:B,'Mergers &amp; new Provs to 2013-14'!D9,'Staff data'!I:I)+VLOOKUP(D10,'Base MFF calcs'!$B$7:$H$228,4,FALSE)*SUMIF('Staff data'!B:B,'Mergers &amp; new Provs to 2013-14'!D10,'Staff data'!I:I))/(SUMIF('Staff data'!B:B,'Mergers &amp; new Provs to 2013-14'!D9,'Staff data'!I:I)+SUMIF('Staff data'!B:B,'Mergers &amp; new Provs to 2013-14'!D10,'Staff data'!I:I))</f>
        <v>0.92899412405605131</v>
      </c>
      <c r="F9" s="663">
        <f>IF(A9="Q36",'M&amp;D data'!$J$10,'M&amp;D data'!$J$9)</f>
        <v>0.99619990923086066</v>
      </c>
      <c r="G9" s="663">
        <f>(VLOOKUP(D9,'Base MFF calcs'!$B$7:$H$228,6,FALSE)*SUMIF('Buildings data'!B:B,'Mergers &amp; new Provs to 2013-14'!D9,'Buildings data'!I:I)+VLOOKUP(D10,'Base MFF calcs'!$B$7:$H$228,6,FALSE)*SUMIF('Buildings data'!B:B,'Mergers &amp; new Provs to 2013-14'!D10,'Buildings data'!I:I))/(SUMIF('Buildings data'!B:B,'Mergers &amp; new Provs to 2013-14'!D9,'Buildings data'!I:I)+SUMIF('Buildings data'!B:B,'Mergers &amp; new Provs to 2013-14'!D10,'Buildings data'!I:I))</f>
        <v>0.97520705353611448</v>
      </c>
      <c r="H9" s="663">
        <f>((VLOOKUP(D9,'Land data'!$B$2:$E$234,4,FALSE)+VLOOKUP(D10,'Land data'!$B$2:$E$234,4,FALSE))/(VLOOKUP(D9,'Land data'!$B$2:$E$234,3,FALSE)+VLOOKUP(D10,'Land data'!$B$2:$E$234,3,FALSE)))/'Land data'!$F$236</f>
        <v>0.56267133476742637</v>
      </c>
      <c r="I9" s="664">
        <f>E9*'Base MFF calcs'!$E$4+F9*'Base MFF calcs'!$F$4+G9*'Base MFF calcs'!$G$4+H9*'Base MFF calcs'!$H$4+'Base MFF calcs'!$I$4</f>
        <v>0.95785841755998691</v>
      </c>
      <c r="J9" s="180" t="s">
        <v>2116</v>
      </c>
      <c r="K9" s="193"/>
      <c r="L9" s="665">
        <f ca="1">I9/MIN('Base MFF calcs'!$I$7:$I$258)</f>
        <v>1.0340419674053025</v>
      </c>
      <c r="M9" s="193"/>
      <c r="N9" s="666">
        <f ca="1">L9</f>
        <v>1.0340419674053025</v>
      </c>
    </row>
    <row r="10" spans="1:14" x14ac:dyDescent="0.2">
      <c r="A10" s="667"/>
      <c r="B10" s="669"/>
      <c r="C10" s="667"/>
      <c r="D10" s="3" t="s">
        <v>2772</v>
      </c>
      <c r="E10" s="663"/>
      <c r="F10" s="663"/>
      <c r="G10" s="663"/>
      <c r="H10" s="663"/>
      <c r="I10" s="664"/>
      <c r="J10" s="182"/>
      <c r="K10" s="195"/>
      <c r="L10" s="665"/>
      <c r="M10" s="195"/>
      <c r="N10" s="666"/>
    </row>
    <row r="11" spans="1:14" x14ac:dyDescent="0.2">
      <c r="A11" s="667" t="s">
        <v>1127</v>
      </c>
      <c r="B11" s="668" t="s">
        <v>548</v>
      </c>
      <c r="C11" s="667" t="s">
        <v>549</v>
      </c>
      <c r="D11" s="3" t="s">
        <v>548</v>
      </c>
      <c r="E11" s="663">
        <f>(VLOOKUP(D11,'Base MFF calcs'!$B$7:$H$228,4,FALSE)*SUMIF('Staff data'!B:B,'Mergers &amp; new Provs to 2013-14'!D11,'Staff data'!I:I)+VLOOKUP(D12,'Base MFF calcs'!$B$7:$H$228,4,FALSE)*SUMIF('Staff data'!B:B,'Mergers &amp; new Provs to 2013-14'!D12,'Staff data'!I:I))/(SUMIF('Staff data'!B:B,'Mergers &amp; new Provs to 2013-14'!D11,'Staff data'!I:I)+SUMIF('Staff data'!B:B,'Mergers &amp; new Provs to 2013-14'!D12,'Staff data'!I:I))</f>
        <v>1.0480385305384248</v>
      </c>
      <c r="F11" s="663">
        <f>IF(A11="Q36",'M&amp;D data'!$J$10,'M&amp;D data'!$J$9)</f>
        <v>0.99619990923086066</v>
      </c>
      <c r="G11" s="663">
        <f>(VLOOKUP(D11,'Base MFF calcs'!$B$7:$H$228,6,FALSE)*SUMIF('Buildings data'!B:B,'Mergers &amp; new Provs to 2013-14'!D11,'Buildings data'!I:I)+VLOOKUP(D12,'Base MFF calcs'!$B$7:$H$228,6,FALSE)*SUMIF('Buildings data'!B:B,'Mergers &amp; new Provs to 2013-14'!D12,'Buildings data'!I:I))/(SUMIF('Buildings data'!B:B,'Mergers &amp; new Provs to 2013-14'!D11,'Buildings data'!I:I)+SUMIF('Buildings data'!B:B,'Mergers &amp; new Provs to 2013-14'!D12,'Buildings data'!I:I))</f>
        <v>1.0398463141446483</v>
      </c>
      <c r="H11" s="663">
        <f>((VLOOKUP(D11,'Land data'!$B$2:$E$234,4,FALSE)+VLOOKUP(D12,'Land data'!$B$2:$E$234,4,FALSE))/(VLOOKUP(D11,'Land data'!$B$2:$E$234,3,FALSE)+VLOOKUP(D12,'Land data'!$B$2:$E$234,3,FALSE)))/'Land data'!$F$236</f>
        <v>1.2709607387217714</v>
      </c>
      <c r="I11" s="664">
        <f>E11*'Base MFF calcs'!$E$4+F11*'Base MFF calcs'!$F$4+G11*'Base MFF calcs'!$G$4+H11*'Base MFF calcs'!$H$4+'Base MFF calcs'!$I$4</f>
        <v>1.0281276319508819</v>
      </c>
      <c r="J11" s="180" t="s">
        <v>810</v>
      </c>
      <c r="K11" s="193"/>
      <c r="L11" s="670">
        <f ca="1">I11/MIN('Base MFF calcs'!$I$7:$I$258)</f>
        <v>1.1099000643481478</v>
      </c>
      <c r="M11" s="193"/>
      <c r="N11" s="666">
        <f ca="1">L11</f>
        <v>1.1099000643481478</v>
      </c>
    </row>
    <row r="12" spans="1:14" x14ac:dyDescent="0.2">
      <c r="A12" s="667"/>
      <c r="B12" s="669"/>
      <c r="C12" s="667"/>
      <c r="D12" s="3" t="s">
        <v>2273</v>
      </c>
      <c r="E12" s="663"/>
      <c r="F12" s="663"/>
      <c r="G12" s="663"/>
      <c r="H12" s="663"/>
      <c r="I12" s="664"/>
      <c r="J12" s="182"/>
      <c r="K12" s="195"/>
      <c r="L12" s="671"/>
      <c r="M12" s="195"/>
      <c r="N12" s="666"/>
    </row>
    <row r="13" spans="1:14" x14ac:dyDescent="0.2">
      <c r="A13" s="667" t="s">
        <v>1127</v>
      </c>
      <c r="B13" s="668" t="s">
        <v>2385</v>
      </c>
      <c r="C13" s="667" t="s">
        <v>1310</v>
      </c>
      <c r="D13" s="3" t="s">
        <v>2385</v>
      </c>
      <c r="E13" s="663">
        <f>(VLOOKUP(D13,'Base MFF calcs'!$B$7:$H$228,4,FALSE)*SUMIF('Staff data'!B:B,'Mergers &amp; new Provs to 2013-14'!D13,'Staff data'!I:I)+VLOOKUP(D14,'Base MFF calcs'!$B$7:$H$228,4,FALSE)*SUMIF('Staff data'!B:B,'Mergers &amp; new Provs to 2013-14'!D14,'Staff data'!I:I))/(SUMIF('Staff data'!B:B,'Mergers &amp; new Provs to 2013-14'!D13,'Staff data'!I:I)+SUMIF('Staff data'!B:B,'Mergers &amp; new Provs to 2013-14'!D14,'Staff data'!I:I))</f>
        <v>1.0182618587489956</v>
      </c>
      <c r="F13" s="663">
        <f>IF(A13="Q36",'M&amp;D data'!$J$10,'M&amp;D data'!$J$9)</f>
        <v>0.99619990923086066</v>
      </c>
      <c r="G13" s="663">
        <f>(VLOOKUP(D13,'Base MFF calcs'!$B$7:$H$228,6,FALSE)*SUMIF('Buildings data'!B:B,'Mergers &amp; new Provs to 2013-14'!D13,'Buildings data'!I:I)+VLOOKUP(D14,'Base MFF calcs'!$B$7:$H$228,6,FALSE)*SUMIF('Buildings data'!B:B,'Mergers &amp; new Provs to 2013-14'!D14,'Buildings data'!I:I))/(SUMIF('Buildings data'!B:B,'Mergers &amp; new Provs to 2013-14'!D13,'Buildings data'!I:I)+SUMIF('Buildings data'!B:B,'Mergers &amp; new Provs to 2013-14'!D14,'Buildings data'!I:I))</f>
        <v>1.0229629422461743</v>
      </c>
      <c r="H13" s="663">
        <f>((VLOOKUP(D13,'Land data'!$B$2:$E$234,4,FALSE)+VLOOKUP(D14,'Land data'!$B$2:$E$234,4,FALSE))/(VLOOKUP(D13,'Land data'!$B$2:$E$234,3,FALSE)+VLOOKUP(D14,'Land data'!$B$2:$E$234,3,FALSE)))/'Land data'!$F$236</f>
        <v>1.1265225426002583</v>
      </c>
      <c r="I13" s="664">
        <f>E13*'Base MFF calcs'!$E$4+F13*'Base MFF calcs'!$F$4+G13*'Base MFF calcs'!$G$4+H13*'Base MFF calcs'!$H$4+'Base MFF calcs'!$I$4</f>
        <v>1.010678771957684</v>
      </c>
      <c r="J13" s="180" t="s">
        <v>647</v>
      </c>
      <c r="K13" s="193"/>
      <c r="L13" s="670">
        <f ca="1">I13/MIN('Base MFF calcs'!$I$7:$I$258)</f>
        <v>1.0910634041637464</v>
      </c>
      <c r="M13" s="193"/>
      <c r="N13" s="666">
        <f ca="1">L13</f>
        <v>1.0910634041637464</v>
      </c>
    </row>
    <row r="14" spans="1:14" x14ac:dyDescent="0.2">
      <c r="A14" s="667"/>
      <c r="B14" s="669"/>
      <c r="C14" s="667"/>
      <c r="D14" s="3" t="s">
        <v>3686</v>
      </c>
      <c r="E14" s="663"/>
      <c r="F14" s="663"/>
      <c r="G14" s="663"/>
      <c r="H14" s="663"/>
      <c r="I14" s="664"/>
      <c r="J14" s="181"/>
      <c r="K14" s="195"/>
      <c r="L14" s="671"/>
      <c r="M14" s="195"/>
      <c r="N14" s="666"/>
    </row>
    <row r="15" spans="1:14" x14ac:dyDescent="0.2">
      <c r="A15" s="3" t="s">
        <v>3528</v>
      </c>
      <c r="B15" s="3" t="s">
        <v>659</v>
      </c>
      <c r="C15" s="3" t="s">
        <v>3883</v>
      </c>
      <c r="D15" s="3" t="s">
        <v>1176</v>
      </c>
      <c r="E15" s="18">
        <v>0.97119946366644261</v>
      </c>
      <c r="F15" s="199">
        <f>IF(A15="Q36",'M&amp;D data'!$J$10,'M&amp;D data'!$J$9)</f>
        <v>0.99619990923086066</v>
      </c>
      <c r="G15" s="199">
        <v>0.97520705353611448</v>
      </c>
      <c r="H15" s="199">
        <v>1.1618044430249053</v>
      </c>
      <c r="I15" s="198">
        <f>E15*'Base MFF calcs'!$E$4+F15*'Base MFF calcs'!$F$4+G15*'Base MFF calcs'!$G$4+H15*'Base MFF calcs'!$H$4+'Base MFF calcs'!$I$4</f>
        <v>0.98372069409452623</v>
      </c>
      <c r="J15" s="189" t="s">
        <v>3884</v>
      </c>
      <c r="K15" s="3"/>
      <c r="L15" s="197">
        <f ca="1">I15/MIN('Base MFF calcs'!$I$7:$I$258)</f>
        <v>1.0619612076803719</v>
      </c>
      <c r="M15" s="3"/>
      <c r="N15" s="197">
        <f ca="1">L15</f>
        <v>1.0619612076803719</v>
      </c>
    </row>
    <row r="17" spans="1:14" x14ac:dyDescent="0.2">
      <c r="A17" s="545"/>
      <c r="B17" s="545"/>
      <c r="C17" s="545"/>
      <c r="D17" s="545"/>
      <c r="E17" s="545"/>
      <c r="F17" s="545"/>
      <c r="G17" s="545"/>
      <c r="H17" s="545"/>
      <c r="I17" s="545"/>
      <c r="J17" s="545"/>
      <c r="K17" s="545"/>
      <c r="L17" s="545"/>
      <c r="M17" s="545"/>
      <c r="N17" s="545"/>
    </row>
    <row r="18" spans="1:14" ht="13.5" thickBot="1" x14ac:dyDescent="0.25">
      <c r="A18" s="545"/>
      <c r="B18" s="545"/>
      <c r="C18" s="597" t="s">
        <v>4156</v>
      </c>
      <c r="D18" s="545"/>
      <c r="E18" s="545"/>
      <c r="F18" s="545"/>
      <c r="G18" s="545"/>
      <c r="H18" s="545"/>
      <c r="I18" s="545"/>
      <c r="J18" s="545"/>
      <c r="K18" s="545"/>
      <c r="L18" s="545"/>
      <c r="M18" s="545"/>
      <c r="N18" s="545"/>
    </row>
    <row r="19" spans="1:14" ht="33.75" x14ac:dyDescent="0.2">
      <c r="A19" s="178" t="s">
        <v>3572</v>
      </c>
      <c r="B19" s="588" t="s">
        <v>3368</v>
      </c>
      <c r="C19" s="178" t="s">
        <v>3369</v>
      </c>
      <c r="D19" s="588" t="s">
        <v>3520</v>
      </c>
      <c r="E19" s="588" t="s">
        <v>2734</v>
      </c>
      <c r="F19" s="588" t="s">
        <v>2735</v>
      </c>
      <c r="G19" s="588" t="s">
        <v>2753</v>
      </c>
      <c r="H19" s="588" t="s">
        <v>2733</v>
      </c>
      <c r="I19" s="588" t="s">
        <v>634</v>
      </c>
      <c r="J19" s="179" t="s">
        <v>860</v>
      </c>
      <c r="K19" s="178"/>
      <c r="L19" s="589" t="s">
        <v>862</v>
      </c>
      <c r="M19" s="588" t="s">
        <v>635</v>
      </c>
      <c r="N19" s="590" t="s">
        <v>861</v>
      </c>
    </row>
    <row r="20" spans="1:14" x14ac:dyDescent="0.2">
      <c r="A20" s="667" t="s">
        <v>3528</v>
      </c>
      <c r="B20" s="668" t="s">
        <v>566</v>
      </c>
      <c r="C20" s="667" t="s">
        <v>649</v>
      </c>
      <c r="D20" s="3" t="s">
        <v>2375</v>
      </c>
      <c r="E20" s="663">
        <f>(SUMIF('PCT data'!$E$3:$E$154,$D$20,'PCT data'!$I$3:$I$154)+SUMIF('PCT data'!$E$3:$E$154,$D$21,'PCT data'!$I$3:$I$154))/(SUMIF('PCT data'!$E$3:$E$154,$D$20,'PCT data'!$D$3:$D$154)+SUMIF('PCT data'!$E$3:$E$154,$D$21,'PCT data'!$D$3:$D$154))</f>
        <v>0.95101361214552382</v>
      </c>
      <c r="F20" s="663">
        <f>IF(A20="Q36",'M&amp;D data'!$J$10,'M&amp;D data'!$J$9)</f>
        <v>0.99619990923086066</v>
      </c>
      <c r="G20" s="663">
        <f>(SUMIF('PCT data'!$E$3:$E$154,$D$20,'PCT data'!$L$3:$L$154)+SUMIF('PCT data'!$E$3:$E$154,$D$21,'PCT data'!$L$3:$L$154))/(SUMIF('PCT data'!$E$3:$E$154,$D$20,'PCT data'!$D$3:$D$154)+SUMIF('PCT data'!$E$3:$E$154,$D$21,'PCT data'!$D$3:$D$154))</f>
        <v>0.97744627992641453</v>
      </c>
      <c r="H20" s="663">
        <f>(VLOOKUP($D$20,'Land data'!B:J,9,FALSE)*SUMIF('PCT data'!E:E,$D$20,'PCT data'!D:D)+VLOOKUP($D$21,'Land data'!B:J,9,FALSE)*SUMIF('PCT data'!E:E,$D$21,'PCT data'!D:D))/(SUMIF('PCT data'!E:E,$D$20,'PCT data'!D:D)+SUMIF('PCT data'!E:E,$D$21,'PCT data'!D:D))</f>
        <v>0.8512117155836415</v>
      </c>
      <c r="I20" s="664">
        <f>E20*'Base MFF calcs'!$E$4+F20*'Base MFF calcs'!$F$4+G20*'Base MFF calcs'!$G$4+H20*'Base MFF calcs'!$H$4+'Base MFF calcs'!$I$4</f>
        <v>0.97130324835900783</v>
      </c>
      <c r="J20" s="180" t="s">
        <v>4326</v>
      </c>
      <c r="K20" s="193"/>
      <c r="L20" s="665">
        <f ca="1">I20/MIN('Base MFF calcs'!$I$7:$I$258)</f>
        <v>1.0485561367605876</v>
      </c>
      <c r="M20" s="193"/>
      <c r="N20" s="666">
        <f ca="1">L20</f>
        <v>1.0485561367605876</v>
      </c>
    </row>
    <row r="21" spans="1:14" x14ac:dyDescent="0.2">
      <c r="A21" s="667"/>
      <c r="B21" s="669"/>
      <c r="C21" s="667"/>
      <c r="D21" s="3" t="s">
        <v>566</v>
      </c>
      <c r="E21" s="663"/>
      <c r="F21" s="663"/>
      <c r="G21" s="663"/>
      <c r="H21" s="663"/>
      <c r="I21" s="664"/>
      <c r="J21" s="194"/>
      <c r="K21" s="195"/>
      <c r="L21" s="665"/>
      <c r="M21" s="195"/>
      <c r="N21" s="666"/>
    </row>
  </sheetData>
  <mergeCells count="50">
    <mergeCell ref="H6:H8"/>
    <mergeCell ref="I6:I8"/>
    <mergeCell ref="L6:L8"/>
    <mergeCell ref="N6:N8"/>
    <mergeCell ref="A9:A10"/>
    <mergeCell ref="B9:B10"/>
    <mergeCell ref="C9:C10"/>
    <mergeCell ref="E9:E10"/>
    <mergeCell ref="F9:F10"/>
    <mergeCell ref="G9:G10"/>
    <mergeCell ref="A6:A8"/>
    <mergeCell ref="B6:B8"/>
    <mergeCell ref="C6:C8"/>
    <mergeCell ref="E6:E8"/>
    <mergeCell ref="F6:F8"/>
    <mergeCell ref="G6:G8"/>
    <mergeCell ref="A11:A12"/>
    <mergeCell ref="B11:B12"/>
    <mergeCell ref="C11:C12"/>
    <mergeCell ref="E11:E12"/>
    <mergeCell ref="F11:F12"/>
    <mergeCell ref="G13:G14"/>
    <mergeCell ref="H9:H10"/>
    <mergeCell ref="I9:I10"/>
    <mergeCell ref="L9:L10"/>
    <mergeCell ref="N9:N10"/>
    <mergeCell ref="G11:G12"/>
    <mergeCell ref="H13:H14"/>
    <mergeCell ref="I13:I14"/>
    <mergeCell ref="L13:L14"/>
    <mergeCell ref="N13:N14"/>
    <mergeCell ref="H11:H12"/>
    <mergeCell ref="I11:I12"/>
    <mergeCell ref="L11:L12"/>
    <mergeCell ref="N11:N12"/>
    <mergeCell ref="A13:A14"/>
    <mergeCell ref="B13:B14"/>
    <mergeCell ref="C13:C14"/>
    <mergeCell ref="E13:E14"/>
    <mergeCell ref="F13:F14"/>
    <mergeCell ref="A20:A21"/>
    <mergeCell ref="B20:B21"/>
    <mergeCell ref="C20:C21"/>
    <mergeCell ref="E20:E21"/>
    <mergeCell ref="F20:F21"/>
    <mergeCell ref="G20:G21"/>
    <mergeCell ref="H20:H21"/>
    <mergeCell ref="I20:I21"/>
    <mergeCell ref="L20:L21"/>
    <mergeCell ref="N20:N21"/>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1"/>
  </sheetPr>
  <dimension ref="A1"/>
  <sheetViews>
    <sheetView workbookViewId="0"/>
  </sheetViews>
  <sheetFormatPr defaultRowHeight="12.75" x14ac:dyDescent="0.2"/>
  <cols>
    <col min="1" max="16384" width="9.140625" style="382"/>
  </cols>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92D050"/>
  </sheetPr>
  <dimension ref="A3:C30"/>
  <sheetViews>
    <sheetView workbookViewId="0"/>
  </sheetViews>
  <sheetFormatPr defaultRowHeight="15" x14ac:dyDescent="0.25"/>
  <cols>
    <col min="1" max="1" width="9.140625" style="397"/>
    <col min="2" max="2" width="45.140625" style="397" bestFit="1" customWidth="1"/>
    <col min="3" max="3" width="12.85546875" style="397" customWidth="1"/>
    <col min="4" max="16384" width="9.140625" style="397"/>
  </cols>
  <sheetData>
    <row r="3" spans="1:3" x14ac:dyDescent="0.25">
      <c r="A3" s="400"/>
      <c r="B3" s="399" t="str">
        <f>'Queen Mary to Oxleas'!G45</f>
        <v>Organisation Name</v>
      </c>
      <c r="C3" s="400"/>
    </row>
    <row r="4" spans="1:3" x14ac:dyDescent="0.25">
      <c r="A4" s="400" t="s">
        <v>3688</v>
      </c>
      <c r="B4" s="400" t="str">
        <f>'Queen Mary to Oxleas'!G46</f>
        <v>Oxleas NHS FT</v>
      </c>
      <c r="C4" s="401">
        <f ca="1">'Queen Mary to Oxleas'!H46</f>
        <v>1.1776731639298659</v>
      </c>
    </row>
    <row r="5" spans="1:3" x14ac:dyDescent="0.25">
      <c r="A5" s="400" t="s">
        <v>552</v>
      </c>
      <c r="B5" s="400" t="str">
        <f>'Queen Mary to Oxleas'!G47</f>
        <v>South London Healthcare</v>
      </c>
      <c r="C5" s="401">
        <f ca="1">'Queen Mary to Oxleas'!H47</f>
        <v>1.184976805812578</v>
      </c>
    </row>
    <row r="6" spans="1:3" x14ac:dyDescent="0.25">
      <c r="A6" s="400"/>
      <c r="B6" s="399" t="str">
        <f>'Queen Mary to Oxleas'!G48</f>
        <v>Combined</v>
      </c>
      <c r="C6" s="398">
        <f ca="1">'Queen Mary to Oxleas'!H48</f>
        <v>1.1776731639298659</v>
      </c>
    </row>
    <row r="7" spans="1:3" x14ac:dyDescent="0.25">
      <c r="C7" s="402"/>
    </row>
    <row r="8" spans="1:3" x14ac:dyDescent="0.25">
      <c r="C8" s="402"/>
    </row>
    <row r="9" spans="1:3" x14ac:dyDescent="0.25">
      <c r="A9" s="400"/>
      <c r="B9" s="399" t="str">
        <f>'QMS &amp; QE to Lewisham'!G36</f>
        <v>Organisation Name</v>
      </c>
      <c r="C9" s="401"/>
    </row>
    <row r="10" spans="1:3" x14ac:dyDescent="0.25">
      <c r="A10" s="400" t="s">
        <v>600</v>
      </c>
      <c r="B10" s="400" t="str">
        <f>'QMS &amp; QE to Lewisham'!G37</f>
        <v>Lewisham</v>
      </c>
      <c r="C10" s="401">
        <f ca="1">'QMS &amp; QE to Lewisham'!H37</f>
        <v>1.2125088450041175</v>
      </c>
    </row>
    <row r="11" spans="1:3" x14ac:dyDescent="0.25">
      <c r="A11" s="400" t="s">
        <v>552</v>
      </c>
      <c r="B11" s="400" t="str">
        <f>'QMS &amp; QE to Lewisham'!G38</f>
        <v>South London Healthcare</v>
      </c>
      <c r="C11" s="401">
        <f ca="1">'QMS &amp; QE to Lewisham'!H38</f>
        <v>1.184976805812578</v>
      </c>
    </row>
    <row r="12" spans="1:3" x14ac:dyDescent="0.25">
      <c r="A12" s="400"/>
      <c r="B12" s="399" t="str">
        <f>'QMS &amp; QE to Lewisham'!G39</f>
        <v>Combined</v>
      </c>
      <c r="C12" s="398">
        <f ca="1">'QMS &amp; QE to Lewisham'!H39</f>
        <v>1.2043007239644323</v>
      </c>
    </row>
    <row r="13" spans="1:3" x14ac:dyDescent="0.25">
      <c r="C13" s="402"/>
    </row>
    <row r="14" spans="1:3" x14ac:dyDescent="0.25">
      <c r="C14" s="402"/>
    </row>
    <row r="15" spans="1:3" x14ac:dyDescent="0.25">
      <c r="A15" s="400"/>
      <c r="B15" s="399" t="str">
        <f>'QMS &amp; PRUH to Kings'!G37</f>
        <v>Organisation Name</v>
      </c>
      <c r="C15" s="401"/>
    </row>
    <row r="16" spans="1:3" x14ac:dyDescent="0.25">
      <c r="A16" s="400" t="s">
        <v>353</v>
      </c>
      <c r="B16" s="400" t="str">
        <f>'QMS &amp; PRUH to Kings'!G38</f>
        <v>Kings College</v>
      </c>
      <c r="C16" s="401">
        <f ca="1">'QMS &amp; PRUH to Kings'!H38</f>
        <v>1.228021403152886</v>
      </c>
    </row>
    <row r="17" spans="1:3" x14ac:dyDescent="0.25">
      <c r="A17" s="400" t="s">
        <v>552</v>
      </c>
      <c r="B17" s="400" t="str">
        <f>'QMS &amp; PRUH to Kings'!G39</f>
        <v>South London Healthcare</v>
      </c>
      <c r="C17" s="401">
        <f ca="1">'QMS &amp; PRUH to Kings'!H39</f>
        <v>1.184976805812578</v>
      </c>
    </row>
    <row r="18" spans="1:3" x14ac:dyDescent="0.25">
      <c r="A18" s="400"/>
      <c r="B18" s="399" t="str">
        <f>'QMS &amp; PRUH to Kings'!G40</f>
        <v>Combined</v>
      </c>
      <c r="C18" s="398">
        <f ca="1">'QMS &amp; PRUH to Kings'!H40</f>
        <v>1.2132263403656423</v>
      </c>
    </row>
    <row r="21" spans="1:3" x14ac:dyDescent="0.25">
      <c r="A21" s="400"/>
      <c r="B21" s="399" t="str">
        <f>'QMS to GSTT'!G35</f>
        <v>Organisation Name</v>
      </c>
      <c r="C21" s="400"/>
    </row>
    <row r="22" spans="1:3" x14ac:dyDescent="0.25">
      <c r="A22" s="400" t="s">
        <v>2381</v>
      </c>
      <c r="B22" s="400" t="str">
        <f>'QMS to GSTT'!G36</f>
        <v>GUY'S AND ST THOMAS' NHS FOUNDATION TRUST</v>
      </c>
      <c r="C22" s="401">
        <f ca="1">'QMS to GSTT'!H36</f>
        <v>1.2770285971983037</v>
      </c>
    </row>
    <row r="23" spans="1:3" x14ac:dyDescent="0.25">
      <c r="A23" s="400" t="s">
        <v>552</v>
      </c>
      <c r="B23" s="400" t="str">
        <f>'QMS to GSTT'!G37</f>
        <v>South London Healthcare</v>
      </c>
      <c r="C23" s="401">
        <f ca="1">'QMS to GSTT'!H37</f>
        <v>1.184976805812578</v>
      </c>
    </row>
    <row r="24" spans="1:3" x14ac:dyDescent="0.25">
      <c r="A24" s="400"/>
      <c r="B24" s="399" t="str">
        <f>'QMS to GSTT'!G38</f>
        <v>Combined</v>
      </c>
      <c r="C24" s="398">
        <f ca="1">'QMS to GSTT'!H38</f>
        <v>1.2766191676647853</v>
      </c>
    </row>
    <row r="25" spans="1:3" x14ac:dyDescent="0.25">
      <c r="C25" s="402"/>
    </row>
    <row r="26" spans="1:3" x14ac:dyDescent="0.25">
      <c r="C26" s="402"/>
    </row>
    <row r="27" spans="1:3" x14ac:dyDescent="0.25">
      <c r="A27" s="400"/>
      <c r="B27" s="399" t="str">
        <f>'QMS to Dartford'!G40</f>
        <v>Organisation Name</v>
      </c>
      <c r="C27" s="401"/>
    </row>
    <row r="28" spans="1:3" x14ac:dyDescent="0.25">
      <c r="A28" s="400" t="s">
        <v>11</v>
      </c>
      <c r="B28" s="400" t="str">
        <f>'QMS to Dartford'!G41</f>
        <v>DARTFORD AND GRAVESHAM NHS TRUST</v>
      </c>
      <c r="C28" s="401">
        <f ca="1">'QMS to Dartford'!H41</f>
        <v>1.1456038583678312</v>
      </c>
    </row>
    <row r="29" spans="1:3" x14ac:dyDescent="0.25">
      <c r="A29" s="400" t="s">
        <v>552</v>
      </c>
      <c r="B29" s="400" t="str">
        <f>'QMS to Dartford'!G42</f>
        <v>South London Healthcare</v>
      </c>
      <c r="C29" s="401">
        <f ca="1">'QMS to Dartford'!H42</f>
        <v>1.184976805812578</v>
      </c>
    </row>
    <row r="30" spans="1:3" x14ac:dyDescent="0.25">
      <c r="A30" s="400"/>
      <c r="B30" s="399" t="str">
        <f>'QMS to Dartford'!G43</f>
        <v>Combined</v>
      </c>
      <c r="C30" s="398">
        <f ca="1">'QMS to Dartford'!H43</f>
        <v>1.1577267123254336</v>
      </c>
    </row>
  </sheetData>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92D050"/>
  </sheetPr>
  <dimension ref="A1:H51"/>
  <sheetViews>
    <sheetView workbookViewId="0"/>
  </sheetViews>
  <sheetFormatPr defaultRowHeight="15" x14ac:dyDescent="0.25"/>
  <cols>
    <col min="1" max="1" width="9.140625" style="403"/>
    <col min="2" max="2" width="28.5703125" style="403" bestFit="1" customWidth="1"/>
    <col min="3" max="3" width="14.7109375" style="403" bestFit="1" customWidth="1"/>
    <col min="4" max="4" width="14.140625" style="403" bestFit="1" customWidth="1"/>
    <col min="5" max="5" width="14.42578125" style="403" customWidth="1"/>
    <col min="6" max="6" width="16" style="403" customWidth="1"/>
    <col min="7" max="7" width="26" style="403" bestFit="1" customWidth="1"/>
    <col min="8" max="8" width="22.7109375" style="403" bestFit="1" customWidth="1"/>
    <col min="9" max="257" width="9.140625" style="403"/>
    <col min="258" max="258" width="20.85546875" style="403" bestFit="1" customWidth="1"/>
    <col min="259" max="259" width="14.7109375" style="403" bestFit="1" customWidth="1"/>
    <col min="260" max="260" width="14.140625" style="403" bestFit="1" customWidth="1"/>
    <col min="261" max="261" width="14.42578125" style="403" customWidth="1"/>
    <col min="262" max="263" width="16" style="403" customWidth="1"/>
    <col min="264" max="513" width="9.140625" style="403"/>
    <col min="514" max="514" width="20.85546875" style="403" bestFit="1" customWidth="1"/>
    <col min="515" max="515" width="14.7109375" style="403" bestFit="1" customWidth="1"/>
    <col min="516" max="516" width="14.140625" style="403" bestFit="1" customWidth="1"/>
    <col min="517" max="517" width="14.42578125" style="403" customWidth="1"/>
    <col min="518" max="519" width="16" style="403" customWidth="1"/>
    <col min="520" max="769" width="9.140625" style="403"/>
    <col min="770" max="770" width="20.85546875" style="403" bestFit="1" customWidth="1"/>
    <col min="771" max="771" width="14.7109375" style="403" bestFit="1" customWidth="1"/>
    <col min="772" max="772" width="14.140625" style="403" bestFit="1" customWidth="1"/>
    <col min="773" max="773" width="14.42578125" style="403" customWidth="1"/>
    <col min="774" max="775" width="16" style="403" customWidth="1"/>
    <col min="776" max="1025" width="9.140625" style="403"/>
    <col min="1026" max="1026" width="20.85546875" style="403" bestFit="1" customWidth="1"/>
    <col min="1027" max="1027" width="14.7109375" style="403" bestFit="1" customWidth="1"/>
    <col min="1028" max="1028" width="14.140625" style="403" bestFit="1" customWidth="1"/>
    <col min="1029" max="1029" width="14.42578125" style="403" customWidth="1"/>
    <col min="1030" max="1031" width="16" style="403" customWidth="1"/>
    <col min="1032" max="1281" width="9.140625" style="403"/>
    <col min="1282" max="1282" width="20.85546875" style="403" bestFit="1" customWidth="1"/>
    <col min="1283" max="1283" width="14.7109375" style="403" bestFit="1" customWidth="1"/>
    <col min="1284" max="1284" width="14.140625" style="403" bestFit="1" customWidth="1"/>
    <col min="1285" max="1285" width="14.42578125" style="403" customWidth="1"/>
    <col min="1286" max="1287" width="16" style="403" customWidth="1"/>
    <col min="1288" max="1537" width="9.140625" style="403"/>
    <col min="1538" max="1538" width="20.85546875" style="403" bestFit="1" customWidth="1"/>
    <col min="1539" max="1539" width="14.7109375" style="403" bestFit="1" customWidth="1"/>
    <col min="1540" max="1540" width="14.140625" style="403" bestFit="1" customWidth="1"/>
    <col min="1541" max="1541" width="14.42578125" style="403" customWidth="1"/>
    <col min="1542" max="1543" width="16" style="403" customWidth="1"/>
    <col min="1544" max="1793" width="9.140625" style="403"/>
    <col min="1794" max="1794" width="20.85546875" style="403" bestFit="1" customWidth="1"/>
    <col min="1795" max="1795" width="14.7109375" style="403" bestFit="1" customWidth="1"/>
    <col min="1796" max="1796" width="14.140625" style="403" bestFit="1" customWidth="1"/>
    <col min="1797" max="1797" width="14.42578125" style="403" customWidth="1"/>
    <col min="1798" max="1799" width="16" style="403" customWidth="1"/>
    <col min="1800" max="2049" width="9.140625" style="403"/>
    <col min="2050" max="2050" width="20.85546875" style="403" bestFit="1" customWidth="1"/>
    <col min="2051" max="2051" width="14.7109375" style="403" bestFit="1" customWidth="1"/>
    <col min="2052" max="2052" width="14.140625" style="403" bestFit="1" customWidth="1"/>
    <col min="2053" max="2053" width="14.42578125" style="403" customWidth="1"/>
    <col min="2054" max="2055" width="16" style="403" customWidth="1"/>
    <col min="2056" max="2305" width="9.140625" style="403"/>
    <col min="2306" max="2306" width="20.85546875" style="403" bestFit="1" customWidth="1"/>
    <col min="2307" max="2307" width="14.7109375" style="403" bestFit="1" customWidth="1"/>
    <col min="2308" max="2308" width="14.140625" style="403" bestFit="1" customWidth="1"/>
    <col min="2309" max="2309" width="14.42578125" style="403" customWidth="1"/>
    <col min="2310" max="2311" width="16" style="403" customWidth="1"/>
    <col min="2312" max="2561" width="9.140625" style="403"/>
    <col min="2562" max="2562" width="20.85546875" style="403" bestFit="1" customWidth="1"/>
    <col min="2563" max="2563" width="14.7109375" style="403" bestFit="1" customWidth="1"/>
    <col min="2564" max="2564" width="14.140625" style="403" bestFit="1" customWidth="1"/>
    <col min="2565" max="2565" width="14.42578125" style="403" customWidth="1"/>
    <col min="2566" max="2567" width="16" style="403" customWidth="1"/>
    <col min="2568" max="2817" width="9.140625" style="403"/>
    <col min="2818" max="2818" width="20.85546875" style="403" bestFit="1" customWidth="1"/>
    <col min="2819" max="2819" width="14.7109375" style="403" bestFit="1" customWidth="1"/>
    <col min="2820" max="2820" width="14.140625" style="403" bestFit="1" customWidth="1"/>
    <col min="2821" max="2821" width="14.42578125" style="403" customWidth="1"/>
    <col min="2822" max="2823" width="16" style="403" customWidth="1"/>
    <col min="2824" max="3073" width="9.140625" style="403"/>
    <col min="3074" max="3074" width="20.85546875" style="403" bestFit="1" customWidth="1"/>
    <col min="3075" max="3075" width="14.7109375" style="403" bestFit="1" customWidth="1"/>
    <col min="3076" max="3076" width="14.140625" style="403" bestFit="1" customWidth="1"/>
    <col min="3077" max="3077" width="14.42578125" style="403" customWidth="1"/>
    <col min="3078" max="3079" width="16" style="403" customWidth="1"/>
    <col min="3080" max="3329" width="9.140625" style="403"/>
    <col min="3330" max="3330" width="20.85546875" style="403" bestFit="1" customWidth="1"/>
    <col min="3331" max="3331" width="14.7109375" style="403" bestFit="1" customWidth="1"/>
    <col min="3332" max="3332" width="14.140625" style="403" bestFit="1" customWidth="1"/>
    <col min="3333" max="3333" width="14.42578125" style="403" customWidth="1"/>
    <col min="3334" max="3335" width="16" style="403" customWidth="1"/>
    <col min="3336" max="3585" width="9.140625" style="403"/>
    <col min="3586" max="3586" width="20.85546875" style="403" bestFit="1" customWidth="1"/>
    <col min="3587" max="3587" width="14.7109375" style="403" bestFit="1" customWidth="1"/>
    <col min="3588" max="3588" width="14.140625" style="403" bestFit="1" customWidth="1"/>
    <col min="3589" max="3589" width="14.42578125" style="403" customWidth="1"/>
    <col min="3590" max="3591" width="16" style="403" customWidth="1"/>
    <col min="3592" max="3841" width="9.140625" style="403"/>
    <col min="3842" max="3842" width="20.85546875" style="403" bestFit="1" customWidth="1"/>
    <col min="3843" max="3843" width="14.7109375" style="403" bestFit="1" customWidth="1"/>
    <col min="3844" max="3844" width="14.140625" style="403" bestFit="1" customWidth="1"/>
    <col min="3845" max="3845" width="14.42578125" style="403" customWidth="1"/>
    <col min="3846" max="3847" width="16" style="403" customWidth="1"/>
    <col min="3848" max="4097" width="9.140625" style="403"/>
    <col min="4098" max="4098" width="20.85546875" style="403" bestFit="1" customWidth="1"/>
    <col min="4099" max="4099" width="14.7109375" style="403" bestFit="1" customWidth="1"/>
    <col min="4100" max="4100" width="14.140625" style="403" bestFit="1" customWidth="1"/>
    <col min="4101" max="4101" width="14.42578125" style="403" customWidth="1"/>
    <col min="4102" max="4103" width="16" style="403" customWidth="1"/>
    <col min="4104" max="4353" width="9.140625" style="403"/>
    <col min="4354" max="4354" width="20.85546875" style="403" bestFit="1" customWidth="1"/>
    <col min="4355" max="4355" width="14.7109375" style="403" bestFit="1" customWidth="1"/>
    <col min="4356" max="4356" width="14.140625" style="403" bestFit="1" customWidth="1"/>
    <col min="4357" max="4357" width="14.42578125" style="403" customWidth="1"/>
    <col min="4358" max="4359" width="16" style="403" customWidth="1"/>
    <col min="4360" max="4609" width="9.140625" style="403"/>
    <col min="4610" max="4610" width="20.85546875" style="403" bestFit="1" customWidth="1"/>
    <col min="4611" max="4611" width="14.7109375" style="403" bestFit="1" customWidth="1"/>
    <col min="4612" max="4612" width="14.140625" style="403" bestFit="1" customWidth="1"/>
    <col min="4613" max="4613" width="14.42578125" style="403" customWidth="1"/>
    <col min="4614" max="4615" width="16" style="403" customWidth="1"/>
    <col min="4616" max="4865" width="9.140625" style="403"/>
    <col min="4866" max="4866" width="20.85546875" style="403" bestFit="1" customWidth="1"/>
    <col min="4867" max="4867" width="14.7109375" style="403" bestFit="1" customWidth="1"/>
    <col min="4868" max="4868" width="14.140625" style="403" bestFit="1" customWidth="1"/>
    <col min="4869" max="4869" width="14.42578125" style="403" customWidth="1"/>
    <col min="4870" max="4871" width="16" style="403" customWidth="1"/>
    <col min="4872" max="5121" width="9.140625" style="403"/>
    <col min="5122" max="5122" width="20.85546875" style="403" bestFit="1" customWidth="1"/>
    <col min="5123" max="5123" width="14.7109375" style="403" bestFit="1" customWidth="1"/>
    <col min="5124" max="5124" width="14.140625" style="403" bestFit="1" customWidth="1"/>
    <col min="5125" max="5125" width="14.42578125" style="403" customWidth="1"/>
    <col min="5126" max="5127" width="16" style="403" customWidth="1"/>
    <col min="5128" max="5377" width="9.140625" style="403"/>
    <col min="5378" max="5378" width="20.85546875" style="403" bestFit="1" customWidth="1"/>
    <col min="5379" max="5379" width="14.7109375" style="403" bestFit="1" customWidth="1"/>
    <col min="5380" max="5380" width="14.140625" style="403" bestFit="1" customWidth="1"/>
    <col min="5381" max="5381" width="14.42578125" style="403" customWidth="1"/>
    <col min="5382" max="5383" width="16" style="403" customWidth="1"/>
    <col min="5384" max="5633" width="9.140625" style="403"/>
    <col min="5634" max="5634" width="20.85546875" style="403" bestFit="1" customWidth="1"/>
    <col min="5635" max="5635" width="14.7109375" style="403" bestFit="1" customWidth="1"/>
    <col min="5636" max="5636" width="14.140625" style="403" bestFit="1" customWidth="1"/>
    <col min="5637" max="5637" width="14.42578125" style="403" customWidth="1"/>
    <col min="5638" max="5639" width="16" style="403" customWidth="1"/>
    <col min="5640" max="5889" width="9.140625" style="403"/>
    <col min="5890" max="5890" width="20.85546875" style="403" bestFit="1" customWidth="1"/>
    <col min="5891" max="5891" width="14.7109375" style="403" bestFit="1" customWidth="1"/>
    <col min="5892" max="5892" width="14.140625" style="403" bestFit="1" customWidth="1"/>
    <col min="5893" max="5893" width="14.42578125" style="403" customWidth="1"/>
    <col min="5894" max="5895" width="16" style="403" customWidth="1"/>
    <col min="5896" max="6145" width="9.140625" style="403"/>
    <col min="6146" max="6146" width="20.85546875" style="403" bestFit="1" customWidth="1"/>
    <col min="6147" max="6147" width="14.7109375" style="403" bestFit="1" customWidth="1"/>
    <col min="6148" max="6148" width="14.140625" style="403" bestFit="1" customWidth="1"/>
    <col min="6149" max="6149" width="14.42578125" style="403" customWidth="1"/>
    <col min="6150" max="6151" width="16" style="403" customWidth="1"/>
    <col min="6152" max="6401" width="9.140625" style="403"/>
    <col min="6402" max="6402" width="20.85546875" style="403" bestFit="1" customWidth="1"/>
    <col min="6403" max="6403" width="14.7109375" style="403" bestFit="1" customWidth="1"/>
    <col min="6404" max="6404" width="14.140625" style="403" bestFit="1" customWidth="1"/>
    <col min="6405" max="6405" width="14.42578125" style="403" customWidth="1"/>
    <col min="6406" max="6407" width="16" style="403" customWidth="1"/>
    <col min="6408" max="6657" width="9.140625" style="403"/>
    <col min="6658" max="6658" width="20.85546875" style="403" bestFit="1" customWidth="1"/>
    <col min="6659" max="6659" width="14.7109375" style="403" bestFit="1" customWidth="1"/>
    <col min="6660" max="6660" width="14.140625" style="403" bestFit="1" customWidth="1"/>
    <col min="6661" max="6661" width="14.42578125" style="403" customWidth="1"/>
    <col min="6662" max="6663" width="16" style="403" customWidth="1"/>
    <col min="6664" max="6913" width="9.140625" style="403"/>
    <col min="6914" max="6914" width="20.85546875" style="403" bestFit="1" customWidth="1"/>
    <col min="6915" max="6915" width="14.7109375" style="403" bestFit="1" customWidth="1"/>
    <col min="6916" max="6916" width="14.140625" style="403" bestFit="1" customWidth="1"/>
    <col min="6917" max="6917" width="14.42578125" style="403" customWidth="1"/>
    <col min="6918" max="6919" width="16" style="403" customWidth="1"/>
    <col min="6920" max="7169" width="9.140625" style="403"/>
    <col min="7170" max="7170" width="20.85546875" style="403" bestFit="1" customWidth="1"/>
    <col min="7171" max="7171" width="14.7109375" style="403" bestFit="1" customWidth="1"/>
    <col min="7172" max="7172" width="14.140625" style="403" bestFit="1" customWidth="1"/>
    <col min="7173" max="7173" width="14.42578125" style="403" customWidth="1"/>
    <col min="7174" max="7175" width="16" style="403" customWidth="1"/>
    <col min="7176" max="7425" width="9.140625" style="403"/>
    <col min="7426" max="7426" width="20.85546875" style="403" bestFit="1" customWidth="1"/>
    <col min="7427" max="7427" width="14.7109375" style="403" bestFit="1" customWidth="1"/>
    <col min="7428" max="7428" width="14.140625" style="403" bestFit="1" customWidth="1"/>
    <col min="7429" max="7429" width="14.42578125" style="403" customWidth="1"/>
    <col min="7430" max="7431" width="16" style="403" customWidth="1"/>
    <col min="7432" max="7681" width="9.140625" style="403"/>
    <col min="7682" max="7682" width="20.85546875" style="403" bestFit="1" customWidth="1"/>
    <col min="7683" max="7683" width="14.7109375" style="403" bestFit="1" customWidth="1"/>
    <col min="7684" max="7684" width="14.140625" style="403" bestFit="1" customWidth="1"/>
    <col min="7685" max="7685" width="14.42578125" style="403" customWidth="1"/>
    <col min="7686" max="7687" width="16" style="403" customWidth="1"/>
    <col min="7688" max="7937" width="9.140625" style="403"/>
    <col min="7938" max="7938" width="20.85546875" style="403" bestFit="1" customWidth="1"/>
    <col min="7939" max="7939" width="14.7109375" style="403" bestFit="1" customWidth="1"/>
    <col min="7940" max="7940" width="14.140625" style="403" bestFit="1" customWidth="1"/>
    <col min="7941" max="7941" width="14.42578125" style="403" customWidth="1"/>
    <col min="7942" max="7943" width="16" style="403" customWidth="1"/>
    <col min="7944" max="8193" width="9.140625" style="403"/>
    <col min="8194" max="8194" width="20.85546875" style="403" bestFit="1" customWidth="1"/>
    <col min="8195" max="8195" width="14.7109375" style="403" bestFit="1" customWidth="1"/>
    <col min="8196" max="8196" width="14.140625" style="403" bestFit="1" customWidth="1"/>
    <col min="8197" max="8197" width="14.42578125" style="403" customWidth="1"/>
    <col min="8198" max="8199" width="16" style="403" customWidth="1"/>
    <col min="8200" max="8449" width="9.140625" style="403"/>
    <col min="8450" max="8450" width="20.85546875" style="403" bestFit="1" customWidth="1"/>
    <col min="8451" max="8451" width="14.7109375" style="403" bestFit="1" customWidth="1"/>
    <col min="8452" max="8452" width="14.140625" style="403" bestFit="1" customWidth="1"/>
    <col min="8453" max="8453" width="14.42578125" style="403" customWidth="1"/>
    <col min="8454" max="8455" width="16" style="403" customWidth="1"/>
    <col min="8456" max="8705" width="9.140625" style="403"/>
    <col min="8706" max="8706" width="20.85546875" style="403" bestFit="1" customWidth="1"/>
    <col min="8707" max="8707" width="14.7109375" style="403" bestFit="1" customWidth="1"/>
    <col min="8708" max="8708" width="14.140625" style="403" bestFit="1" customWidth="1"/>
    <col min="8709" max="8709" width="14.42578125" style="403" customWidth="1"/>
    <col min="8710" max="8711" width="16" style="403" customWidth="1"/>
    <col min="8712" max="8961" width="9.140625" style="403"/>
    <col min="8962" max="8962" width="20.85546875" style="403" bestFit="1" customWidth="1"/>
    <col min="8963" max="8963" width="14.7109375" style="403" bestFit="1" customWidth="1"/>
    <col min="8964" max="8964" width="14.140625" style="403" bestFit="1" customWidth="1"/>
    <col min="8965" max="8965" width="14.42578125" style="403" customWidth="1"/>
    <col min="8966" max="8967" width="16" style="403" customWidth="1"/>
    <col min="8968" max="9217" width="9.140625" style="403"/>
    <col min="9218" max="9218" width="20.85546875" style="403" bestFit="1" customWidth="1"/>
    <col min="9219" max="9219" width="14.7109375" style="403" bestFit="1" customWidth="1"/>
    <col min="9220" max="9220" width="14.140625" style="403" bestFit="1" customWidth="1"/>
    <col min="9221" max="9221" width="14.42578125" style="403" customWidth="1"/>
    <col min="9222" max="9223" width="16" style="403" customWidth="1"/>
    <col min="9224" max="9473" width="9.140625" style="403"/>
    <col min="9474" max="9474" width="20.85546875" style="403" bestFit="1" customWidth="1"/>
    <col min="9475" max="9475" width="14.7109375" style="403" bestFit="1" customWidth="1"/>
    <col min="9476" max="9476" width="14.140625" style="403" bestFit="1" customWidth="1"/>
    <col min="9477" max="9477" width="14.42578125" style="403" customWidth="1"/>
    <col min="9478" max="9479" width="16" style="403" customWidth="1"/>
    <col min="9480" max="9729" width="9.140625" style="403"/>
    <col min="9730" max="9730" width="20.85546875" style="403" bestFit="1" customWidth="1"/>
    <col min="9731" max="9731" width="14.7109375" style="403" bestFit="1" customWidth="1"/>
    <col min="9732" max="9732" width="14.140625" style="403" bestFit="1" customWidth="1"/>
    <col min="9733" max="9733" width="14.42578125" style="403" customWidth="1"/>
    <col min="9734" max="9735" width="16" style="403" customWidth="1"/>
    <col min="9736" max="9985" width="9.140625" style="403"/>
    <col min="9986" max="9986" width="20.85546875" style="403" bestFit="1" customWidth="1"/>
    <col min="9987" max="9987" width="14.7109375" style="403" bestFit="1" customWidth="1"/>
    <col min="9988" max="9988" width="14.140625" style="403" bestFit="1" customWidth="1"/>
    <col min="9989" max="9989" width="14.42578125" style="403" customWidth="1"/>
    <col min="9990" max="9991" width="16" style="403" customWidth="1"/>
    <col min="9992" max="10241" width="9.140625" style="403"/>
    <col min="10242" max="10242" width="20.85546875" style="403" bestFit="1" customWidth="1"/>
    <col min="10243" max="10243" width="14.7109375" style="403" bestFit="1" customWidth="1"/>
    <col min="10244" max="10244" width="14.140625" style="403" bestFit="1" customWidth="1"/>
    <col min="10245" max="10245" width="14.42578125" style="403" customWidth="1"/>
    <col min="10246" max="10247" width="16" style="403" customWidth="1"/>
    <col min="10248" max="10497" width="9.140625" style="403"/>
    <col min="10498" max="10498" width="20.85546875" style="403" bestFit="1" customWidth="1"/>
    <col min="10499" max="10499" width="14.7109375" style="403" bestFit="1" customWidth="1"/>
    <col min="10500" max="10500" width="14.140625" style="403" bestFit="1" customWidth="1"/>
    <col min="10501" max="10501" width="14.42578125" style="403" customWidth="1"/>
    <col min="10502" max="10503" width="16" style="403" customWidth="1"/>
    <col min="10504" max="10753" width="9.140625" style="403"/>
    <col min="10754" max="10754" width="20.85546875" style="403" bestFit="1" customWidth="1"/>
    <col min="10755" max="10755" width="14.7109375" style="403" bestFit="1" customWidth="1"/>
    <col min="10756" max="10756" width="14.140625" style="403" bestFit="1" customWidth="1"/>
    <col min="10757" max="10757" width="14.42578125" style="403" customWidth="1"/>
    <col min="10758" max="10759" width="16" style="403" customWidth="1"/>
    <col min="10760" max="11009" width="9.140625" style="403"/>
    <col min="11010" max="11010" width="20.85546875" style="403" bestFit="1" customWidth="1"/>
    <col min="11011" max="11011" width="14.7109375" style="403" bestFit="1" customWidth="1"/>
    <col min="11012" max="11012" width="14.140625" style="403" bestFit="1" customWidth="1"/>
    <col min="11013" max="11013" width="14.42578125" style="403" customWidth="1"/>
    <col min="11014" max="11015" width="16" style="403" customWidth="1"/>
    <col min="11016" max="11265" width="9.140625" style="403"/>
    <col min="11266" max="11266" width="20.85546875" style="403" bestFit="1" customWidth="1"/>
    <col min="11267" max="11267" width="14.7109375" style="403" bestFit="1" customWidth="1"/>
    <col min="11268" max="11268" width="14.140625" style="403" bestFit="1" customWidth="1"/>
    <col min="11269" max="11269" width="14.42578125" style="403" customWidth="1"/>
    <col min="11270" max="11271" width="16" style="403" customWidth="1"/>
    <col min="11272" max="11521" width="9.140625" style="403"/>
    <col min="11522" max="11522" width="20.85546875" style="403" bestFit="1" customWidth="1"/>
    <col min="11523" max="11523" width="14.7109375" style="403" bestFit="1" customWidth="1"/>
    <col min="11524" max="11524" width="14.140625" style="403" bestFit="1" customWidth="1"/>
    <col min="11525" max="11525" width="14.42578125" style="403" customWidth="1"/>
    <col min="11526" max="11527" width="16" style="403" customWidth="1"/>
    <col min="11528" max="11777" width="9.140625" style="403"/>
    <col min="11778" max="11778" width="20.85546875" style="403" bestFit="1" customWidth="1"/>
    <col min="11779" max="11779" width="14.7109375" style="403" bestFit="1" customWidth="1"/>
    <col min="11780" max="11780" width="14.140625" style="403" bestFit="1" customWidth="1"/>
    <col min="11781" max="11781" width="14.42578125" style="403" customWidth="1"/>
    <col min="11782" max="11783" width="16" style="403" customWidth="1"/>
    <col min="11784" max="12033" width="9.140625" style="403"/>
    <col min="12034" max="12034" width="20.85546875" style="403" bestFit="1" customWidth="1"/>
    <col min="12035" max="12035" width="14.7109375" style="403" bestFit="1" customWidth="1"/>
    <col min="12036" max="12036" width="14.140625" style="403" bestFit="1" customWidth="1"/>
    <col min="12037" max="12037" width="14.42578125" style="403" customWidth="1"/>
    <col min="12038" max="12039" width="16" style="403" customWidth="1"/>
    <col min="12040" max="12289" width="9.140625" style="403"/>
    <col min="12290" max="12290" width="20.85546875" style="403" bestFit="1" customWidth="1"/>
    <col min="12291" max="12291" width="14.7109375" style="403" bestFit="1" customWidth="1"/>
    <col min="12292" max="12292" width="14.140625" style="403" bestFit="1" customWidth="1"/>
    <col min="12293" max="12293" width="14.42578125" style="403" customWidth="1"/>
    <col min="12294" max="12295" width="16" style="403" customWidth="1"/>
    <col min="12296" max="12545" width="9.140625" style="403"/>
    <col min="12546" max="12546" width="20.85546875" style="403" bestFit="1" customWidth="1"/>
    <col min="12547" max="12547" width="14.7109375" style="403" bestFit="1" customWidth="1"/>
    <col min="12548" max="12548" width="14.140625" style="403" bestFit="1" customWidth="1"/>
    <col min="12549" max="12549" width="14.42578125" style="403" customWidth="1"/>
    <col min="12550" max="12551" width="16" style="403" customWidth="1"/>
    <col min="12552" max="12801" width="9.140625" style="403"/>
    <col min="12802" max="12802" width="20.85546875" style="403" bestFit="1" customWidth="1"/>
    <col min="12803" max="12803" width="14.7109375" style="403" bestFit="1" customWidth="1"/>
    <col min="12804" max="12804" width="14.140625" style="403" bestFit="1" customWidth="1"/>
    <col min="12805" max="12805" width="14.42578125" style="403" customWidth="1"/>
    <col min="12806" max="12807" width="16" style="403" customWidth="1"/>
    <col min="12808" max="13057" width="9.140625" style="403"/>
    <col min="13058" max="13058" width="20.85546875" style="403" bestFit="1" customWidth="1"/>
    <col min="13059" max="13059" width="14.7109375" style="403" bestFit="1" customWidth="1"/>
    <col min="13060" max="13060" width="14.140625" style="403" bestFit="1" customWidth="1"/>
    <col min="13061" max="13061" width="14.42578125" style="403" customWidth="1"/>
    <col min="13062" max="13063" width="16" style="403" customWidth="1"/>
    <col min="13064" max="13313" width="9.140625" style="403"/>
    <col min="13314" max="13314" width="20.85546875" style="403" bestFit="1" customWidth="1"/>
    <col min="13315" max="13315" width="14.7109375" style="403" bestFit="1" customWidth="1"/>
    <col min="13316" max="13316" width="14.140625" style="403" bestFit="1" customWidth="1"/>
    <col min="13317" max="13317" width="14.42578125" style="403" customWidth="1"/>
    <col min="13318" max="13319" width="16" style="403" customWidth="1"/>
    <col min="13320" max="13569" width="9.140625" style="403"/>
    <col min="13570" max="13570" width="20.85546875" style="403" bestFit="1" customWidth="1"/>
    <col min="13571" max="13571" width="14.7109375" style="403" bestFit="1" customWidth="1"/>
    <col min="13572" max="13572" width="14.140625" style="403" bestFit="1" customWidth="1"/>
    <col min="13573" max="13573" width="14.42578125" style="403" customWidth="1"/>
    <col min="13574" max="13575" width="16" style="403" customWidth="1"/>
    <col min="13576" max="13825" width="9.140625" style="403"/>
    <col min="13826" max="13826" width="20.85546875" style="403" bestFit="1" customWidth="1"/>
    <col min="13827" max="13827" width="14.7109375" style="403" bestFit="1" customWidth="1"/>
    <col min="13828" max="13828" width="14.140625" style="403" bestFit="1" customWidth="1"/>
    <col min="13829" max="13829" width="14.42578125" style="403" customWidth="1"/>
    <col min="13830" max="13831" width="16" style="403" customWidth="1"/>
    <col min="13832" max="14081" width="9.140625" style="403"/>
    <col min="14082" max="14082" width="20.85546875" style="403" bestFit="1" customWidth="1"/>
    <col min="14083" max="14083" width="14.7109375" style="403" bestFit="1" customWidth="1"/>
    <col min="14084" max="14084" width="14.140625" style="403" bestFit="1" customWidth="1"/>
    <col min="14085" max="14085" width="14.42578125" style="403" customWidth="1"/>
    <col min="14086" max="14087" width="16" style="403" customWidth="1"/>
    <col min="14088" max="14337" width="9.140625" style="403"/>
    <col min="14338" max="14338" width="20.85546875" style="403" bestFit="1" customWidth="1"/>
    <col min="14339" max="14339" width="14.7109375" style="403" bestFit="1" customWidth="1"/>
    <col min="14340" max="14340" width="14.140625" style="403" bestFit="1" customWidth="1"/>
    <col min="14341" max="14341" width="14.42578125" style="403" customWidth="1"/>
    <col min="14342" max="14343" width="16" style="403" customWidth="1"/>
    <col min="14344" max="14593" width="9.140625" style="403"/>
    <col min="14594" max="14594" width="20.85546875" style="403" bestFit="1" customWidth="1"/>
    <col min="14595" max="14595" width="14.7109375" style="403" bestFit="1" customWidth="1"/>
    <col min="14596" max="14596" width="14.140625" style="403" bestFit="1" customWidth="1"/>
    <col min="14597" max="14597" width="14.42578125" style="403" customWidth="1"/>
    <col min="14598" max="14599" width="16" style="403" customWidth="1"/>
    <col min="14600" max="14849" width="9.140625" style="403"/>
    <col min="14850" max="14850" width="20.85546875" style="403" bestFit="1" customWidth="1"/>
    <col min="14851" max="14851" width="14.7109375" style="403" bestFit="1" customWidth="1"/>
    <col min="14852" max="14852" width="14.140625" style="403" bestFit="1" customWidth="1"/>
    <col min="14853" max="14853" width="14.42578125" style="403" customWidth="1"/>
    <col min="14854" max="14855" width="16" style="403" customWidth="1"/>
    <col min="14856" max="15105" width="9.140625" style="403"/>
    <col min="15106" max="15106" width="20.85546875" style="403" bestFit="1" customWidth="1"/>
    <col min="15107" max="15107" width="14.7109375" style="403" bestFit="1" customWidth="1"/>
    <col min="15108" max="15108" width="14.140625" style="403" bestFit="1" customWidth="1"/>
    <col min="15109" max="15109" width="14.42578125" style="403" customWidth="1"/>
    <col min="15110" max="15111" width="16" style="403" customWidth="1"/>
    <col min="15112" max="15361" width="9.140625" style="403"/>
    <col min="15362" max="15362" width="20.85546875" style="403" bestFit="1" customWidth="1"/>
    <col min="15363" max="15363" width="14.7109375" style="403" bestFit="1" customWidth="1"/>
    <col min="15364" max="15364" width="14.140625" style="403" bestFit="1" customWidth="1"/>
    <col min="15365" max="15365" width="14.42578125" style="403" customWidth="1"/>
    <col min="15366" max="15367" width="16" style="403" customWidth="1"/>
    <col min="15368" max="15617" width="9.140625" style="403"/>
    <col min="15618" max="15618" width="20.85546875" style="403" bestFit="1" customWidth="1"/>
    <col min="15619" max="15619" width="14.7109375" style="403" bestFit="1" customWidth="1"/>
    <col min="15620" max="15620" width="14.140625" style="403" bestFit="1" customWidth="1"/>
    <col min="15621" max="15621" width="14.42578125" style="403" customWidth="1"/>
    <col min="15622" max="15623" width="16" style="403" customWidth="1"/>
    <col min="15624" max="15873" width="9.140625" style="403"/>
    <col min="15874" max="15874" width="20.85546875" style="403" bestFit="1" customWidth="1"/>
    <col min="15875" max="15875" width="14.7109375" style="403" bestFit="1" customWidth="1"/>
    <col min="15876" max="15876" width="14.140625" style="403" bestFit="1" customWidth="1"/>
    <col min="15877" max="15877" width="14.42578125" style="403" customWidth="1"/>
    <col min="15878" max="15879" width="16" style="403" customWidth="1"/>
    <col min="15880" max="16129" width="9.140625" style="403"/>
    <col min="16130" max="16130" width="20.85546875" style="403" bestFit="1" customWidth="1"/>
    <col min="16131" max="16131" width="14.7109375" style="403" bestFit="1" customWidth="1"/>
    <col min="16132" max="16132" width="14.140625" style="403" bestFit="1" customWidth="1"/>
    <col min="16133" max="16133" width="14.42578125" style="403" customWidth="1"/>
    <col min="16134" max="16135" width="16" style="403" customWidth="1"/>
    <col min="16136" max="16384" width="9.140625" style="403"/>
  </cols>
  <sheetData>
    <row r="1" spans="1:7" x14ac:dyDescent="0.25">
      <c r="A1" s="427"/>
      <c r="B1" s="427" t="s">
        <v>3957</v>
      </c>
      <c r="C1" s="427"/>
      <c r="D1" s="403" t="s">
        <v>4186</v>
      </c>
      <c r="F1" s="431">
        <v>0</v>
      </c>
    </row>
    <row r="3" spans="1:7" ht="26.25" x14ac:dyDescent="0.25">
      <c r="A3" s="430" t="s">
        <v>3573</v>
      </c>
      <c r="B3" s="430" t="s">
        <v>2757</v>
      </c>
      <c r="C3" s="430" t="s">
        <v>2756</v>
      </c>
      <c r="D3" s="430" t="s">
        <v>3945</v>
      </c>
      <c r="E3" s="430" t="s">
        <v>2762</v>
      </c>
      <c r="F3" s="430" t="s">
        <v>2766</v>
      </c>
      <c r="G3" s="430" t="s">
        <v>2767</v>
      </c>
    </row>
    <row r="4" spans="1:7" x14ac:dyDescent="0.25">
      <c r="A4" s="405" t="s">
        <v>3688</v>
      </c>
      <c r="B4" s="405" t="s">
        <v>3134</v>
      </c>
      <c r="C4" s="405" t="s">
        <v>3133</v>
      </c>
      <c r="D4" s="405">
        <f>SUMIFS('Buildings data'!$I:$I,'Buildings data'!$B:$B,$A4,'Buildings data'!$D:$D,$C4)</f>
        <v>40</v>
      </c>
      <c r="E4" s="413">
        <f t="shared" ref="E4:E11" si="0">D4/$D$12</f>
        <v>8.0645161290322578E-2</v>
      </c>
      <c r="F4" s="424">
        <f>SUMIFS('Staff data'!$N:$N,'Staff data'!$B:$B,$A4,'Staff data'!$D:$D,$C4)</f>
        <v>1.1596485756956247</v>
      </c>
      <c r="G4" s="424">
        <f>F4*E4</f>
        <v>9.3520046427066503E-2</v>
      </c>
    </row>
    <row r="5" spans="1:7" x14ac:dyDescent="0.25">
      <c r="A5" s="405" t="s">
        <v>3688</v>
      </c>
      <c r="B5" s="405" t="s">
        <v>3136</v>
      </c>
      <c r="C5" s="405" t="s">
        <v>3135</v>
      </c>
      <c r="D5" s="405">
        <f>SUMIFS('Buildings data'!$I:$I,'Buildings data'!$B:$B,$A5,'Buildings data'!$D:$D,$C5)</f>
        <v>45</v>
      </c>
      <c r="E5" s="413">
        <f t="shared" si="0"/>
        <v>9.0725806451612906E-2</v>
      </c>
      <c r="F5" s="424">
        <f>SUMIFS('Staff data'!$N:$N,'Staff data'!$B:$B,$A5,'Staff data'!$D:$D,$C5)</f>
        <v>1.1704789821137578</v>
      </c>
      <c r="G5" s="424">
        <f t="shared" ref="G5:G11" si="1">F5*E5</f>
        <v>0.10619264958693367</v>
      </c>
    </row>
    <row r="6" spans="1:7" x14ac:dyDescent="0.25">
      <c r="A6" s="405" t="s">
        <v>3688</v>
      </c>
      <c r="B6" s="405" t="s">
        <v>729</v>
      </c>
      <c r="C6" s="405" t="s">
        <v>728</v>
      </c>
      <c r="D6" s="405">
        <f>SUMIFS('Buildings data'!$I:$I,'Buildings data'!$B:$B,$A6,'Buildings data'!$D:$D,$C6)</f>
        <v>64</v>
      </c>
      <c r="E6" s="413">
        <f t="shared" si="0"/>
        <v>0.12903225806451613</v>
      </c>
      <c r="F6" s="424">
        <f>SUMIFS('Staff data'!$N:$N,'Staff data'!$B:$B,$A6,'Staff data'!$D:$D,$C6)</f>
        <v>1.1305195954537126</v>
      </c>
      <c r="G6" s="424">
        <f t="shared" si="1"/>
        <v>0.14587349618757581</v>
      </c>
    </row>
    <row r="7" spans="1:7" x14ac:dyDescent="0.25">
      <c r="A7" s="405" t="s">
        <v>3688</v>
      </c>
      <c r="B7" s="405" t="s">
        <v>3138</v>
      </c>
      <c r="C7" s="405" t="s">
        <v>3137</v>
      </c>
      <c r="D7" s="405">
        <f>SUMIFS('Buildings data'!$I:$I,'Buildings data'!$B:$B,$A7,'Buildings data'!$D:$D,$C7)</f>
        <v>71</v>
      </c>
      <c r="E7" s="413">
        <f t="shared" si="0"/>
        <v>0.14314516129032259</v>
      </c>
      <c r="F7" s="424">
        <f>SUMIFS('Staff data'!$N:$N,'Staff data'!$B:$B,$A7,'Staff data'!$D:$D,$C7)</f>
        <v>1.1570720977859192</v>
      </c>
      <c r="G7" s="424">
        <f t="shared" si="1"/>
        <v>0.16562927206209732</v>
      </c>
    </row>
    <row r="8" spans="1:7" x14ac:dyDescent="0.25">
      <c r="A8" s="405" t="s">
        <v>3688</v>
      </c>
      <c r="B8" s="405" t="s">
        <v>3140</v>
      </c>
      <c r="C8" s="405" t="s">
        <v>3139</v>
      </c>
      <c r="D8" s="405">
        <f>SUMIFS('Buildings data'!$I:$I,'Buildings data'!$B:$B,$A8,'Buildings data'!$D:$D,$C8)</f>
        <v>84</v>
      </c>
      <c r="E8" s="413">
        <f t="shared" si="0"/>
        <v>0.16935483870967741</v>
      </c>
      <c r="F8" s="424">
        <f>SUMIFS('Staff data'!$N:$N,'Staff data'!$B:$B,$A8,'Staff data'!$D:$D,$C8)</f>
        <v>1.1401525388215907</v>
      </c>
      <c r="G8" s="424">
        <f t="shared" si="1"/>
        <v>0.19309034931655972</v>
      </c>
    </row>
    <row r="9" spans="1:7" x14ac:dyDescent="0.25">
      <c r="A9" s="405" t="s">
        <v>3688</v>
      </c>
      <c r="B9" s="405" t="s">
        <v>3142</v>
      </c>
      <c r="C9" s="405" t="s">
        <v>3141</v>
      </c>
      <c r="D9" s="405">
        <f>SUMIFS('Buildings data'!$I:$I,'Buildings data'!$B:$B,$A9,'Buildings data'!$D:$D,$C9)</f>
        <v>93</v>
      </c>
      <c r="E9" s="413">
        <f t="shared" si="0"/>
        <v>0.1875</v>
      </c>
      <c r="F9" s="424">
        <f>SUMIFS('Staff data'!$N:$N,'Staff data'!$B:$B,$A9,'Staff data'!$D:$D,$C9)</f>
        <v>1.1574670571616463</v>
      </c>
      <c r="G9" s="424">
        <f t="shared" si="1"/>
        <v>0.21702507321780867</v>
      </c>
    </row>
    <row r="10" spans="1:7" x14ac:dyDescent="0.25">
      <c r="A10" s="405" t="s">
        <v>3688</v>
      </c>
      <c r="B10" s="405" t="s">
        <v>3144</v>
      </c>
      <c r="C10" s="405" t="s">
        <v>3143</v>
      </c>
      <c r="D10" s="405">
        <f>SUMIFS('Buildings data'!$I:$I,'Buildings data'!$B:$B,$A10,'Buildings data'!$D:$D,$C10)</f>
        <v>99</v>
      </c>
      <c r="E10" s="413">
        <f t="shared" si="0"/>
        <v>0.19959677419354838</v>
      </c>
      <c r="F10" s="424">
        <f>SUMIFS('Staff data'!$N:$N,'Staff data'!$B:$B,$A10,'Staff data'!$D:$D,$C10)</f>
        <v>1.1739672769655651</v>
      </c>
      <c r="G10" s="424">
        <f t="shared" si="1"/>
        <v>0.23432008149111078</v>
      </c>
    </row>
    <row r="11" spans="1:7" x14ac:dyDescent="0.25">
      <c r="A11" s="405" t="s">
        <v>552</v>
      </c>
      <c r="B11" s="405" t="s">
        <v>834</v>
      </c>
      <c r="C11" s="405" t="s">
        <v>833</v>
      </c>
      <c r="D11" s="405">
        <f>SUMIFS('Buildings data'!$I:$I,'Buildings data'!$B:$B,$A11,'Buildings data'!$D:$D,$C11)*$F$1</f>
        <v>0</v>
      </c>
      <c r="E11" s="413">
        <f t="shared" si="0"/>
        <v>0</v>
      </c>
      <c r="F11" s="424">
        <f>SUMIFS('Staff data'!$N:$N,'Staff data'!$B:$B,$A11,'Staff data'!$D:$D,$C11)</f>
        <v>1.1584791691158631</v>
      </c>
      <c r="G11" s="424">
        <f t="shared" si="1"/>
        <v>0</v>
      </c>
    </row>
    <row r="12" spans="1:7" x14ac:dyDescent="0.25">
      <c r="A12" s="405"/>
      <c r="B12" s="405" t="s">
        <v>2749</v>
      </c>
      <c r="C12" s="405"/>
      <c r="D12" s="405">
        <f>SUM(D4:D11)</f>
        <v>496</v>
      </c>
      <c r="E12" s="405"/>
      <c r="F12" s="405"/>
      <c r="G12" s="428">
        <f>SUM(G4:G11)</f>
        <v>1.1556509682891525</v>
      </c>
    </row>
    <row r="14" spans="1:7" x14ac:dyDescent="0.25">
      <c r="A14" s="427"/>
      <c r="B14" s="427" t="s">
        <v>3954</v>
      </c>
      <c r="C14" s="427"/>
    </row>
    <row r="16" spans="1:7" ht="26.25" x14ac:dyDescent="0.25">
      <c r="A16" s="430" t="s">
        <v>3573</v>
      </c>
      <c r="B16" s="430" t="s">
        <v>2757</v>
      </c>
      <c r="C16" s="430" t="s">
        <v>2756</v>
      </c>
      <c r="D16" s="430" t="s">
        <v>3945</v>
      </c>
      <c r="E16" s="430" t="s">
        <v>2762</v>
      </c>
      <c r="F16" s="430" t="s">
        <v>527</v>
      </c>
      <c r="G16" s="430" t="s">
        <v>2768</v>
      </c>
    </row>
    <row r="17" spans="1:7" x14ac:dyDescent="0.25">
      <c r="A17" s="405" t="s">
        <v>3688</v>
      </c>
      <c r="B17" s="405" t="s">
        <v>3134</v>
      </c>
      <c r="C17" s="405" t="s">
        <v>3133</v>
      </c>
      <c r="D17" s="405">
        <f>D4</f>
        <v>40</v>
      </c>
      <c r="E17" s="413">
        <f>D17/$D$25</f>
        <v>8.0645161290322578E-2</v>
      </c>
      <c r="F17" s="429">
        <f>SUMIFS('Buildings data'!$K:$K,'Buildings data'!$B:$B,$A17,'Buildings data'!$D:$D,$C17)</f>
        <v>1.154326716430494</v>
      </c>
      <c r="G17" s="429">
        <f>E17*F17</f>
        <v>9.3090864228265638E-2</v>
      </c>
    </row>
    <row r="18" spans="1:7" x14ac:dyDescent="0.25">
      <c r="A18" s="405" t="s">
        <v>3688</v>
      </c>
      <c r="B18" s="405" t="s">
        <v>3136</v>
      </c>
      <c r="C18" s="405" t="s">
        <v>3135</v>
      </c>
      <c r="D18" s="405">
        <f t="shared" ref="D18:D24" si="2">D5</f>
        <v>45</v>
      </c>
      <c r="E18" s="413">
        <f t="shared" ref="E18:E24" si="3">D18/$D$25</f>
        <v>9.0725806451612906E-2</v>
      </c>
      <c r="F18" s="429">
        <f>SUMIFS('Buildings data'!$K:$K,'Buildings data'!$B:$B,$A18,'Buildings data'!$D:$D,$C18)</f>
        <v>1.154326716430494</v>
      </c>
      <c r="G18" s="429">
        <f t="shared" ref="G18:G24" si="4">E18*F18</f>
        <v>0.10472722225679885</v>
      </c>
    </row>
    <row r="19" spans="1:7" x14ac:dyDescent="0.25">
      <c r="A19" s="405" t="s">
        <v>3688</v>
      </c>
      <c r="B19" s="405" t="s">
        <v>729</v>
      </c>
      <c r="C19" s="405" t="s">
        <v>728</v>
      </c>
      <c r="D19" s="405">
        <f t="shared" si="2"/>
        <v>64</v>
      </c>
      <c r="E19" s="413">
        <f t="shared" si="3"/>
        <v>0.12903225806451613</v>
      </c>
      <c r="F19" s="429">
        <f>SUMIFS('Buildings data'!$K:$K,'Buildings data'!$B:$B,$A19,'Buildings data'!$D:$D,$C19)</f>
        <v>1.0747179773663313</v>
      </c>
      <c r="G19" s="429">
        <f t="shared" si="4"/>
        <v>0.13867328740210727</v>
      </c>
    </row>
    <row r="20" spans="1:7" x14ac:dyDescent="0.25">
      <c r="A20" s="405" t="s">
        <v>3688</v>
      </c>
      <c r="B20" s="405" t="s">
        <v>3138</v>
      </c>
      <c r="C20" s="405" t="s">
        <v>3137</v>
      </c>
      <c r="D20" s="405">
        <f t="shared" si="2"/>
        <v>71</v>
      </c>
      <c r="E20" s="413">
        <f t="shared" si="3"/>
        <v>0.14314516129032259</v>
      </c>
      <c r="F20" s="429">
        <f>SUMIFS('Buildings data'!$K:$K,'Buildings data'!$B:$B,$A20,'Buildings data'!$D:$D,$C20)</f>
        <v>1.1443756240474725</v>
      </c>
      <c r="G20" s="429">
        <f t="shared" si="4"/>
        <v>0.16381183328098903</v>
      </c>
    </row>
    <row r="21" spans="1:7" x14ac:dyDescent="0.25">
      <c r="A21" s="405" t="s">
        <v>3688</v>
      </c>
      <c r="B21" s="405" t="s">
        <v>3140</v>
      </c>
      <c r="C21" s="405" t="s">
        <v>3139</v>
      </c>
      <c r="D21" s="405">
        <f t="shared" si="2"/>
        <v>84</v>
      </c>
      <c r="E21" s="413">
        <f t="shared" si="3"/>
        <v>0.16935483870967741</v>
      </c>
      <c r="F21" s="429">
        <f>SUMIFS('Buildings data'!$K:$K,'Buildings data'!$B:$B,$A21,'Buildings data'!$D:$D,$C21)</f>
        <v>1.0747179773663313</v>
      </c>
      <c r="G21" s="429">
        <f t="shared" si="4"/>
        <v>0.18200868971526579</v>
      </c>
    </row>
    <row r="22" spans="1:7" x14ac:dyDescent="0.25">
      <c r="A22" s="405" t="s">
        <v>3688</v>
      </c>
      <c r="B22" s="405" t="s">
        <v>3142</v>
      </c>
      <c r="C22" s="405" t="s">
        <v>3141</v>
      </c>
      <c r="D22" s="405">
        <f t="shared" si="2"/>
        <v>93</v>
      </c>
      <c r="E22" s="413">
        <f t="shared" si="3"/>
        <v>0.1875</v>
      </c>
      <c r="F22" s="429">
        <f>SUMIFS('Buildings data'!$K:$K,'Buildings data'!$B:$B,$A22,'Buildings data'!$D:$D,$C22)</f>
        <v>1.1145223468984178</v>
      </c>
      <c r="G22" s="429">
        <f t="shared" si="4"/>
        <v>0.20897294004345335</v>
      </c>
    </row>
    <row r="23" spans="1:7" x14ac:dyDescent="0.25">
      <c r="A23" s="405" t="s">
        <v>3688</v>
      </c>
      <c r="B23" s="405" t="s">
        <v>3144</v>
      </c>
      <c r="C23" s="405" t="s">
        <v>3143</v>
      </c>
      <c r="D23" s="405">
        <f t="shared" si="2"/>
        <v>99</v>
      </c>
      <c r="E23" s="413">
        <f t="shared" si="3"/>
        <v>0.19959677419354838</v>
      </c>
      <c r="F23" s="429">
        <f>SUMIFS('Buildings data'!$K:$K,'Buildings data'!$B:$B,$A23,'Buildings data'!$D:$D,$C23)</f>
        <v>1.154326716430494</v>
      </c>
      <c r="G23" s="429">
        <f t="shared" si="4"/>
        <v>0.23039988896495747</v>
      </c>
    </row>
    <row r="24" spans="1:7" x14ac:dyDescent="0.25">
      <c r="A24" s="405" t="s">
        <v>552</v>
      </c>
      <c r="B24" s="405" t="s">
        <v>834</v>
      </c>
      <c r="C24" s="405" t="s">
        <v>833</v>
      </c>
      <c r="D24" s="405">
        <f t="shared" si="2"/>
        <v>0</v>
      </c>
      <c r="E24" s="413">
        <f t="shared" si="3"/>
        <v>0</v>
      </c>
      <c r="F24" s="429">
        <f>SUMIFS('Buildings data'!$K:$K,'Buildings data'!$B:$B,$A24,'Buildings data'!$D:$D,$C24)</f>
        <v>1.1443756240474725</v>
      </c>
      <c r="G24" s="429">
        <f t="shared" si="4"/>
        <v>0</v>
      </c>
    </row>
    <row r="25" spans="1:7" x14ac:dyDescent="0.25">
      <c r="A25" s="405"/>
      <c r="B25" s="405" t="s">
        <v>2749</v>
      </c>
      <c r="C25" s="405"/>
      <c r="D25" s="405">
        <f>SUM(D17:D24)</f>
        <v>496</v>
      </c>
      <c r="E25" s="405"/>
      <c r="F25" s="405"/>
      <c r="G25" s="428">
        <f>SUM(G17:G24)</f>
        <v>1.1216847258918374</v>
      </c>
    </row>
    <row r="27" spans="1:7" x14ac:dyDescent="0.25">
      <c r="A27" s="427"/>
      <c r="B27" s="427" t="s">
        <v>525</v>
      </c>
      <c r="C27" s="427"/>
    </row>
    <row r="29" spans="1:7" ht="26.25" x14ac:dyDescent="0.25">
      <c r="A29" s="430" t="s">
        <v>3573</v>
      </c>
      <c r="B29" s="420" t="s">
        <v>2755</v>
      </c>
      <c r="C29" s="420"/>
      <c r="D29" s="420" t="s">
        <v>2726</v>
      </c>
      <c r="E29" s="420" t="s">
        <v>523</v>
      </c>
      <c r="F29" s="420" t="s">
        <v>524</v>
      </c>
      <c r="G29" s="420" t="s">
        <v>3812</v>
      </c>
    </row>
    <row r="30" spans="1:7" x14ac:dyDescent="0.25">
      <c r="A30" s="405" t="s">
        <v>3688</v>
      </c>
      <c r="B30" s="405" t="s">
        <v>3469</v>
      </c>
      <c r="C30" s="405"/>
      <c r="D30" s="455">
        <f>INDEX('Land data'!$D:$D,MATCH($B30,'Land data'!$C:$C,0),1)</f>
        <v>31.14</v>
      </c>
      <c r="E30" s="455">
        <f>INDEX('Land data'!$E:$E,MATCH($B30,'Land data'!$C:$C,0),1)</f>
        <v>32315</v>
      </c>
      <c r="F30" s="455">
        <f>E30/D30</f>
        <v>1037.7328195247271</v>
      </c>
      <c r="G30" s="424">
        <f>F30/F$33</f>
        <v>0.91483279832257347</v>
      </c>
    </row>
    <row r="31" spans="1:7" x14ac:dyDescent="0.25">
      <c r="A31" s="405" t="s">
        <v>552</v>
      </c>
      <c r="B31" s="405" t="s">
        <v>4185</v>
      </c>
      <c r="C31" s="405"/>
      <c r="D31" s="455">
        <f>'Index values'!D55</f>
        <v>38</v>
      </c>
      <c r="E31" s="455">
        <f>'Index values'!E55</f>
        <v>17264</v>
      </c>
      <c r="F31" s="455">
        <f>E31/D31</f>
        <v>454.31578947368422</v>
      </c>
      <c r="G31" s="424">
        <f>F31/F$33</f>
        <v>0.40051059115263554</v>
      </c>
    </row>
    <row r="32" spans="1:7" x14ac:dyDescent="0.25">
      <c r="A32" s="405"/>
      <c r="B32" s="405" t="s">
        <v>2749</v>
      </c>
      <c r="C32" s="405"/>
      <c r="D32" s="455">
        <f>SUM(D30:D31)</f>
        <v>69.14</v>
      </c>
      <c r="E32" s="455">
        <f>SUM(E30:E31)</f>
        <v>49579</v>
      </c>
      <c r="F32" s="455">
        <f>E32/D32</f>
        <v>717.08128435059302</v>
      </c>
      <c r="G32" s="426">
        <f>G30*SUM(E17:E23)+G31*E24</f>
        <v>0.91483279832257347</v>
      </c>
    </row>
    <row r="33" spans="1:8" x14ac:dyDescent="0.25">
      <c r="A33" s="405"/>
      <c r="B33" s="405" t="s">
        <v>3942</v>
      </c>
      <c r="C33" s="405"/>
      <c r="D33" s="456">
        <f>SUM('PCT data'!$M$3:$M$154)+SUM('Land data'!$D$2:$D$234)</f>
        <v>7611.3175000000019</v>
      </c>
      <c r="E33" s="456">
        <f>SUM('PCT data'!$N$3:$N$154)+SUM('Land data'!$E$2:$E$234)</f>
        <v>8633833.4000000004</v>
      </c>
      <c r="F33" s="455">
        <f>E33/D33</f>
        <v>1134.3415118341861</v>
      </c>
      <c r="G33" s="424"/>
    </row>
    <row r="35" spans="1:8" x14ac:dyDescent="0.25">
      <c r="B35" s="423" t="s">
        <v>3933</v>
      </c>
    </row>
    <row r="36" spans="1:8" x14ac:dyDescent="0.25">
      <c r="B36" s="423"/>
    </row>
    <row r="37" spans="1:8" ht="39" x14ac:dyDescent="0.25">
      <c r="B37" s="422" t="s">
        <v>3939</v>
      </c>
      <c r="C37" s="421" t="s">
        <v>4184</v>
      </c>
      <c r="D37" s="421" t="s">
        <v>3937</v>
      </c>
      <c r="E37" s="420" t="s">
        <v>4183</v>
      </c>
      <c r="F37" s="407" t="s">
        <v>4182</v>
      </c>
    </row>
    <row r="38" spans="1:8" x14ac:dyDescent="0.25">
      <c r="B38" s="419" t="s">
        <v>2734</v>
      </c>
      <c r="C38" s="418">
        <f>G12</f>
        <v>1.1556509682891525</v>
      </c>
      <c r="D38" s="415">
        <f>Staff_Weight</f>
        <v>0.54914759484508857</v>
      </c>
      <c r="E38" s="406">
        <f>C38*D38</f>
        <v>0.63462294971638578</v>
      </c>
      <c r="F38" s="414"/>
    </row>
    <row r="39" spans="1:8" x14ac:dyDescent="0.25">
      <c r="B39" s="417" t="s">
        <v>3935</v>
      </c>
      <c r="C39" s="416">
        <f>G25</f>
        <v>1.1216847258918374</v>
      </c>
      <c r="D39" s="415">
        <f>Building_Weight</f>
        <v>2.6635675286214532E-2</v>
      </c>
      <c r="E39" s="406">
        <f>C39*D39</f>
        <v>2.9876830132361535E-2</v>
      </c>
      <c r="F39" s="414"/>
    </row>
    <row r="40" spans="1:8" x14ac:dyDescent="0.25">
      <c r="B40" s="417" t="s">
        <v>2735</v>
      </c>
      <c r="C40" s="406">
        <f>'Index values'!F41</f>
        <v>1.0185025427599708</v>
      </c>
      <c r="D40" s="415">
        <f>MnD_Weight</f>
        <v>0.13904710383678176</v>
      </c>
      <c r="E40" s="406">
        <f>C40*D40</f>
        <v>0.14161982882117191</v>
      </c>
      <c r="F40" s="414"/>
    </row>
    <row r="41" spans="1:8" x14ac:dyDescent="0.25">
      <c r="B41" s="405" t="s">
        <v>2733</v>
      </c>
      <c r="C41" s="416">
        <f>G32</f>
        <v>0.91483279832257347</v>
      </c>
      <c r="D41" s="415">
        <f>Land_Weight</f>
        <v>4.4820020140147153E-3</v>
      </c>
      <c r="E41" s="406">
        <f>C41*D41</f>
        <v>4.1002824445684925E-3</v>
      </c>
      <c r="F41" s="414"/>
    </row>
    <row r="42" spans="1:8" x14ac:dyDescent="0.25">
      <c r="B42" s="405" t="s">
        <v>632</v>
      </c>
      <c r="C42" s="406">
        <v>1</v>
      </c>
      <c r="D42" s="413">
        <f>Other_Weight</f>
        <v>0.28068762401790043</v>
      </c>
      <c r="E42" s="406">
        <f>C42*D42</f>
        <v>0.28068762401790043</v>
      </c>
      <c r="F42" s="412"/>
    </row>
    <row r="43" spans="1:8" x14ac:dyDescent="0.25">
      <c r="B43" s="411" t="s">
        <v>3933</v>
      </c>
      <c r="C43" s="406"/>
      <c r="D43" s="405"/>
      <c r="E43" s="410">
        <f>SUM(E38:E42)</f>
        <v>1.0909075151323882</v>
      </c>
      <c r="F43" s="409">
        <f ca="1">E43/C45</f>
        <v>1.1776731639298659</v>
      </c>
    </row>
    <row r="45" spans="1:8" ht="30" x14ac:dyDescent="0.25">
      <c r="B45" s="408" t="s">
        <v>3932</v>
      </c>
      <c r="C45" s="403">
        <f ca="1">Lowest_Underlying_MFF</f>
        <v>0.92632450882387185</v>
      </c>
      <c r="F45" s="430" t="s">
        <v>3573</v>
      </c>
      <c r="G45" s="420" t="s">
        <v>2755</v>
      </c>
      <c r="H45" s="407" t="s">
        <v>4202</v>
      </c>
    </row>
    <row r="46" spans="1:8" x14ac:dyDescent="0.25">
      <c r="F46" s="405" t="s">
        <v>3688</v>
      </c>
      <c r="G46" s="405" t="s">
        <v>4181</v>
      </c>
      <c r="H46" s="406">
        <f ca="1">INDEX('All Trusts'!$N$6:$N$261,MATCH($F46,'All Trusts'!$B$6:$B$261,0),1)</f>
        <v>1.1776731639298659</v>
      </c>
    </row>
    <row r="47" spans="1:8" x14ac:dyDescent="0.25">
      <c r="F47" s="405" t="s">
        <v>552</v>
      </c>
      <c r="G47" s="405" t="s">
        <v>4180</v>
      </c>
      <c r="H47" s="406">
        <f ca="1">INDEX('All Trusts'!$N$6:$N$261,MATCH($F47,'All Trusts'!$B$6:$B$261,0),1)</f>
        <v>1.184976805812578</v>
      </c>
    </row>
    <row r="48" spans="1:8" x14ac:dyDescent="0.25">
      <c r="A48" s="229" t="s">
        <v>3925</v>
      </c>
      <c r="G48" s="405" t="s">
        <v>4179</v>
      </c>
      <c r="H48" s="404">
        <f ca="1">F43</f>
        <v>1.1776731639298659</v>
      </c>
    </row>
    <row r="49" spans="1:1" x14ac:dyDescent="0.25">
      <c r="A49" s="228" t="s">
        <v>3920</v>
      </c>
    </row>
    <row r="50" spans="1:1" x14ac:dyDescent="0.25">
      <c r="A50" s="457" t="s">
        <v>4203</v>
      </c>
    </row>
    <row r="51" spans="1:1" x14ac:dyDescent="0.25">
      <c r="A51" s="457" t="s">
        <v>4201</v>
      </c>
    </row>
  </sheetData>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92D050"/>
  </sheetPr>
  <dimension ref="A1:H42"/>
  <sheetViews>
    <sheetView workbookViewId="0"/>
  </sheetViews>
  <sheetFormatPr defaultRowHeight="15" x14ac:dyDescent="0.25"/>
  <cols>
    <col min="1" max="1" width="9.140625" style="403"/>
    <col min="2" max="2" width="38.7109375" style="403" bestFit="1" customWidth="1"/>
    <col min="3" max="3" width="14.7109375" style="403" bestFit="1" customWidth="1"/>
    <col min="4" max="4" width="14.140625" style="403" bestFit="1" customWidth="1"/>
    <col min="5" max="5" width="14.42578125" style="403" customWidth="1"/>
    <col min="6" max="6" width="16" style="403" customWidth="1"/>
    <col min="7" max="7" width="26" style="403" bestFit="1" customWidth="1"/>
    <col min="8" max="8" width="22.7109375" style="403" bestFit="1" customWidth="1"/>
    <col min="9" max="11" width="9.140625" style="403"/>
    <col min="12" max="12" width="9.5703125" style="403" bestFit="1" customWidth="1"/>
    <col min="13" max="257" width="9.140625" style="403"/>
    <col min="258" max="258" width="20.85546875" style="403" bestFit="1" customWidth="1"/>
    <col min="259" max="259" width="14.7109375" style="403" bestFit="1" customWidth="1"/>
    <col min="260" max="260" width="14.140625" style="403" bestFit="1" customWidth="1"/>
    <col min="261" max="261" width="14.42578125" style="403" customWidth="1"/>
    <col min="262" max="263" width="16" style="403" customWidth="1"/>
    <col min="264" max="513" width="9.140625" style="403"/>
    <col min="514" max="514" width="20.85546875" style="403" bestFit="1" customWidth="1"/>
    <col min="515" max="515" width="14.7109375" style="403" bestFit="1" customWidth="1"/>
    <col min="516" max="516" width="14.140625" style="403" bestFit="1" customWidth="1"/>
    <col min="517" max="517" width="14.42578125" style="403" customWidth="1"/>
    <col min="518" max="519" width="16" style="403" customWidth="1"/>
    <col min="520" max="769" width="9.140625" style="403"/>
    <col min="770" max="770" width="20.85546875" style="403" bestFit="1" customWidth="1"/>
    <col min="771" max="771" width="14.7109375" style="403" bestFit="1" customWidth="1"/>
    <col min="772" max="772" width="14.140625" style="403" bestFit="1" customWidth="1"/>
    <col min="773" max="773" width="14.42578125" style="403" customWidth="1"/>
    <col min="774" max="775" width="16" style="403" customWidth="1"/>
    <col min="776" max="1025" width="9.140625" style="403"/>
    <col min="1026" max="1026" width="20.85546875" style="403" bestFit="1" customWidth="1"/>
    <col min="1027" max="1027" width="14.7109375" style="403" bestFit="1" customWidth="1"/>
    <col min="1028" max="1028" width="14.140625" style="403" bestFit="1" customWidth="1"/>
    <col min="1029" max="1029" width="14.42578125" style="403" customWidth="1"/>
    <col min="1030" max="1031" width="16" style="403" customWidth="1"/>
    <col min="1032" max="1281" width="9.140625" style="403"/>
    <col min="1282" max="1282" width="20.85546875" style="403" bestFit="1" customWidth="1"/>
    <col min="1283" max="1283" width="14.7109375" style="403" bestFit="1" customWidth="1"/>
    <col min="1284" max="1284" width="14.140625" style="403" bestFit="1" customWidth="1"/>
    <col min="1285" max="1285" width="14.42578125" style="403" customWidth="1"/>
    <col min="1286" max="1287" width="16" style="403" customWidth="1"/>
    <col min="1288" max="1537" width="9.140625" style="403"/>
    <col min="1538" max="1538" width="20.85546875" style="403" bestFit="1" customWidth="1"/>
    <col min="1539" max="1539" width="14.7109375" style="403" bestFit="1" customWidth="1"/>
    <col min="1540" max="1540" width="14.140625" style="403" bestFit="1" customWidth="1"/>
    <col min="1541" max="1541" width="14.42578125" style="403" customWidth="1"/>
    <col min="1542" max="1543" width="16" style="403" customWidth="1"/>
    <col min="1544" max="1793" width="9.140625" style="403"/>
    <col min="1794" max="1794" width="20.85546875" style="403" bestFit="1" customWidth="1"/>
    <col min="1795" max="1795" width="14.7109375" style="403" bestFit="1" customWidth="1"/>
    <col min="1796" max="1796" width="14.140625" style="403" bestFit="1" customWidth="1"/>
    <col min="1797" max="1797" width="14.42578125" style="403" customWidth="1"/>
    <col min="1798" max="1799" width="16" style="403" customWidth="1"/>
    <col min="1800" max="2049" width="9.140625" style="403"/>
    <col min="2050" max="2050" width="20.85546875" style="403" bestFit="1" customWidth="1"/>
    <col min="2051" max="2051" width="14.7109375" style="403" bestFit="1" customWidth="1"/>
    <col min="2052" max="2052" width="14.140625" style="403" bestFit="1" customWidth="1"/>
    <col min="2053" max="2053" width="14.42578125" style="403" customWidth="1"/>
    <col min="2054" max="2055" width="16" style="403" customWidth="1"/>
    <col min="2056" max="2305" width="9.140625" style="403"/>
    <col min="2306" max="2306" width="20.85546875" style="403" bestFit="1" customWidth="1"/>
    <col min="2307" max="2307" width="14.7109375" style="403" bestFit="1" customWidth="1"/>
    <col min="2308" max="2308" width="14.140625" style="403" bestFit="1" customWidth="1"/>
    <col min="2309" max="2309" width="14.42578125" style="403" customWidth="1"/>
    <col min="2310" max="2311" width="16" style="403" customWidth="1"/>
    <col min="2312" max="2561" width="9.140625" style="403"/>
    <col min="2562" max="2562" width="20.85546875" style="403" bestFit="1" customWidth="1"/>
    <col min="2563" max="2563" width="14.7109375" style="403" bestFit="1" customWidth="1"/>
    <col min="2564" max="2564" width="14.140625" style="403" bestFit="1" customWidth="1"/>
    <col min="2565" max="2565" width="14.42578125" style="403" customWidth="1"/>
    <col min="2566" max="2567" width="16" style="403" customWidth="1"/>
    <col min="2568" max="2817" width="9.140625" style="403"/>
    <col min="2818" max="2818" width="20.85546875" style="403" bestFit="1" customWidth="1"/>
    <col min="2819" max="2819" width="14.7109375" style="403" bestFit="1" customWidth="1"/>
    <col min="2820" max="2820" width="14.140625" style="403" bestFit="1" customWidth="1"/>
    <col min="2821" max="2821" width="14.42578125" style="403" customWidth="1"/>
    <col min="2822" max="2823" width="16" style="403" customWidth="1"/>
    <col min="2824" max="3073" width="9.140625" style="403"/>
    <col min="3074" max="3074" width="20.85546875" style="403" bestFit="1" customWidth="1"/>
    <col min="3075" max="3075" width="14.7109375" style="403" bestFit="1" customWidth="1"/>
    <col min="3076" max="3076" width="14.140625" style="403" bestFit="1" customWidth="1"/>
    <col min="3077" max="3077" width="14.42578125" style="403" customWidth="1"/>
    <col min="3078" max="3079" width="16" style="403" customWidth="1"/>
    <col min="3080" max="3329" width="9.140625" style="403"/>
    <col min="3330" max="3330" width="20.85546875" style="403" bestFit="1" customWidth="1"/>
    <col min="3331" max="3331" width="14.7109375" style="403" bestFit="1" customWidth="1"/>
    <col min="3332" max="3332" width="14.140625" style="403" bestFit="1" customWidth="1"/>
    <col min="3333" max="3333" width="14.42578125" style="403" customWidth="1"/>
    <col min="3334" max="3335" width="16" style="403" customWidth="1"/>
    <col min="3336" max="3585" width="9.140625" style="403"/>
    <col min="3586" max="3586" width="20.85546875" style="403" bestFit="1" customWidth="1"/>
    <col min="3587" max="3587" width="14.7109375" style="403" bestFit="1" customWidth="1"/>
    <col min="3588" max="3588" width="14.140625" style="403" bestFit="1" customWidth="1"/>
    <col min="3589" max="3589" width="14.42578125" style="403" customWidth="1"/>
    <col min="3590" max="3591" width="16" style="403" customWidth="1"/>
    <col min="3592" max="3841" width="9.140625" style="403"/>
    <col min="3842" max="3842" width="20.85546875" style="403" bestFit="1" customWidth="1"/>
    <col min="3843" max="3843" width="14.7109375" style="403" bestFit="1" customWidth="1"/>
    <col min="3844" max="3844" width="14.140625" style="403" bestFit="1" customWidth="1"/>
    <col min="3845" max="3845" width="14.42578125" style="403" customWidth="1"/>
    <col min="3846" max="3847" width="16" style="403" customWidth="1"/>
    <col min="3848" max="4097" width="9.140625" style="403"/>
    <col min="4098" max="4098" width="20.85546875" style="403" bestFit="1" customWidth="1"/>
    <col min="4099" max="4099" width="14.7109375" style="403" bestFit="1" customWidth="1"/>
    <col min="4100" max="4100" width="14.140625" style="403" bestFit="1" customWidth="1"/>
    <col min="4101" max="4101" width="14.42578125" style="403" customWidth="1"/>
    <col min="4102" max="4103" width="16" style="403" customWidth="1"/>
    <col min="4104" max="4353" width="9.140625" style="403"/>
    <col min="4354" max="4354" width="20.85546875" style="403" bestFit="1" customWidth="1"/>
    <col min="4355" max="4355" width="14.7109375" style="403" bestFit="1" customWidth="1"/>
    <col min="4356" max="4356" width="14.140625" style="403" bestFit="1" customWidth="1"/>
    <col min="4357" max="4357" width="14.42578125" style="403" customWidth="1"/>
    <col min="4358" max="4359" width="16" style="403" customWidth="1"/>
    <col min="4360" max="4609" width="9.140625" style="403"/>
    <col min="4610" max="4610" width="20.85546875" style="403" bestFit="1" customWidth="1"/>
    <col min="4611" max="4611" width="14.7109375" style="403" bestFit="1" customWidth="1"/>
    <col min="4612" max="4612" width="14.140625" style="403" bestFit="1" customWidth="1"/>
    <col min="4613" max="4613" width="14.42578125" style="403" customWidth="1"/>
    <col min="4614" max="4615" width="16" style="403" customWidth="1"/>
    <col min="4616" max="4865" width="9.140625" style="403"/>
    <col min="4866" max="4866" width="20.85546875" style="403" bestFit="1" customWidth="1"/>
    <col min="4867" max="4867" width="14.7109375" style="403" bestFit="1" customWidth="1"/>
    <col min="4868" max="4868" width="14.140625" style="403" bestFit="1" customWidth="1"/>
    <col min="4869" max="4869" width="14.42578125" style="403" customWidth="1"/>
    <col min="4870" max="4871" width="16" style="403" customWidth="1"/>
    <col min="4872" max="5121" width="9.140625" style="403"/>
    <col min="5122" max="5122" width="20.85546875" style="403" bestFit="1" customWidth="1"/>
    <col min="5123" max="5123" width="14.7109375" style="403" bestFit="1" customWidth="1"/>
    <col min="5124" max="5124" width="14.140625" style="403" bestFit="1" customWidth="1"/>
    <col min="5125" max="5125" width="14.42578125" style="403" customWidth="1"/>
    <col min="5126" max="5127" width="16" style="403" customWidth="1"/>
    <col min="5128" max="5377" width="9.140625" style="403"/>
    <col min="5378" max="5378" width="20.85546875" style="403" bestFit="1" customWidth="1"/>
    <col min="5379" max="5379" width="14.7109375" style="403" bestFit="1" customWidth="1"/>
    <col min="5380" max="5380" width="14.140625" style="403" bestFit="1" customWidth="1"/>
    <col min="5381" max="5381" width="14.42578125" style="403" customWidth="1"/>
    <col min="5382" max="5383" width="16" style="403" customWidth="1"/>
    <col min="5384" max="5633" width="9.140625" style="403"/>
    <col min="5634" max="5634" width="20.85546875" style="403" bestFit="1" customWidth="1"/>
    <col min="5635" max="5635" width="14.7109375" style="403" bestFit="1" customWidth="1"/>
    <col min="5636" max="5636" width="14.140625" style="403" bestFit="1" customWidth="1"/>
    <col min="5637" max="5637" width="14.42578125" style="403" customWidth="1"/>
    <col min="5638" max="5639" width="16" style="403" customWidth="1"/>
    <col min="5640" max="5889" width="9.140625" style="403"/>
    <col min="5890" max="5890" width="20.85546875" style="403" bestFit="1" customWidth="1"/>
    <col min="5891" max="5891" width="14.7109375" style="403" bestFit="1" customWidth="1"/>
    <col min="5892" max="5892" width="14.140625" style="403" bestFit="1" customWidth="1"/>
    <col min="5893" max="5893" width="14.42578125" style="403" customWidth="1"/>
    <col min="5894" max="5895" width="16" style="403" customWidth="1"/>
    <col min="5896" max="6145" width="9.140625" style="403"/>
    <col min="6146" max="6146" width="20.85546875" style="403" bestFit="1" customWidth="1"/>
    <col min="6147" max="6147" width="14.7109375" style="403" bestFit="1" customWidth="1"/>
    <col min="6148" max="6148" width="14.140625" style="403" bestFit="1" customWidth="1"/>
    <col min="6149" max="6149" width="14.42578125" style="403" customWidth="1"/>
    <col min="6150" max="6151" width="16" style="403" customWidth="1"/>
    <col min="6152" max="6401" width="9.140625" style="403"/>
    <col min="6402" max="6402" width="20.85546875" style="403" bestFit="1" customWidth="1"/>
    <col min="6403" max="6403" width="14.7109375" style="403" bestFit="1" customWidth="1"/>
    <col min="6404" max="6404" width="14.140625" style="403" bestFit="1" customWidth="1"/>
    <col min="6405" max="6405" width="14.42578125" style="403" customWidth="1"/>
    <col min="6406" max="6407" width="16" style="403" customWidth="1"/>
    <col min="6408" max="6657" width="9.140625" style="403"/>
    <col min="6658" max="6658" width="20.85546875" style="403" bestFit="1" customWidth="1"/>
    <col min="6659" max="6659" width="14.7109375" style="403" bestFit="1" customWidth="1"/>
    <col min="6660" max="6660" width="14.140625" style="403" bestFit="1" customWidth="1"/>
    <col min="6661" max="6661" width="14.42578125" style="403" customWidth="1"/>
    <col min="6662" max="6663" width="16" style="403" customWidth="1"/>
    <col min="6664" max="6913" width="9.140625" style="403"/>
    <col min="6914" max="6914" width="20.85546875" style="403" bestFit="1" customWidth="1"/>
    <col min="6915" max="6915" width="14.7109375" style="403" bestFit="1" customWidth="1"/>
    <col min="6916" max="6916" width="14.140625" style="403" bestFit="1" customWidth="1"/>
    <col min="6917" max="6917" width="14.42578125" style="403" customWidth="1"/>
    <col min="6918" max="6919" width="16" style="403" customWidth="1"/>
    <col min="6920" max="7169" width="9.140625" style="403"/>
    <col min="7170" max="7170" width="20.85546875" style="403" bestFit="1" customWidth="1"/>
    <col min="7171" max="7171" width="14.7109375" style="403" bestFit="1" customWidth="1"/>
    <col min="7172" max="7172" width="14.140625" style="403" bestFit="1" customWidth="1"/>
    <col min="7173" max="7173" width="14.42578125" style="403" customWidth="1"/>
    <col min="7174" max="7175" width="16" style="403" customWidth="1"/>
    <col min="7176" max="7425" width="9.140625" style="403"/>
    <col min="7426" max="7426" width="20.85546875" style="403" bestFit="1" customWidth="1"/>
    <col min="7427" max="7427" width="14.7109375" style="403" bestFit="1" customWidth="1"/>
    <col min="7428" max="7428" width="14.140625" style="403" bestFit="1" customWidth="1"/>
    <col min="7429" max="7429" width="14.42578125" style="403" customWidth="1"/>
    <col min="7430" max="7431" width="16" style="403" customWidth="1"/>
    <col min="7432" max="7681" width="9.140625" style="403"/>
    <col min="7682" max="7682" width="20.85546875" style="403" bestFit="1" customWidth="1"/>
    <col min="7683" max="7683" width="14.7109375" style="403" bestFit="1" customWidth="1"/>
    <col min="7684" max="7684" width="14.140625" style="403" bestFit="1" customWidth="1"/>
    <col min="7685" max="7685" width="14.42578125" style="403" customWidth="1"/>
    <col min="7686" max="7687" width="16" style="403" customWidth="1"/>
    <col min="7688" max="7937" width="9.140625" style="403"/>
    <col min="7938" max="7938" width="20.85546875" style="403" bestFit="1" customWidth="1"/>
    <col min="7939" max="7939" width="14.7109375" style="403" bestFit="1" customWidth="1"/>
    <col min="7940" max="7940" width="14.140625" style="403" bestFit="1" customWidth="1"/>
    <col min="7941" max="7941" width="14.42578125" style="403" customWidth="1"/>
    <col min="7942" max="7943" width="16" style="403" customWidth="1"/>
    <col min="7944" max="8193" width="9.140625" style="403"/>
    <col min="8194" max="8194" width="20.85546875" style="403" bestFit="1" customWidth="1"/>
    <col min="8195" max="8195" width="14.7109375" style="403" bestFit="1" customWidth="1"/>
    <col min="8196" max="8196" width="14.140625" style="403" bestFit="1" customWidth="1"/>
    <col min="8197" max="8197" width="14.42578125" style="403" customWidth="1"/>
    <col min="8198" max="8199" width="16" style="403" customWidth="1"/>
    <col min="8200" max="8449" width="9.140625" style="403"/>
    <col min="8450" max="8450" width="20.85546875" style="403" bestFit="1" customWidth="1"/>
    <col min="8451" max="8451" width="14.7109375" style="403" bestFit="1" customWidth="1"/>
    <col min="8452" max="8452" width="14.140625" style="403" bestFit="1" customWidth="1"/>
    <col min="8453" max="8453" width="14.42578125" style="403" customWidth="1"/>
    <col min="8454" max="8455" width="16" style="403" customWidth="1"/>
    <col min="8456" max="8705" width="9.140625" style="403"/>
    <col min="8706" max="8706" width="20.85546875" style="403" bestFit="1" customWidth="1"/>
    <col min="8707" max="8707" width="14.7109375" style="403" bestFit="1" customWidth="1"/>
    <col min="8708" max="8708" width="14.140625" style="403" bestFit="1" customWidth="1"/>
    <col min="8709" max="8709" width="14.42578125" style="403" customWidth="1"/>
    <col min="8710" max="8711" width="16" style="403" customWidth="1"/>
    <col min="8712" max="8961" width="9.140625" style="403"/>
    <col min="8962" max="8962" width="20.85546875" style="403" bestFit="1" customWidth="1"/>
    <col min="8963" max="8963" width="14.7109375" style="403" bestFit="1" customWidth="1"/>
    <col min="8964" max="8964" width="14.140625" style="403" bestFit="1" customWidth="1"/>
    <col min="8965" max="8965" width="14.42578125" style="403" customWidth="1"/>
    <col min="8966" max="8967" width="16" style="403" customWidth="1"/>
    <col min="8968" max="9217" width="9.140625" style="403"/>
    <col min="9218" max="9218" width="20.85546875" style="403" bestFit="1" customWidth="1"/>
    <col min="9219" max="9219" width="14.7109375" style="403" bestFit="1" customWidth="1"/>
    <col min="9220" max="9220" width="14.140625" style="403" bestFit="1" customWidth="1"/>
    <col min="9221" max="9221" width="14.42578125" style="403" customWidth="1"/>
    <col min="9222" max="9223" width="16" style="403" customWidth="1"/>
    <col min="9224" max="9473" width="9.140625" style="403"/>
    <col min="9474" max="9474" width="20.85546875" style="403" bestFit="1" customWidth="1"/>
    <col min="9475" max="9475" width="14.7109375" style="403" bestFit="1" customWidth="1"/>
    <col min="9476" max="9476" width="14.140625" style="403" bestFit="1" customWidth="1"/>
    <col min="9477" max="9477" width="14.42578125" style="403" customWidth="1"/>
    <col min="9478" max="9479" width="16" style="403" customWidth="1"/>
    <col min="9480" max="9729" width="9.140625" style="403"/>
    <col min="9730" max="9730" width="20.85546875" style="403" bestFit="1" customWidth="1"/>
    <col min="9731" max="9731" width="14.7109375" style="403" bestFit="1" customWidth="1"/>
    <col min="9732" max="9732" width="14.140625" style="403" bestFit="1" customWidth="1"/>
    <col min="9733" max="9733" width="14.42578125" style="403" customWidth="1"/>
    <col min="9734" max="9735" width="16" style="403" customWidth="1"/>
    <col min="9736" max="9985" width="9.140625" style="403"/>
    <col min="9986" max="9986" width="20.85546875" style="403" bestFit="1" customWidth="1"/>
    <col min="9987" max="9987" width="14.7109375" style="403" bestFit="1" customWidth="1"/>
    <col min="9988" max="9988" width="14.140625" style="403" bestFit="1" customWidth="1"/>
    <col min="9989" max="9989" width="14.42578125" style="403" customWidth="1"/>
    <col min="9990" max="9991" width="16" style="403" customWidth="1"/>
    <col min="9992" max="10241" width="9.140625" style="403"/>
    <col min="10242" max="10242" width="20.85546875" style="403" bestFit="1" customWidth="1"/>
    <col min="10243" max="10243" width="14.7109375" style="403" bestFit="1" customWidth="1"/>
    <col min="10244" max="10244" width="14.140625" style="403" bestFit="1" customWidth="1"/>
    <col min="10245" max="10245" width="14.42578125" style="403" customWidth="1"/>
    <col min="10246" max="10247" width="16" style="403" customWidth="1"/>
    <col min="10248" max="10497" width="9.140625" style="403"/>
    <col min="10498" max="10498" width="20.85546875" style="403" bestFit="1" customWidth="1"/>
    <col min="10499" max="10499" width="14.7109375" style="403" bestFit="1" customWidth="1"/>
    <col min="10500" max="10500" width="14.140625" style="403" bestFit="1" customWidth="1"/>
    <col min="10501" max="10501" width="14.42578125" style="403" customWidth="1"/>
    <col min="10502" max="10503" width="16" style="403" customWidth="1"/>
    <col min="10504" max="10753" width="9.140625" style="403"/>
    <col min="10754" max="10754" width="20.85546875" style="403" bestFit="1" customWidth="1"/>
    <col min="10755" max="10755" width="14.7109375" style="403" bestFit="1" customWidth="1"/>
    <col min="10756" max="10756" width="14.140625" style="403" bestFit="1" customWidth="1"/>
    <col min="10757" max="10757" width="14.42578125" style="403" customWidth="1"/>
    <col min="10758" max="10759" width="16" style="403" customWidth="1"/>
    <col min="10760" max="11009" width="9.140625" style="403"/>
    <col min="11010" max="11010" width="20.85546875" style="403" bestFit="1" customWidth="1"/>
    <col min="11011" max="11011" width="14.7109375" style="403" bestFit="1" customWidth="1"/>
    <col min="11012" max="11012" width="14.140625" style="403" bestFit="1" customWidth="1"/>
    <col min="11013" max="11013" width="14.42578125" style="403" customWidth="1"/>
    <col min="11014" max="11015" width="16" style="403" customWidth="1"/>
    <col min="11016" max="11265" width="9.140625" style="403"/>
    <col min="11266" max="11266" width="20.85546875" style="403" bestFit="1" customWidth="1"/>
    <col min="11267" max="11267" width="14.7109375" style="403" bestFit="1" customWidth="1"/>
    <col min="11268" max="11268" width="14.140625" style="403" bestFit="1" customWidth="1"/>
    <col min="11269" max="11269" width="14.42578125" style="403" customWidth="1"/>
    <col min="11270" max="11271" width="16" style="403" customWidth="1"/>
    <col min="11272" max="11521" width="9.140625" style="403"/>
    <col min="11522" max="11522" width="20.85546875" style="403" bestFit="1" customWidth="1"/>
    <col min="11523" max="11523" width="14.7109375" style="403" bestFit="1" customWidth="1"/>
    <col min="11524" max="11524" width="14.140625" style="403" bestFit="1" customWidth="1"/>
    <col min="11525" max="11525" width="14.42578125" style="403" customWidth="1"/>
    <col min="11526" max="11527" width="16" style="403" customWidth="1"/>
    <col min="11528" max="11777" width="9.140625" style="403"/>
    <col min="11778" max="11778" width="20.85546875" style="403" bestFit="1" customWidth="1"/>
    <col min="11779" max="11779" width="14.7109375" style="403" bestFit="1" customWidth="1"/>
    <col min="11780" max="11780" width="14.140625" style="403" bestFit="1" customWidth="1"/>
    <col min="11781" max="11781" width="14.42578125" style="403" customWidth="1"/>
    <col min="11782" max="11783" width="16" style="403" customWidth="1"/>
    <col min="11784" max="12033" width="9.140625" style="403"/>
    <col min="12034" max="12034" width="20.85546875" style="403" bestFit="1" customWidth="1"/>
    <col min="12035" max="12035" width="14.7109375" style="403" bestFit="1" customWidth="1"/>
    <col min="12036" max="12036" width="14.140625" style="403" bestFit="1" customWidth="1"/>
    <col min="12037" max="12037" width="14.42578125" style="403" customWidth="1"/>
    <col min="12038" max="12039" width="16" style="403" customWidth="1"/>
    <col min="12040" max="12289" width="9.140625" style="403"/>
    <col min="12290" max="12290" width="20.85546875" style="403" bestFit="1" customWidth="1"/>
    <col min="12291" max="12291" width="14.7109375" style="403" bestFit="1" customWidth="1"/>
    <col min="12292" max="12292" width="14.140625" style="403" bestFit="1" customWidth="1"/>
    <col min="12293" max="12293" width="14.42578125" style="403" customWidth="1"/>
    <col min="12294" max="12295" width="16" style="403" customWidth="1"/>
    <col min="12296" max="12545" width="9.140625" style="403"/>
    <col min="12546" max="12546" width="20.85546875" style="403" bestFit="1" customWidth="1"/>
    <col min="12547" max="12547" width="14.7109375" style="403" bestFit="1" customWidth="1"/>
    <col min="12548" max="12548" width="14.140625" style="403" bestFit="1" customWidth="1"/>
    <col min="12549" max="12549" width="14.42578125" style="403" customWidth="1"/>
    <col min="12550" max="12551" width="16" style="403" customWidth="1"/>
    <col min="12552" max="12801" width="9.140625" style="403"/>
    <col min="12802" max="12802" width="20.85546875" style="403" bestFit="1" customWidth="1"/>
    <col min="12803" max="12803" width="14.7109375" style="403" bestFit="1" customWidth="1"/>
    <col min="12804" max="12804" width="14.140625" style="403" bestFit="1" customWidth="1"/>
    <col min="12805" max="12805" width="14.42578125" style="403" customWidth="1"/>
    <col min="12806" max="12807" width="16" style="403" customWidth="1"/>
    <col min="12808" max="13057" width="9.140625" style="403"/>
    <col min="13058" max="13058" width="20.85546875" style="403" bestFit="1" customWidth="1"/>
    <col min="13059" max="13059" width="14.7109375" style="403" bestFit="1" customWidth="1"/>
    <col min="13060" max="13060" width="14.140625" style="403" bestFit="1" customWidth="1"/>
    <col min="13061" max="13061" width="14.42578125" style="403" customWidth="1"/>
    <col min="13062" max="13063" width="16" style="403" customWidth="1"/>
    <col min="13064" max="13313" width="9.140625" style="403"/>
    <col min="13314" max="13314" width="20.85546875" style="403" bestFit="1" customWidth="1"/>
    <col min="13315" max="13315" width="14.7109375" style="403" bestFit="1" customWidth="1"/>
    <col min="13316" max="13316" width="14.140625" style="403" bestFit="1" customWidth="1"/>
    <col min="13317" max="13317" width="14.42578125" style="403" customWidth="1"/>
    <col min="13318" max="13319" width="16" style="403" customWidth="1"/>
    <col min="13320" max="13569" width="9.140625" style="403"/>
    <col min="13570" max="13570" width="20.85546875" style="403" bestFit="1" customWidth="1"/>
    <col min="13571" max="13571" width="14.7109375" style="403" bestFit="1" customWidth="1"/>
    <col min="13572" max="13572" width="14.140625" style="403" bestFit="1" customWidth="1"/>
    <col min="13573" max="13573" width="14.42578125" style="403" customWidth="1"/>
    <col min="13574" max="13575" width="16" style="403" customWidth="1"/>
    <col min="13576" max="13825" width="9.140625" style="403"/>
    <col min="13826" max="13826" width="20.85546875" style="403" bestFit="1" customWidth="1"/>
    <col min="13827" max="13827" width="14.7109375" style="403" bestFit="1" customWidth="1"/>
    <col min="13828" max="13828" width="14.140625" style="403" bestFit="1" customWidth="1"/>
    <col min="13829" max="13829" width="14.42578125" style="403" customWidth="1"/>
    <col min="13830" max="13831" width="16" style="403" customWidth="1"/>
    <col min="13832" max="14081" width="9.140625" style="403"/>
    <col min="14082" max="14082" width="20.85546875" style="403" bestFit="1" customWidth="1"/>
    <col min="14083" max="14083" width="14.7109375" style="403" bestFit="1" customWidth="1"/>
    <col min="14084" max="14084" width="14.140625" style="403" bestFit="1" customWidth="1"/>
    <col min="14085" max="14085" width="14.42578125" style="403" customWidth="1"/>
    <col min="14086" max="14087" width="16" style="403" customWidth="1"/>
    <col min="14088" max="14337" width="9.140625" style="403"/>
    <col min="14338" max="14338" width="20.85546875" style="403" bestFit="1" customWidth="1"/>
    <col min="14339" max="14339" width="14.7109375" style="403" bestFit="1" customWidth="1"/>
    <col min="14340" max="14340" width="14.140625" style="403" bestFit="1" customWidth="1"/>
    <col min="14341" max="14341" width="14.42578125" style="403" customWidth="1"/>
    <col min="14342" max="14343" width="16" style="403" customWidth="1"/>
    <col min="14344" max="14593" width="9.140625" style="403"/>
    <col min="14594" max="14594" width="20.85546875" style="403" bestFit="1" customWidth="1"/>
    <col min="14595" max="14595" width="14.7109375" style="403" bestFit="1" customWidth="1"/>
    <col min="14596" max="14596" width="14.140625" style="403" bestFit="1" customWidth="1"/>
    <col min="14597" max="14597" width="14.42578125" style="403" customWidth="1"/>
    <col min="14598" max="14599" width="16" style="403" customWidth="1"/>
    <col min="14600" max="14849" width="9.140625" style="403"/>
    <col min="14850" max="14850" width="20.85546875" style="403" bestFit="1" customWidth="1"/>
    <col min="14851" max="14851" width="14.7109375" style="403" bestFit="1" customWidth="1"/>
    <col min="14852" max="14852" width="14.140625" style="403" bestFit="1" customWidth="1"/>
    <col min="14853" max="14853" width="14.42578125" style="403" customWidth="1"/>
    <col min="14854" max="14855" width="16" style="403" customWidth="1"/>
    <col min="14856" max="15105" width="9.140625" style="403"/>
    <col min="15106" max="15106" width="20.85546875" style="403" bestFit="1" customWidth="1"/>
    <col min="15107" max="15107" width="14.7109375" style="403" bestFit="1" customWidth="1"/>
    <col min="15108" max="15108" width="14.140625" style="403" bestFit="1" customWidth="1"/>
    <col min="15109" max="15109" width="14.42578125" style="403" customWidth="1"/>
    <col min="15110" max="15111" width="16" style="403" customWidth="1"/>
    <col min="15112" max="15361" width="9.140625" style="403"/>
    <col min="15362" max="15362" width="20.85546875" style="403" bestFit="1" customWidth="1"/>
    <col min="15363" max="15363" width="14.7109375" style="403" bestFit="1" customWidth="1"/>
    <col min="15364" max="15364" width="14.140625" style="403" bestFit="1" customWidth="1"/>
    <col min="15365" max="15365" width="14.42578125" style="403" customWidth="1"/>
    <col min="15366" max="15367" width="16" style="403" customWidth="1"/>
    <col min="15368" max="15617" width="9.140625" style="403"/>
    <col min="15618" max="15618" width="20.85546875" style="403" bestFit="1" customWidth="1"/>
    <col min="15619" max="15619" width="14.7109375" style="403" bestFit="1" customWidth="1"/>
    <col min="15620" max="15620" width="14.140625" style="403" bestFit="1" customWidth="1"/>
    <col min="15621" max="15621" width="14.42578125" style="403" customWidth="1"/>
    <col min="15622" max="15623" width="16" style="403" customWidth="1"/>
    <col min="15624" max="15873" width="9.140625" style="403"/>
    <col min="15874" max="15874" width="20.85546875" style="403" bestFit="1" customWidth="1"/>
    <col min="15875" max="15875" width="14.7109375" style="403" bestFit="1" customWidth="1"/>
    <col min="15876" max="15876" width="14.140625" style="403" bestFit="1" customWidth="1"/>
    <col min="15877" max="15877" width="14.42578125" style="403" customWidth="1"/>
    <col min="15878" max="15879" width="16" style="403" customWidth="1"/>
    <col min="15880" max="16129" width="9.140625" style="403"/>
    <col min="16130" max="16130" width="20.85546875" style="403" bestFit="1" customWidth="1"/>
    <col min="16131" max="16131" width="14.7109375" style="403" bestFit="1" customWidth="1"/>
    <col min="16132" max="16132" width="14.140625" style="403" bestFit="1" customWidth="1"/>
    <col min="16133" max="16133" width="14.42578125" style="403" customWidth="1"/>
    <col min="16134" max="16135" width="16" style="403" customWidth="1"/>
    <col min="16136" max="16384" width="9.140625" style="403"/>
  </cols>
  <sheetData>
    <row r="1" spans="1:7" x14ac:dyDescent="0.25">
      <c r="A1" s="427"/>
      <c r="B1" s="427" t="s">
        <v>3957</v>
      </c>
      <c r="C1" s="427"/>
      <c r="D1" s="403" t="s">
        <v>4186</v>
      </c>
      <c r="F1" s="435">
        <v>4.6061999999999999E-2</v>
      </c>
    </row>
    <row r="3" spans="1:7" ht="26.25" x14ac:dyDescent="0.25">
      <c r="A3" s="430" t="s">
        <v>3573</v>
      </c>
      <c r="B3" s="430" t="s">
        <v>2757</v>
      </c>
      <c r="C3" s="430" t="s">
        <v>2756</v>
      </c>
      <c r="D3" s="430" t="s">
        <v>3945</v>
      </c>
      <c r="E3" s="430" t="s">
        <v>2762</v>
      </c>
      <c r="F3" s="430" t="s">
        <v>2766</v>
      </c>
      <c r="G3" s="430" t="s">
        <v>2767</v>
      </c>
    </row>
    <row r="4" spans="1:7" x14ac:dyDescent="0.25">
      <c r="A4" s="405" t="s">
        <v>552</v>
      </c>
      <c r="B4" s="405" t="s">
        <v>1928</v>
      </c>
      <c r="C4" s="405" t="s">
        <v>1927</v>
      </c>
      <c r="D4" s="405">
        <f>SUMIFS('Buildings data'!$I:$I,'Buildings data'!$B:$B,$A4,'Buildings data'!$D:$D,$C4)</f>
        <v>485</v>
      </c>
      <c r="E4" s="413">
        <f>D4/$D$7</f>
        <v>0.50321295766933172</v>
      </c>
      <c r="F4" s="424">
        <f>SUMIFS('Staff data'!$N:$N,'Staff data'!$B:$B,$A4,'Staff data'!$D:$D,$C4)</f>
        <v>1.1731378572591147</v>
      </c>
      <c r="G4" s="424">
        <f>F4*E4</f>
        <v>0.59033817090522134</v>
      </c>
    </row>
    <row r="5" spans="1:7" x14ac:dyDescent="0.25">
      <c r="A5" s="405" t="s">
        <v>552</v>
      </c>
      <c r="B5" s="405" t="s">
        <v>834</v>
      </c>
      <c r="C5" s="405" t="s">
        <v>833</v>
      </c>
      <c r="D5" s="405">
        <f>SUMIFS('Buildings data'!$I:$I,'Buildings data'!$B:$B,$A5,'Buildings data'!$D:$D,$C5)*$F$1</f>
        <v>19.806660000000001</v>
      </c>
      <c r="E5" s="413">
        <f>D5/$D$7</f>
        <v>2.055044940237288E-2</v>
      </c>
      <c r="F5" s="424">
        <f>SUMIFS('Staff data'!$N:$N,'Staff data'!$B:$B,$A5,'Staff data'!$D:$D,$C5)</f>
        <v>1.1584791691158631</v>
      </c>
      <c r="G5" s="424">
        <f t="shared" ref="G5:G6" si="0">F5*E5</f>
        <v>2.3807267548618519E-2</v>
      </c>
    </row>
    <row r="6" spans="1:7" x14ac:dyDescent="0.25">
      <c r="A6" s="405" t="s">
        <v>600</v>
      </c>
      <c r="B6" s="405" t="s">
        <v>721</v>
      </c>
      <c r="C6" s="405" t="s">
        <v>720</v>
      </c>
      <c r="D6" s="405">
        <f>SUMIFS('Buildings data'!$I:$I,'Buildings data'!$B:$B,$A6,'Buildings data'!$D:$D,$C6)</f>
        <v>459</v>
      </c>
      <c r="E6" s="413">
        <f>D6/$D$7</f>
        <v>0.4762365929282954</v>
      </c>
      <c r="F6" s="424">
        <f>SUMIFS('Staff data'!$N:$N,'Staff data'!$B:$B,$A6,'Staff data'!$D:$D,$C6)</f>
        <v>1.1831196983041017</v>
      </c>
      <c r="G6" s="424">
        <f t="shared" si="0"/>
        <v>0.56344489414669818</v>
      </c>
    </row>
    <row r="7" spans="1:7" x14ac:dyDescent="0.25">
      <c r="A7" s="405"/>
      <c r="B7" s="405" t="s">
        <v>2749</v>
      </c>
      <c r="C7" s="405"/>
      <c r="D7" s="405">
        <f>SUM(D4:D6)</f>
        <v>963.80665999999997</v>
      </c>
      <c r="E7" s="405"/>
      <c r="F7" s="405"/>
      <c r="G7" s="428">
        <f>SUM(G4:G6)</f>
        <v>1.1775903326005381</v>
      </c>
    </row>
    <row r="9" spans="1:7" x14ac:dyDescent="0.25">
      <c r="A9" s="427"/>
      <c r="B9" s="427" t="s">
        <v>3954</v>
      </c>
      <c r="C9" s="427"/>
    </row>
    <row r="11" spans="1:7" ht="26.25" x14ac:dyDescent="0.25">
      <c r="A11" s="430" t="s">
        <v>3573</v>
      </c>
      <c r="B11" s="430" t="s">
        <v>2757</v>
      </c>
      <c r="C11" s="430" t="s">
        <v>2756</v>
      </c>
      <c r="D11" s="430" t="s">
        <v>3945</v>
      </c>
      <c r="E11" s="430" t="s">
        <v>2762</v>
      </c>
      <c r="F11" s="430" t="s">
        <v>527</v>
      </c>
      <c r="G11" s="430" t="s">
        <v>2768</v>
      </c>
    </row>
    <row r="12" spans="1:7" x14ac:dyDescent="0.25">
      <c r="A12" s="405" t="s">
        <v>552</v>
      </c>
      <c r="B12" s="405" t="s">
        <v>1928</v>
      </c>
      <c r="C12" s="405" t="s">
        <v>1927</v>
      </c>
      <c r="D12" s="405">
        <f>D4</f>
        <v>485</v>
      </c>
      <c r="E12" s="413">
        <f>D12/$D$15</f>
        <v>0.50321295766933172</v>
      </c>
      <c r="F12" s="429">
        <f>SUMIFS('Buildings data'!$K:$K,'Buildings data'!$B:$B,$A12,'Buildings data'!$D:$D,$C12)</f>
        <v>1.154326716430494</v>
      </c>
      <c r="G12" s="429">
        <f>E12*F12</f>
        <v>0.58087216109171691</v>
      </c>
    </row>
    <row r="13" spans="1:7" x14ac:dyDescent="0.25">
      <c r="A13" s="405" t="s">
        <v>552</v>
      </c>
      <c r="B13" s="405" t="s">
        <v>834</v>
      </c>
      <c r="C13" s="405" t="s">
        <v>833</v>
      </c>
      <c r="D13" s="405">
        <f t="shared" ref="D13:D14" si="1">D5</f>
        <v>19.806660000000001</v>
      </c>
      <c r="E13" s="413">
        <f>D13/$D$15</f>
        <v>2.055044940237288E-2</v>
      </c>
      <c r="F13" s="429">
        <f>SUMIFS('Buildings data'!$K:$K,'Buildings data'!$B:$B,$A13,'Buildings data'!$D:$D,$C13)</f>
        <v>1.1443756240474725</v>
      </c>
      <c r="G13" s="429">
        <f t="shared" ref="G13:G14" si="2">E13*F13</f>
        <v>2.3517433359296472E-2</v>
      </c>
    </row>
    <row r="14" spans="1:7" x14ac:dyDescent="0.25">
      <c r="A14" s="405" t="s">
        <v>600</v>
      </c>
      <c r="B14" s="405" t="s">
        <v>721</v>
      </c>
      <c r="C14" s="405" t="s">
        <v>720</v>
      </c>
      <c r="D14" s="405">
        <f t="shared" si="1"/>
        <v>459</v>
      </c>
      <c r="E14" s="413">
        <f>D14/$D$15</f>
        <v>0.4762365929282954</v>
      </c>
      <c r="F14" s="429">
        <f>SUMIFS('Buildings data'!$K:$K,'Buildings data'!$B:$B,$A14,'Buildings data'!$D:$D,$C14)</f>
        <v>1.1145223468984178</v>
      </c>
      <c r="G14" s="429">
        <f t="shared" si="2"/>
        <v>0.53077632522935025</v>
      </c>
    </row>
    <row r="15" spans="1:7" x14ac:dyDescent="0.25">
      <c r="A15" s="405"/>
      <c r="B15" s="405" t="s">
        <v>2749</v>
      </c>
      <c r="C15" s="405"/>
      <c r="D15" s="405">
        <f>SUM(D12:D14)</f>
        <v>963.80665999999997</v>
      </c>
      <c r="E15" s="405"/>
      <c r="F15" s="405"/>
      <c r="G15" s="428">
        <f>SUM(G12:G14)</f>
        <v>1.1351659196803636</v>
      </c>
    </row>
    <row r="17" spans="1:8" x14ac:dyDescent="0.25">
      <c r="A17" s="427"/>
      <c r="B17" s="427" t="s">
        <v>525</v>
      </c>
      <c r="C17" s="427"/>
    </row>
    <row r="19" spans="1:8" ht="26.25" x14ac:dyDescent="0.25">
      <c r="A19" s="430" t="s">
        <v>3573</v>
      </c>
      <c r="B19" s="420" t="s">
        <v>2755</v>
      </c>
      <c r="C19" s="420"/>
      <c r="D19" s="420" t="s">
        <v>2726</v>
      </c>
      <c r="E19" s="420" t="s">
        <v>523</v>
      </c>
      <c r="F19" s="420" t="s">
        <v>524</v>
      </c>
      <c r="G19" s="420" t="s">
        <v>3812</v>
      </c>
    </row>
    <row r="20" spans="1:8" x14ac:dyDescent="0.25">
      <c r="A20" s="405" t="s">
        <v>552</v>
      </c>
      <c r="B20" s="405" t="s">
        <v>1928</v>
      </c>
      <c r="C20" s="405"/>
      <c r="D20" s="455">
        <f>'Index values'!D56</f>
        <v>18</v>
      </c>
      <c r="E20" s="455">
        <f>'Index values'!E56</f>
        <v>55174</v>
      </c>
      <c r="F20" s="455">
        <f>E20/D20</f>
        <v>3065.2222222222222</v>
      </c>
      <c r="G20" s="424">
        <f>F20/F$24</f>
        <v>2.7022040454694083</v>
      </c>
    </row>
    <row r="21" spans="1:8" x14ac:dyDescent="0.25">
      <c r="A21" s="405" t="s">
        <v>552</v>
      </c>
      <c r="B21" s="405" t="s">
        <v>4185</v>
      </c>
      <c r="C21" s="405"/>
      <c r="D21" s="455">
        <f>'Index values'!D55</f>
        <v>38</v>
      </c>
      <c r="E21" s="455">
        <f>'Index values'!E55</f>
        <v>17264</v>
      </c>
      <c r="F21" s="455">
        <f>E21/D21</f>
        <v>454.31578947368422</v>
      </c>
      <c r="G21" s="424">
        <f>F21/F$24</f>
        <v>0.40051059115263554</v>
      </c>
    </row>
    <row r="22" spans="1:8" x14ac:dyDescent="0.25">
      <c r="A22" s="405" t="s">
        <v>600</v>
      </c>
      <c r="B22" s="405" t="s">
        <v>721</v>
      </c>
      <c r="C22" s="405"/>
      <c r="D22" s="455">
        <f>INDEX('Land data'!$D:$D,MATCH($A22,'Land data'!$B:$B,0),1)</f>
        <v>5.84</v>
      </c>
      <c r="E22" s="455">
        <f>INDEX('Land data'!$E:$E,MATCH($A22,'Land data'!$B:$B,0),1)</f>
        <v>31742</v>
      </c>
      <c r="F22" s="455">
        <f>E22/D22</f>
        <v>5435.2739726027403</v>
      </c>
      <c r="G22" s="424">
        <f>F22/F$24</f>
        <v>4.7915675446048995</v>
      </c>
    </row>
    <row r="23" spans="1:8" x14ac:dyDescent="0.25">
      <c r="A23" s="405"/>
      <c r="B23" s="405" t="s">
        <v>2749</v>
      </c>
      <c r="C23" s="405"/>
      <c r="D23" s="455">
        <f>SUM(D20:D22)</f>
        <v>61.84</v>
      </c>
      <c r="E23" s="455">
        <f>SUM(E20:E22)</f>
        <v>104180</v>
      </c>
      <c r="F23" s="455">
        <f>E23/D23</f>
        <v>1684.6701164294955</v>
      </c>
      <c r="G23" s="426">
        <f>G20*E12+G21*E13+G22*E14</f>
        <v>3.6499345648137265</v>
      </c>
    </row>
    <row r="24" spans="1:8" x14ac:dyDescent="0.25">
      <c r="A24" s="405"/>
      <c r="B24" s="405" t="s">
        <v>3942</v>
      </c>
      <c r="C24" s="405"/>
      <c r="D24" s="456">
        <f>SUM('PCT data'!$M$3:$M$154)+SUM('Land data'!$D$2:$D$234)</f>
        <v>7611.3175000000019</v>
      </c>
      <c r="E24" s="456">
        <f>SUM('PCT data'!$N$3:$N$154)+SUM('Land data'!$E$2:$E$234)</f>
        <v>8633833.4000000004</v>
      </c>
      <c r="F24" s="455">
        <f>E24/D24</f>
        <v>1134.3415118341861</v>
      </c>
      <c r="G24" s="424"/>
    </row>
    <row r="25" spans="1:8" x14ac:dyDescent="0.25">
      <c r="G25" s="433"/>
    </row>
    <row r="26" spans="1:8" x14ac:dyDescent="0.25">
      <c r="B26" s="423" t="s">
        <v>3933</v>
      </c>
      <c r="G26" s="433"/>
      <c r="H26" s="433"/>
    </row>
    <row r="27" spans="1:8" x14ac:dyDescent="0.25">
      <c r="B27" s="423"/>
      <c r="G27" s="433"/>
      <c r="H27" s="433"/>
    </row>
    <row r="28" spans="1:8" ht="39" x14ac:dyDescent="0.25">
      <c r="B28" s="422" t="s">
        <v>3939</v>
      </c>
      <c r="C28" s="421" t="s">
        <v>4184</v>
      </c>
      <c r="D28" s="421" t="s">
        <v>3937</v>
      </c>
      <c r="E28" s="420" t="s">
        <v>4183</v>
      </c>
      <c r="F28" s="421" t="s">
        <v>4188</v>
      </c>
      <c r="G28" s="433"/>
      <c r="H28" s="434"/>
    </row>
    <row r="29" spans="1:8" x14ac:dyDescent="0.25">
      <c r="B29" s="419" t="s">
        <v>2734</v>
      </c>
      <c r="C29" s="418">
        <f>G7</f>
        <v>1.1775903326005381</v>
      </c>
      <c r="D29" s="415">
        <f>Staff_Weight</f>
        <v>0.54914759484508857</v>
      </c>
      <c r="E29" s="406">
        <f>C29*D29</f>
        <v>0.6466708988604134</v>
      </c>
      <c r="F29" s="405"/>
      <c r="G29" s="433"/>
      <c r="H29" s="433"/>
    </row>
    <row r="30" spans="1:8" x14ac:dyDescent="0.25">
      <c r="B30" s="417" t="s">
        <v>3935</v>
      </c>
      <c r="C30" s="416">
        <f>G15</f>
        <v>1.1351659196803636</v>
      </c>
      <c r="D30" s="415">
        <f>Building_Weight</f>
        <v>2.6635675286214532E-2</v>
      </c>
      <c r="E30" s="406">
        <f>C30*D30</f>
        <v>3.0235910832583254E-2</v>
      </c>
      <c r="F30" s="405"/>
      <c r="G30" s="433"/>
      <c r="H30" s="433"/>
    </row>
    <row r="31" spans="1:8" x14ac:dyDescent="0.25">
      <c r="B31" s="417" t="s">
        <v>2735</v>
      </c>
      <c r="C31" s="406">
        <f>'Index values'!F41</f>
        <v>1.0185025427599708</v>
      </c>
      <c r="D31" s="415">
        <f>MnD_Weight</f>
        <v>0.13904710383678176</v>
      </c>
      <c r="E31" s="406">
        <f>C31*D31</f>
        <v>0.14161982882117191</v>
      </c>
      <c r="F31" s="405"/>
      <c r="G31" s="433"/>
      <c r="H31" s="433"/>
    </row>
    <row r="32" spans="1:8" x14ac:dyDescent="0.25">
      <c r="B32" s="405" t="s">
        <v>4187</v>
      </c>
      <c r="C32" s="416">
        <f>G23</f>
        <v>3.6499345648137265</v>
      </c>
      <c r="D32" s="415">
        <f>Land_Weight</f>
        <v>4.4820020140147153E-3</v>
      </c>
      <c r="E32" s="406">
        <f>C32*D32</f>
        <v>1.6359014070517045E-2</v>
      </c>
      <c r="F32" s="405"/>
      <c r="G32" s="433"/>
      <c r="H32" s="433"/>
    </row>
    <row r="33" spans="1:8" x14ac:dyDescent="0.25">
      <c r="B33" s="405" t="s">
        <v>632</v>
      </c>
      <c r="C33" s="406">
        <v>1</v>
      </c>
      <c r="D33" s="413">
        <f>Other_Weight</f>
        <v>0.28068762401790043</v>
      </c>
      <c r="E33" s="406">
        <f>C33*D33</f>
        <v>0.28068762401790043</v>
      </c>
      <c r="F33" s="405"/>
      <c r="G33" s="433"/>
      <c r="H33" s="432"/>
    </row>
    <row r="34" spans="1:8" x14ac:dyDescent="0.25">
      <c r="B34" s="411" t="s">
        <v>3933</v>
      </c>
      <c r="C34" s="406"/>
      <c r="D34" s="405"/>
      <c r="E34" s="410">
        <f>SUM(E29:E33)</f>
        <v>1.1155732766025861</v>
      </c>
      <c r="F34" s="409">
        <f ca="1">E34/C36</f>
        <v>1.2043007239644323</v>
      </c>
    </row>
    <row r="36" spans="1:8" ht="30" x14ac:dyDescent="0.25">
      <c r="B36" s="408" t="s">
        <v>3932</v>
      </c>
      <c r="C36" s="403">
        <f ca="1">Lowest_Underlying_MFF</f>
        <v>0.92632450882387185</v>
      </c>
      <c r="F36" s="430" t="s">
        <v>3573</v>
      </c>
      <c r="G36" s="420" t="s">
        <v>2755</v>
      </c>
      <c r="H36" s="407" t="s">
        <v>4202</v>
      </c>
    </row>
    <row r="37" spans="1:8" x14ac:dyDescent="0.25">
      <c r="F37" s="405" t="s">
        <v>600</v>
      </c>
      <c r="G37" s="405" t="s">
        <v>3785</v>
      </c>
      <c r="H37" s="406">
        <f ca="1">INDEX('All Trusts'!$N$6:$N$261,MATCH($F37,'All Trusts'!$B$6:$B$261,0),1)</f>
        <v>1.2125088450041175</v>
      </c>
    </row>
    <row r="38" spans="1:8" x14ac:dyDescent="0.25">
      <c r="F38" s="405" t="s">
        <v>552</v>
      </c>
      <c r="G38" s="405" t="s">
        <v>4180</v>
      </c>
      <c r="H38" s="406">
        <f ca="1">INDEX('All Trusts'!$N$6:$N$261,MATCH($F38,'All Trusts'!$B$6:$B$261,0),1)</f>
        <v>1.184976805812578</v>
      </c>
    </row>
    <row r="39" spans="1:8" x14ac:dyDescent="0.25">
      <c r="A39" s="229" t="s">
        <v>3925</v>
      </c>
      <c r="G39" s="405" t="s">
        <v>4179</v>
      </c>
      <c r="H39" s="404">
        <f ca="1">F34</f>
        <v>1.2043007239644323</v>
      </c>
    </row>
    <row r="40" spans="1:8" x14ac:dyDescent="0.25">
      <c r="A40" s="228" t="s">
        <v>3920</v>
      </c>
    </row>
    <row r="41" spans="1:8" x14ac:dyDescent="0.25">
      <c r="A41" s="457" t="s">
        <v>4203</v>
      </c>
    </row>
    <row r="42" spans="1:8" x14ac:dyDescent="0.25">
      <c r="A42" s="457" t="s">
        <v>4201</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92D050"/>
  </sheetPr>
  <dimension ref="A1:H41"/>
  <sheetViews>
    <sheetView workbookViewId="0"/>
  </sheetViews>
  <sheetFormatPr defaultRowHeight="15" x14ac:dyDescent="0.25"/>
  <cols>
    <col min="1" max="1" width="9.140625" style="397"/>
    <col min="2" max="2" width="29" style="397" bestFit="1" customWidth="1"/>
    <col min="3" max="6" width="16" style="397" customWidth="1"/>
    <col min="7" max="7" width="37.7109375" style="397" bestFit="1" customWidth="1"/>
    <col min="8" max="8" width="22.7109375" style="397" bestFit="1" customWidth="1"/>
    <col min="9" max="9" width="10" style="397" bestFit="1" customWidth="1"/>
    <col min="10" max="16384" width="9.140625" style="397"/>
  </cols>
  <sheetData>
    <row r="1" spans="1:8" x14ac:dyDescent="0.25">
      <c r="A1" s="427"/>
      <c r="B1" s="427" t="s">
        <v>3957</v>
      </c>
      <c r="C1" s="427"/>
      <c r="D1" s="403" t="s">
        <v>4189</v>
      </c>
      <c r="E1" s="403"/>
      <c r="F1" s="435">
        <v>1.0673999999999999E-2</v>
      </c>
      <c r="G1" s="403"/>
      <c r="H1" s="403"/>
    </row>
    <row r="2" spans="1:8" x14ac:dyDescent="0.25">
      <c r="A2" s="403"/>
      <c r="B2" s="403"/>
      <c r="C2" s="403"/>
      <c r="D2" s="403"/>
      <c r="E2" s="403"/>
      <c r="F2" s="403"/>
      <c r="G2" s="403"/>
    </row>
    <row r="3" spans="1:8" ht="26.25" x14ac:dyDescent="0.25">
      <c r="A3" s="430" t="s">
        <v>3573</v>
      </c>
      <c r="B3" s="430" t="s">
        <v>2757</v>
      </c>
      <c r="C3" s="430" t="s">
        <v>2756</v>
      </c>
      <c r="D3" s="430" t="s">
        <v>3945</v>
      </c>
      <c r="E3" s="430" t="s">
        <v>2762</v>
      </c>
      <c r="F3" s="430" t="s">
        <v>2766</v>
      </c>
      <c r="G3" s="430" t="s">
        <v>2767</v>
      </c>
    </row>
    <row r="4" spans="1:8" x14ac:dyDescent="0.25">
      <c r="A4" s="405" t="s">
        <v>2381</v>
      </c>
      <c r="B4" s="405" t="s">
        <v>856</v>
      </c>
      <c r="C4" s="405" t="s">
        <v>855</v>
      </c>
      <c r="D4" s="405">
        <f>SUMIFS('Buildings data'!$I:$I,'Buildings data'!$B:$B,$A4,'Buildings data'!$D:$D,$C4)</f>
        <v>266</v>
      </c>
      <c r="E4" s="413">
        <f>D4/$D$7</f>
        <v>0.23843889145564273</v>
      </c>
      <c r="F4" s="424">
        <f>SUMIFS('Staff data'!$N:$N,'Staff data'!$B:$B,$A4,'Staff data'!$D:$D,$C4)</f>
        <v>1.1961617720287163</v>
      </c>
      <c r="G4" s="424">
        <f>F4*E4</f>
        <v>0.28521148692414433</v>
      </c>
    </row>
    <row r="5" spans="1:8" x14ac:dyDescent="0.25">
      <c r="A5" s="405" t="s">
        <v>2381</v>
      </c>
      <c r="B5" s="405" t="s">
        <v>719</v>
      </c>
      <c r="C5" s="405" t="s">
        <v>857</v>
      </c>
      <c r="D5" s="405">
        <f>SUMIFS('Buildings data'!$I:$I,'Buildings data'!$B:$B,$A5,'Buildings data'!$D:$D,$C5)</f>
        <v>845</v>
      </c>
      <c r="E5" s="413">
        <f>D5/$D$7</f>
        <v>0.75744685443615833</v>
      </c>
      <c r="F5" s="424">
        <f>SUMIFS('Staff data'!$N:$N,'Staff data'!$B:$B,$A5,'Staff data'!$D:$D,$C5)</f>
        <v>1.1984455849160889</v>
      </c>
      <c r="G5" s="424">
        <f t="shared" ref="G5:G6" si="0">F5*E5</f>
        <v>0.90775883850759342</v>
      </c>
    </row>
    <row r="6" spans="1:8" x14ac:dyDescent="0.25">
      <c r="A6" s="400" t="s">
        <v>552</v>
      </c>
      <c r="B6" s="405" t="s">
        <v>834</v>
      </c>
      <c r="C6" s="405" t="s">
        <v>833</v>
      </c>
      <c r="D6" s="405">
        <f>SUMIFS('Buildings data'!$I:$I,'Buildings data'!$B:$B,$A6,'Buildings data'!$D:$D,$C6)*$F$1</f>
        <v>4.5898199999999996</v>
      </c>
      <c r="E6" s="413">
        <f>D6/$D$7</f>
        <v>4.1142541081990152E-3</v>
      </c>
      <c r="F6" s="424">
        <f>SUMIFS('Staff data'!$N:$N,'Staff data'!$B:$B,$A6,'Staff data'!$D:$D,$C6)</f>
        <v>1.1584791691158631</v>
      </c>
      <c r="G6" s="424">
        <f t="shared" si="0"/>
        <v>4.7662776807979217E-3</v>
      </c>
    </row>
    <row r="7" spans="1:8" x14ac:dyDescent="0.25">
      <c r="A7" s="405"/>
      <c r="B7" s="405" t="s">
        <v>2749</v>
      </c>
      <c r="C7" s="405"/>
      <c r="D7" s="405">
        <f>SUM(D4:D6)</f>
        <v>1115.5898199999999</v>
      </c>
      <c r="E7" s="405"/>
      <c r="F7" s="405"/>
      <c r="G7" s="428">
        <f>SUM(G4:G6)</f>
        <v>1.1977366031125358</v>
      </c>
    </row>
    <row r="8" spans="1:8" x14ac:dyDescent="0.25">
      <c r="A8" s="403"/>
      <c r="B8" s="403"/>
      <c r="C8" s="403"/>
      <c r="D8" s="403"/>
      <c r="E8" s="403"/>
      <c r="F8" s="403"/>
      <c r="G8" s="403"/>
    </row>
    <row r="9" spans="1:8" x14ac:dyDescent="0.25">
      <c r="A9" s="427"/>
      <c r="B9" s="427" t="s">
        <v>3954</v>
      </c>
      <c r="C9" s="427"/>
      <c r="D9" s="403"/>
      <c r="E9" s="403"/>
      <c r="F9" s="403"/>
      <c r="G9" s="403"/>
    </row>
    <row r="10" spans="1:8" x14ac:dyDescent="0.25">
      <c r="A10" s="403"/>
      <c r="B10" s="403"/>
      <c r="C10" s="403"/>
      <c r="D10" s="403"/>
      <c r="E10" s="403"/>
      <c r="F10" s="403"/>
      <c r="G10" s="403"/>
    </row>
    <row r="11" spans="1:8" ht="26.25" x14ac:dyDescent="0.25">
      <c r="A11" s="430" t="s">
        <v>3573</v>
      </c>
      <c r="B11" s="430" t="s">
        <v>2757</v>
      </c>
      <c r="C11" s="430" t="s">
        <v>2756</v>
      </c>
      <c r="D11" s="430" t="s">
        <v>3945</v>
      </c>
      <c r="E11" s="430" t="s">
        <v>2762</v>
      </c>
      <c r="F11" s="430" t="s">
        <v>527</v>
      </c>
      <c r="G11" s="430" t="s">
        <v>2768</v>
      </c>
    </row>
    <row r="12" spans="1:8" x14ac:dyDescent="0.25">
      <c r="A12" s="405" t="s">
        <v>2381</v>
      </c>
      <c r="B12" s="405" t="s">
        <v>856</v>
      </c>
      <c r="C12" s="405" t="s">
        <v>855</v>
      </c>
      <c r="D12" s="405">
        <f>D4</f>
        <v>266</v>
      </c>
      <c r="E12" s="413">
        <f>D12/$D$15</f>
        <v>0.23843889145564273</v>
      </c>
      <c r="F12" s="429">
        <f>SUMIFS('Buildings data'!$K:$K,'Buildings data'!$B:$B,$A12,'Buildings data'!$D:$D,$C12)</f>
        <v>1.2140332707286337</v>
      </c>
      <c r="G12" s="429">
        <f>E12*F12</f>
        <v>0.28947274726280359</v>
      </c>
    </row>
    <row r="13" spans="1:8" x14ac:dyDescent="0.25">
      <c r="A13" s="405" t="s">
        <v>2381</v>
      </c>
      <c r="B13" s="405" t="s">
        <v>719</v>
      </c>
      <c r="C13" s="405" t="s">
        <v>857</v>
      </c>
      <c r="D13" s="405">
        <f t="shared" ref="D13:D14" si="1">D5</f>
        <v>845</v>
      </c>
      <c r="E13" s="413">
        <f>D13/$D$15</f>
        <v>0.75744685443615833</v>
      </c>
      <c r="F13" s="429">
        <f>SUMIFS('Buildings data'!$K:$K,'Buildings data'!$B:$B,$A13,'Buildings data'!$D:$D,$C13)</f>
        <v>1.2140332707286337</v>
      </c>
      <c r="G13" s="429">
        <f t="shared" ref="G13:G14" si="2">E13*F13</f>
        <v>0.91956568209424461</v>
      </c>
    </row>
    <row r="14" spans="1:8" x14ac:dyDescent="0.25">
      <c r="A14" s="400" t="s">
        <v>552</v>
      </c>
      <c r="B14" s="405" t="s">
        <v>834</v>
      </c>
      <c r="C14" s="405" t="s">
        <v>833</v>
      </c>
      <c r="D14" s="405">
        <f t="shared" si="1"/>
        <v>4.5898199999999996</v>
      </c>
      <c r="E14" s="413">
        <f>D14/$D$15</f>
        <v>4.1142541081990152E-3</v>
      </c>
      <c r="F14" s="429">
        <f>SUMIFS('Buildings data'!$K:$K,'Buildings data'!$B:$B,$A14,'Buildings data'!$D:$D,$C14)</f>
        <v>1.1443756240474725</v>
      </c>
      <c r="G14" s="429">
        <f t="shared" si="2"/>
        <v>4.7082521125601257E-3</v>
      </c>
    </row>
    <row r="15" spans="1:8" x14ac:dyDescent="0.25">
      <c r="A15" s="405"/>
      <c r="B15" s="405" t="s">
        <v>2749</v>
      </c>
      <c r="C15" s="405"/>
      <c r="D15" s="405">
        <f>SUM(D12:D14)</f>
        <v>1115.5898199999999</v>
      </c>
      <c r="E15" s="405"/>
      <c r="F15" s="405"/>
      <c r="G15" s="428">
        <f>SUM(G12:G14)</f>
        <v>1.2137466814696083</v>
      </c>
    </row>
    <row r="16" spans="1:8" x14ac:dyDescent="0.25">
      <c r="A16" s="403"/>
      <c r="B16" s="403"/>
      <c r="C16" s="403"/>
      <c r="D16" s="403"/>
      <c r="E16" s="403"/>
      <c r="F16" s="403"/>
      <c r="G16" s="403"/>
    </row>
    <row r="17" spans="1:8" x14ac:dyDescent="0.25">
      <c r="A17" s="427"/>
      <c r="B17" s="427" t="s">
        <v>525</v>
      </c>
      <c r="C17" s="427"/>
      <c r="D17" s="403"/>
      <c r="E17" s="403"/>
      <c r="F17" s="403"/>
      <c r="G17" s="403"/>
    </row>
    <row r="18" spans="1:8" x14ac:dyDescent="0.25">
      <c r="A18" s="403"/>
      <c r="B18" s="403"/>
      <c r="C18" s="403"/>
      <c r="D18" s="403"/>
      <c r="E18" s="403"/>
      <c r="F18" s="403"/>
      <c r="G18" s="403"/>
    </row>
    <row r="19" spans="1:8" ht="26.25" x14ac:dyDescent="0.25">
      <c r="A19" s="430" t="s">
        <v>3573</v>
      </c>
      <c r="B19" s="430" t="s">
        <v>2757</v>
      </c>
      <c r="C19" s="430"/>
      <c r="D19" s="420" t="s">
        <v>2726</v>
      </c>
      <c r="E19" s="420" t="s">
        <v>523</v>
      </c>
      <c r="F19" s="420" t="s">
        <v>524</v>
      </c>
      <c r="G19" s="420" t="s">
        <v>3812</v>
      </c>
    </row>
    <row r="20" spans="1:8" x14ac:dyDescent="0.25">
      <c r="A20" s="405" t="s">
        <v>2381</v>
      </c>
      <c r="B20" s="400" t="s">
        <v>3446</v>
      </c>
      <c r="C20" s="400"/>
      <c r="D20" s="455">
        <f>INDEX('Land data'!$D:$D,MATCH($A20,'Land data'!$B:$B,0),1)</f>
        <v>9.36</v>
      </c>
      <c r="E20" s="455">
        <f>INDEX('Land data'!$E:$E,MATCH($A20,'Land data'!$B:$B,0),1)</f>
        <v>166950</v>
      </c>
      <c r="F20" s="455">
        <f>E20/D20</f>
        <v>17836.538461538461</v>
      </c>
      <c r="G20" s="424">
        <f>F20/F$23</f>
        <v>15.724134465199525</v>
      </c>
    </row>
    <row r="21" spans="1:8" x14ac:dyDescent="0.25">
      <c r="A21" s="400" t="s">
        <v>552</v>
      </c>
      <c r="B21" s="405" t="s">
        <v>4185</v>
      </c>
      <c r="C21" s="405"/>
      <c r="D21" s="455">
        <f>'Index values'!D55</f>
        <v>38</v>
      </c>
      <c r="E21" s="455">
        <f>'Index values'!E55</f>
        <v>17264</v>
      </c>
      <c r="F21" s="455">
        <f>E21/D21</f>
        <v>454.31578947368422</v>
      </c>
      <c r="G21" s="424">
        <f>F21/F$23</f>
        <v>0.40051059115263554</v>
      </c>
    </row>
    <row r="22" spans="1:8" x14ac:dyDescent="0.25">
      <c r="A22" s="405"/>
      <c r="B22" s="405" t="s">
        <v>2749</v>
      </c>
      <c r="C22" s="405"/>
      <c r="D22" s="455">
        <f>SUM(D20:D21)</f>
        <v>47.36</v>
      </c>
      <c r="E22" s="455">
        <f>SUM(E20:E21)</f>
        <v>184214</v>
      </c>
      <c r="F22" s="455">
        <f>E22/D22</f>
        <v>3889.6537162162163</v>
      </c>
      <c r="G22" s="426">
        <f>G20*SUM(E12:E13)+G21*E14</f>
        <v>15.661089182723233</v>
      </c>
    </row>
    <row r="23" spans="1:8" x14ac:dyDescent="0.25">
      <c r="A23" s="405"/>
      <c r="B23" s="405" t="s">
        <v>3942</v>
      </c>
      <c r="C23" s="405"/>
      <c r="D23" s="456">
        <f>SUM('PCT data'!$M$3:$M$154)+SUM('Land data'!$D$2:$D$234)</f>
        <v>7611.3175000000019</v>
      </c>
      <c r="E23" s="456">
        <f>SUM('PCT data'!$N$3:$N$154)+SUM('Land data'!$E$2:$E$234)</f>
        <v>8633833.4000000004</v>
      </c>
      <c r="F23" s="455">
        <f>E23/D23</f>
        <v>1134.3415118341861</v>
      </c>
      <c r="G23" s="425"/>
      <c r="H23" s="403"/>
    </row>
    <row r="24" spans="1:8" x14ac:dyDescent="0.25">
      <c r="B24" s="403"/>
      <c r="C24" s="403"/>
      <c r="D24" s="403"/>
      <c r="E24" s="403"/>
      <c r="F24" s="403"/>
      <c r="G24" s="403"/>
      <c r="H24" s="403"/>
    </row>
    <row r="25" spans="1:8" x14ac:dyDescent="0.25">
      <c r="B25" s="423" t="s">
        <v>3933</v>
      </c>
      <c r="C25" s="403"/>
      <c r="D25" s="403"/>
      <c r="E25" s="403"/>
      <c r="F25" s="403"/>
      <c r="G25" s="403"/>
      <c r="H25" s="403"/>
    </row>
    <row r="26" spans="1:8" x14ac:dyDescent="0.25">
      <c r="B26" s="423"/>
      <c r="C26" s="403"/>
      <c r="D26" s="403"/>
      <c r="E26" s="403"/>
      <c r="F26" s="403"/>
      <c r="G26" s="403"/>
      <c r="H26" s="403"/>
    </row>
    <row r="27" spans="1:8" ht="30" x14ac:dyDescent="0.25">
      <c r="B27" s="422" t="s">
        <v>3939</v>
      </c>
      <c r="C27" s="421" t="s">
        <v>4184</v>
      </c>
      <c r="D27" s="421" t="s">
        <v>3937</v>
      </c>
      <c r="E27" s="420" t="s">
        <v>4183</v>
      </c>
      <c r="F27" s="407" t="s">
        <v>4182</v>
      </c>
      <c r="G27" s="403"/>
      <c r="H27" s="403"/>
    </row>
    <row r="28" spans="1:8" x14ac:dyDescent="0.25">
      <c r="B28" s="419" t="s">
        <v>2734</v>
      </c>
      <c r="C28" s="418">
        <f>G7</f>
        <v>1.1977366031125358</v>
      </c>
      <c r="D28" s="415">
        <f>Staff_Weight</f>
        <v>0.54914759484508857</v>
      </c>
      <c r="E28" s="406">
        <f>C28*D28</f>
        <v>0.65773417485717545</v>
      </c>
      <c r="F28" s="414"/>
      <c r="G28" s="403"/>
      <c r="H28" s="403"/>
    </row>
    <row r="29" spans="1:8" x14ac:dyDescent="0.25">
      <c r="B29" s="417" t="s">
        <v>3935</v>
      </c>
      <c r="C29" s="416">
        <f>G15</f>
        <v>1.2137466814696083</v>
      </c>
      <c r="D29" s="415">
        <f>Building_Weight</f>
        <v>2.6635675286214532E-2</v>
      </c>
      <c r="E29" s="406">
        <f>C29*D29</f>
        <v>3.2328962487344945E-2</v>
      </c>
      <c r="F29" s="414"/>
      <c r="G29" s="403"/>
      <c r="H29" s="403"/>
    </row>
    <row r="30" spans="1:8" x14ac:dyDescent="0.25">
      <c r="B30" s="417" t="s">
        <v>2735</v>
      </c>
      <c r="C30" s="406">
        <f>'Index values'!F41</f>
        <v>1.0185025427599708</v>
      </c>
      <c r="D30" s="415">
        <f>MnD_Weight</f>
        <v>0.13904710383678176</v>
      </c>
      <c r="E30" s="406">
        <f>C30*D30</f>
        <v>0.14161982882117191</v>
      </c>
      <c r="F30" s="414"/>
      <c r="G30" s="403"/>
      <c r="H30" s="403"/>
    </row>
    <row r="31" spans="1:8" x14ac:dyDescent="0.25">
      <c r="B31" s="405" t="s">
        <v>2733</v>
      </c>
      <c r="C31" s="416">
        <f>G22</f>
        <v>15.661089182723233</v>
      </c>
      <c r="D31" s="415">
        <f>Land_Weight</f>
        <v>4.4820020140147153E-3</v>
      </c>
      <c r="E31" s="406">
        <f>C31*D31</f>
        <v>7.0193033258629606E-2</v>
      </c>
      <c r="F31" s="414"/>
      <c r="G31" s="403"/>
      <c r="H31" s="403"/>
    </row>
    <row r="32" spans="1:8" x14ac:dyDescent="0.25">
      <c r="B32" s="405" t="s">
        <v>632</v>
      </c>
      <c r="C32" s="406">
        <v>1</v>
      </c>
      <c r="D32" s="413">
        <f>Other_Weight</f>
        <v>0.28068762401790043</v>
      </c>
      <c r="E32" s="406">
        <f>C32*D32</f>
        <v>0.28068762401790043</v>
      </c>
      <c r="F32" s="412"/>
      <c r="G32" s="403"/>
      <c r="H32" s="403"/>
    </row>
    <row r="33" spans="1:8" x14ac:dyDescent="0.25">
      <c r="B33" s="411" t="s">
        <v>3933</v>
      </c>
      <c r="C33" s="406"/>
      <c r="D33" s="405"/>
      <c r="E33" s="410">
        <f>SUM(E28:E32)</f>
        <v>1.1825636234422223</v>
      </c>
      <c r="F33" s="409">
        <f ca="1">E33/C35</f>
        <v>1.2766191676647853</v>
      </c>
      <c r="G33" s="403"/>
      <c r="H33" s="403"/>
    </row>
    <row r="34" spans="1:8" x14ac:dyDescent="0.25">
      <c r="B34" s="403"/>
      <c r="C34" s="403"/>
      <c r="D34" s="403"/>
      <c r="E34" s="403"/>
      <c r="F34" s="403"/>
      <c r="G34" s="403"/>
      <c r="H34" s="403"/>
    </row>
    <row r="35" spans="1:8" ht="30" x14ac:dyDescent="0.25">
      <c r="B35" s="408" t="s">
        <v>3932</v>
      </c>
      <c r="C35" s="403">
        <f ca="1">Lowest_Underlying_MFF</f>
        <v>0.92632450882387185</v>
      </c>
      <c r="D35" s="403"/>
      <c r="E35" s="403"/>
      <c r="F35" s="430" t="s">
        <v>3573</v>
      </c>
      <c r="G35" s="420" t="s">
        <v>2755</v>
      </c>
      <c r="H35" s="407" t="s">
        <v>4202</v>
      </c>
    </row>
    <row r="36" spans="1:8" x14ac:dyDescent="0.25">
      <c r="B36" s="403"/>
      <c r="C36" s="403"/>
      <c r="D36" s="403"/>
      <c r="E36" s="403"/>
      <c r="F36" s="405" t="s">
        <v>2381</v>
      </c>
      <c r="G36" s="405" t="s">
        <v>2382</v>
      </c>
      <c r="H36" s="406">
        <f ca="1">INDEX('All Trusts'!$N$6:$N$261,MATCH($F36,'All Trusts'!$B$6:$B$261,0),1)</f>
        <v>1.2770285971983037</v>
      </c>
    </row>
    <row r="37" spans="1:8" x14ac:dyDescent="0.25">
      <c r="B37" s="403"/>
      <c r="C37" s="403"/>
      <c r="D37" s="403"/>
      <c r="E37" s="403"/>
      <c r="F37" s="400" t="s">
        <v>552</v>
      </c>
      <c r="G37" s="405" t="s">
        <v>4180</v>
      </c>
      <c r="H37" s="406">
        <f ca="1">INDEX('All Trusts'!$N$6:$N$261,MATCH($F37,'All Trusts'!$B$6:$B$261,0),1)</f>
        <v>1.184976805812578</v>
      </c>
    </row>
    <row r="38" spans="1:8" x14ac:dyDescent="0.25">
      <c r="A38" s="229" t="s">
        <v>3925</v>
      </c>
      <c r="B38" s="403"/>
      <c r="C38" s="403"/>
      <c r="D38" s="403"/>
      <c r="E38" s="403"/>
      <c r="F38" s="403"/>
      <c r="G38" s="405" t="s">
        <v>4179</v>
      </c>
      <c r="H38" s="404">
        <f ca="1">F33</f>
        <v>1.2766191676647853</v>
      </c>
    </row>
    <row r="39" spans="1:8" x14ac:dyDescent="0.25">
      <c r="A39" s="228" t="s">
        <v>3920</v>
      </c>
    </row>
    <row r="40" spans="1:8" x14ac:dyDescent="0.25">
      <c r="A40" s="457" t="s">
        <v>4203</v>
      </c>
    </row>
    <row r="41" spans="1:8" x14ac:dyDescent="0.25">
      <c r="A41" s="457" t="s">
        <v>4201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8"/>
  <sheetViews>
    <sheetView zoomScaleNormal="100" workbookViewId="0"/>
  </sheetViews>
  <sheetFormatPr defaultRowHeight="12.75" x14ac:dyDescent="0.2"/>
  <cols>
    <col min="1" max="1" width="1.140625" customWidth="1"/>
    <col min="2" max="2" width="21.5703125" customWidth="1"/>
    <col min="3" max="3" width="35.28515625" customWidth="1"/>
    <col min="4" max="4" width="62" customWidth="1"/>
    <col min="5" max="5" width="63" customWidth="1"/>
  </cols>
  <sheetData>
    <row r="1" spans="1:7" ht="15" x14ac:dyDescent="0.25">
      <c r="A1" s="609"/>
      <c r="B1" s="609"/>
      <c r="C1" s="609"/>
      <c r="D1" s="609"/>
      <c r="E1" s="609"/>
      <c r="F1" s="609"/>
      <c r="G1" s="610"/>
    </row>
    <row r="2" spans="1:7" ht="15" x14ac:dyDescent="0.25">
      <c r="A2" s="609"/>
      <c r="B2" s="609"/>
      <c r="C2" s="609"/>
      <c r="D2" s="609"/>
      <c r="E2" s="609"/>
      <c r="F2" s="609"/>
      <c r="G2" s="610"/>
    </row>
    <row r="3" spans="1:7" ht="23.25" x14ac:dyDescent="0.35">
      <c r="A3" s="609"/>
      <c r="B3" s="611" t="s">
        <v>4327</v>
      </c>
      <c r="C3" s="609"/>
      <c r="D3" s="609"/>
      <c r="E3" s="609"/>
      <c r="F3" s="609"/>
      <c r="G3" s="610"/>
    </row>
    <row r="4" spans="1:7" ht="15" x14ac:dyDescent="0.25">
      <c r="A4" s="609"/>
      <c r="B4" s="609"/>
      <c r="C4" s="609"/>
      <c r="D4" s="609"/>
      <c r="E4" s="609"/>
      <c r="F4" s="609"/>
      <c r="G4" s="610"/>
    </row>
    <row r="5" spans="1:7" ht="15" x14ac:dyDescent="0.25">
      <c r="A5" s="609"/>
      <c r="B5" s="609"/>
      <c r="C5" s="609"/>
      <c r="D5" s="609"/>
      <c r="E5" s="609"/>
      <c r="F5" s="609"/>
      <c r="G5" s="610"/>
    </row>
    <row r="6" spans="1:7" ht="15" x14ac:dyDescent="0.25">
      <c r="A6" s="609"/>
      <c r="B6" s="612" t="s">
        <v>4314</v>
      </c>
      <c r="C6" s="637" t="s">
        <v>4301</v>
      </c>
      <c r="D6" s="637"/>
      <c r="E6" s="637"/>
      <c r="F6" s="637"/>
      <c r="G6" s="610"/>
    </row>
    <row r="7" spans="1:7" ht="15.75" thickBot="1" x14ac:dyDescent="0.3">
      <c r="A7" s="609"/>
      <c r="B7" s="613"/>
      <c r="C7" s="614"/>
      <c r="D7" s="614"/>
      <c r="E7" s="614"/>
      <c r="F7" s="614"/>
      <c r="G7" s="610"/>
    </row>
    <row r="8" spans="1:7" ht="15.75" thickBot="1" x14ac:dyDescent="0.3">
      <c r="A8" s="516"/>
      <c r="B8" s="517" t="s">
        <v>4236</v>
      </c>
      <c r="C8" s="518" t="s">
        <v>4237</v>
      </c>
      <c r="D8" s="519" t="s">
        <v>4238</v>
      </c>
      <c r="E8" s="615" t="s">
        <v>4239</v>
      </c>
      <c r="F8" s="616"/>
      <c r="G8" s="610"/>
    </row>
    <row r="9" spans="1:7" ht="30" x14ac:dyDescent="0.25">
      <c r="A9" s="516"/>
      <c r="B9" s="517"/>
      <c r="C9" s="529" t="s">
        <v>4248</v>
      </c>
      <c r="D9" s="520" t="s">
        <v>4276</v>
      </c>
      <c r="E9" s="617" t="s">
        <v>4275</v>
      </c>
      <c r="F9" s="616"/>
      <c r="G9" s="610"/>
    </row>
    <row r="10" spans="1:7" ht="30" x14ac:dyDescent="0.25">
      <c r="A10" s="516"/>
      <c r="B10" s="517"/>
      <c r="C10" s="529" t="s">
        <v>4249</v>
      </c>
      <c r="D10" s="520" t="s">
        <v>4277</v>
      </c>
      <c r="E10" s="618" t="s">
        <v>4275</v>
      </c>
      <c r="F10" s="616"/>
      <c r="G10" s="610"/>
    </row>
    <row r="11" spans="1:7" ht="30" x14ac:dyDescent="0.25">
      <c r="A11" s="516"/>
      <c r="B11" s="517"/>
      <c r="C11" s="529" t="s">
        <v>4250</v>
      </c>
      <c r="D11" s="520" t="s">
        <v>4278</v>
      </c>
      <c r="E11" s="618" t="s">
        <v>4275</v>
      </c>
      <c r="F11" s="616"/>
      <c r="G11" s="610"/>
    </row>
    <row r="12" spans="1:7" ht="15" x14ac:dyDescent="0.25">
      <c r="A12" s="516"/>
      <c r="B12" s="517"/>
      <c r="C12" s="529" t="s">
        <v>4251</v>
      </c>
      <c r="D12" s="520" t="s">
        <v>4279</v>
      </c>
      <c r="E12" s="618" t="s">
        <v>4275</v>
      </c>
      <c r="F12" s="616"/>
      <c r="G12" s="610"/>
    </row>
    <row r="13" spans="1:7" ht="15" x14ac:dyDescent="0.25">
      <c r="A13" s="516"/>
      <c r="B13" s="517"/>
      <c r="C13" s="529" t="s">
        <v>4252</v>
      </c>
      <c r="D13" s="520" t="s">
        <v>4280</v>
      </c>
      <c r="E13" s="618" t="s">
        <v>4275</v>
      </c>
      <c r="F13" s="616"/>
      <c r="G13" s="610"/>
    </row>
    <row r="14" spans="1:7" ht="15" x14ac:dyDescent="0.25">
      <c r="A14" s="516"/>
      <c r="B14" s="517"/>
      <c r="C14" s="529" t="s">
        <v>4253</v>
      </c>
      <c r="D14" s="520" t="s">
        <v>4302</v>
      </c>
      <c r="E14" s="618" t="s">
        <v>4275</v>
      </c>
      <c r="F14" s="616"/>
      <c r="G14" s="610"/>
    </row>
    <row r="15" spans="1:7" ht="45" x14ac:dyDescent="0.25">
      <c r="A15" s="516"/>
      <c r="B15" s="517"/>
      <c r="C15" s="529" t="s">
        <v>4303</v>
      </c>
      <c r="D15" s="520" t="s">
        <v>4300</v>
      </c>
      <c r="E15" s="618" t="s">
        <v>4275</v>
      </c>
      <c r="F15" s="616"/>
      <c r="G15" s="610"/>
    </row>
    <row r="16" spans="1:7" ht="30" x14ac:dyDescent="0.25">
      <c r="A16" s="516"/>
      <c r="B16" s="517"/>
      <c r="C16" s="530" t="s">
        <v>4270</v>
      </c>
      <c r="D16" s="521" t="s">
        <v>4295</v>
      </c>
      <c r="E16" s="618" t="s">
        <v>4284</v>
      </c>
      <c r="F16" s="616"/>
      <c r="G16" s="610"/>
    </row>
    <row r="17" spans="1:7" ht="26.25" thickBot="1" x14ac:dyDescent="0.3">
      <c r="A17" s="516"/>
      <c r="B17" s="517"/>
      <c r="C17" s="530" t="s">
        <v>4274</v>
      </c>
      <c r="D17" s="522" t="s">
        <v>4316</v>
      </c>
      <c r="E17" s="619" t="s">
        <v>4176</v>
      </c>
      <c r="F17" s="616"/>
      <c r="G17" s="610"/>
    </row>
    <row r="18" spans="1:7" ht="15.75" thickBot="1" x14ac:dyDescent="0.3">
      <c r="A18" s="609"/>
      <c r="B18" s="613"/>
      <c r="C18" s="614"/>
      <c r="D18" s="614"/>
      <c r="E18" s="614"/>
      <c r="F18" s="614"/>
      <c r="G18" s="610"/>
    </row>
    <row r="19" spans="1:7" ht="15.75" thickBot="1" x14ac:dyDescent="0.3">
      <c r="A19" s="516"/>
      <c r="B19" s="523" t="s">
        <v>4240</v>
      </c>
      <c r="C19" s="518" t="s">
        <v>4237</v>
      </c>
      <c r="D19" s="519" t="s">
        <v>4238</v>
      </c>
      <c r="E19" s="615" t="s">
        <v>4241</v>
      </c>
      <c r="F19" s="614"/>
      <c r="G19" s="610"/>
    </row>
    <row r="20" spans="1:7" ht="15.75" thickBot="1" x14ac:dyDescent="0.3">
      <c r="A20" s="516"/>
      <c r="B20" s="523"/>
      <c r="C20" s="533" t="s">
        <v>4242</v>
      </c>
      <c r="D20" s="534" t="s">
        <v>4317</v>
      </c>
      <c r="E20" s="620" t="s">
        <v>4313</v>
      </c>
      <c r="F20" s="614"/>
      <c r="G20" s="610"/>
    </row>
    <row r="21" spans="1:7" x14ac:dyDescent="0.2">
      <c r="A21" s="610"/>
      <c r="B21" s="610"/>
      <c r="C21" s="610"/>
      <c r="D21" s="610"/>
      <c r="E21" s="610"/>
      <c r="F21" s="610"/>
      <c r="G21" s="610"/>
    </row>
    <row r="22" spans="1:7" ht="15" x14ac:dyDescent="0.25">
      <c r="B22" s="523" t="s">
        <v>4243</v>
      </c>
      <c r="C22" s="610"/>
      <c r="D22" s="610"/>
      <c r="E22" s="610"/>
      <c r="F22" s="610"/>
      <c r="G22" s="610"/>
    </row>
    <row r="23" spans="1:7" x14ac:dyDescent="0.2">
      <c r="A23" s="610"/>
      <c r="B23" s="610"/>
      <c r="C23" s="610"/>
      <c r="D23" s="610"/>
      <c r="E23" s="610"/>
      <c r="F23" s="610"/>
      <c r="G23" s="610"/>
    </row>
    <row r="24" spans="1:7" x14ac:dyDescent="0.2">
      <c r="A24" s="610"/>
      <c r="B24" s="610"/>
      <c r="C24" s="610"/>
      <c r="D24" s="610"/>
      <c r="E24" s="610"/>
      <c r="F24" s="610"/>
      <c r="G24" s="610"/>
    </row>
    <row r="25" spans="1:7" x14ac:dyDescent="0.2">
      <c r="A25" s="610"/>
      <c r="B25" s="610"/>
      <c r="C25" s="610"/>
      <c r="D25" s="610"/>
      <c r="E25" s="610"/>
      <c r="F25" s="610"/>
      <c r="G25" s="610"/>
    </row>
    <row r="26" spans="1:7" x14ac:dyDescent="0.2">
      <c r="A26" s="610"/>
      <c r="B26" s="610"/>
      <c r="C26" s="610"/>
      <c r="D26" s="610"/>
      <c r="E26" s="610"/>
      <c r="F26" s="610"/>
      <c r="G26" s="610"/>
    </row>
    <row r="27" spans="1:7" x14ac:dyDescent="0.2">
      <c r="A27" s="610"/>
      <c r="B27" s="610"/>
      <c r="C27" s="610"/>
      <c r="D27" s="610"/>
      <c r="E27" s="610"/>
      <c r="F27" s="610"/>
      <c r="G27" s="610"/>
    </row>
    <row r="28" spans="1:7" x14ac:dyDescent="0.2">
      <c r="A28" s="610"/>
      <c r="B28" s="610"/>
      <c r="C28" s="610"/>
      <c r="D28" s="610"/>
      <c r="E28" s="610"/>
      <c r="F28" s="610"/>
      <c r="G28" s="610"/>
    </row>
    <row r="29" spans="1:7" x14ac:dyDescent="0.2">
      <c r="A29" s="610"/>
      <c r="B29" s="610"/>
      <c r="C29" s="610"/>
      <c r="D29" s="610"/>
      <c r="E29" s="610"/>
      <c r="F29" s="610"/>
      <c r="G29" s="610"/>
    </row>
    <row r="30" spans="1:7" x14ac:dyDescent="0.2">
      <c r="A30" s="610"/>
      <c r="B30" s="610"/>
      <c r="C30" s="610"/>
      <c r="D30" s="610"/>
      <c r="E30" s="610"/>
      <c r="F30" s="610"/>
      <c r="G30" s="610"/>
    </row>
    <row r="31" spans="1:7" x14ac:dyDescent="0.2">
      <c r="A31" s="610"/>
      <c r="B31" s="610"/>
      <c r="C31" s="610"/>
      <c r="D31" s="610"/>
      <c r="E31" s="610"/>
      <c r="F31" s="610"/>
      <c r="G31" s="610"/>
    </row>
    <row r="32" spans="1:7" x14ac:dyDescent="0.2">
      <c r="A32" s="610"/>
      <c r="B32" s="610"/>
      <c r="C32" s="610"/>
      <c r="D32" s="610"/>
      <c r="E32" s="610"/>
      <c r="F32" s="610"/>
      <c r="G32" s="610"/>
    </row>
    <row r="33" spans="1:7" x14ac:dyDescent="0.2">
      <c r="A33" s="610"/>
      <c r="B33" s="610"/>
      <c r="C33" s="610"/>
      <c r="D33" s="610"/>
      <c r="E33" s="610"/>
      <c r="F33" s="610"/>
      <c r="G33" s="610"/>
    </row>
    <row r="34" spans="1:7" x14ac:dyDescent="0.2">
      <c r="A34" s="610"/>
      <c r="B34" s="610"/>
      <c r="C34" s="610"/>
      <c r="D34" s="610"/>
      <c r="E34" s="610"/>
      <c r="F34" s="610"/>
      <c r="G34" s="610"/>
    </row>
    <row r="35" spans="1:7" x14ac:dyDescent="0.2">
      <c r="A35" s="610"/>
      <c r="B35" s="610"/>
      <c r="C35" s="610"/>
      <c r="D35" s="610"/>
      <c r="E35" s="610"/>
      <c r="F35" s="610"/>
      <c r="G35" s="610"/>
    </row>
    <row r="36" spans="1:7" x14ac:dyDescent="0.2">
      <c r="A36" s="610"/>
      <c r="B36" s="610"/>
      <c r="C36" s="610"/>
      <c r="D36" s="610"/>
      <c r="E36" s="610"/>
      <c r="F36" s="610"/>
      <c r="G36" s="610"/>
    </row>
    <row r="37" spans="1:7" x14ac:dyDescent="0.2">
      <c r="A37" s="610"/>
      <c r="B37" s="610"/>
      <c r="C37" s="610"/>
      <c r="D37" s="610"/>
      <c r="E37" s="610"/>
      <c r="F37" s="610"/>
      <c r="G37" s="610"/>
    </row>
    <row r="38" spans="1:7" x14ac:dyDescent="0.2">
      <c r="A38" s="610"/>
      <c r="B38" s="610"/>
      <c r="C38" s="610"/>
      <c r="D38" s="610"/>
      <c r="E38" s="610"/>
      <c r="F38" s="610"/>
      <c r="G38" s="610"/>
    </row>
    <row r="39" spans="1:7" x14ac:dyDescent="0.2">
      <c r="A39" s="610"/>
      <c r="B39" s="610"/>
      <c r="C39" s="610"/>
      <c r="D39" s="610"/>
      <c r="E39" s="610"/>
      <c r="F39" s="610"/>
      <c r="G39" s="610"/>
    </row>
    <row r="40" spans="1:7" x14ac:dyDescent="0.2">
      <c r="A40" s="610"/>
      <c r="B40" s="610"/>
      <c r="C40" s="610"/>
      <c r="D40" s="610"/>
      <c r="E40" s="610"/>
      <c r="F40" s="610"/>
      <c r="G40" s="610"/>
    </row>
    <row r="41" spans="1:7" x14ac:dyDescent="0.2">
      <c r="A41" s="610"/>
      <c r="B41" s="610"/>
      <c r="C41" s="610"/>
      <c r="D41" s="610"/>
      <c r="E41" s="610"/>
      <c r="F41" s="610"/>
      <c r="G41" s="610"/>
    </row>
    <row r="42" spans="1:7" x14ac:dyDescent="0.2">
      <c r="A42" s="610"/>
      <c r="B42" s="610"/>
      <c r="C42" s="610"/>
      <c r="D42" s="610"/>
      <c r="E42" s="610"/>
      <c r="F42" s="610"/>
      <c r="G42" s="610"/>
    </row>
    <row r="43" spans="1:7" x14ac:dyDescent="0.2">
      <c r="A43" s="610"/>
      <c r="B43" s="610"/>
      <c r="C43" s="610"/>
      <c r="D43" s="610"/>
      <c r="E43" s="610"/>
      <c r="F43" s="610"/>
      <c r="G43" s="610"/>
    </row>
    <row r="44" spans="1:7" x14ac:dyDescent="0.2">
      <c r="A44" s="610"/>
      <c r="B44" s="610"/>
      <c r="C44" s="610"/>
      <c r="D44" s="610"/>
      <c r="E44" s="610"/>
      <c r="F44" s="610"/>
      <c r="G44" s="610"/>
    </row>
    <row r="45" spans="1:7" x14ac:dyDescent="0.2">
      <c r="A45" s="610"/>
      <c r="B45" s="610"/>
      <c r="C45" s="610"/>
      <c r="D45" s="610"/>
      <c r="E45" s="610"/>
      <c r="F45" s="610"/>
      <c r="G45" s="610"/>
    </row>
    <row r="46" spans="1:7" x14ac:dyDescent="0.2">
      <c r="A46" s="610"/>
      <c r="B46" s="610"/>
      <c r="C46" s="610"/>
      <c r="D46" s="610"/>
      <c r="E46" s="610"/>
      <c r="F46" s="610"/>
      <c r="G46" s="610"/>
    </row>
    <row r="47" spans="1:7" x14ac:dyDescent="0.2">
      <c r="A47" s="610"/>
      <c r="B47" s="610"/>
      <c r="C47" s="610"/>
      <c r="D47" s="610"/>
      <c r="E47" s="610"/>
      <c r="F47" s="610"/>
      <c r="G47" s="610"/>
    </row>
    <row r="48" spans="1:7" x14ac:dyDescent="0.2">
      <c r="A48" s="610"/>
      <c r="B48" s="610"/>
      <c r="C48" s="610"/>
      <c r="D48" s="610"/>
      <c r="E48" s="610"/>
      <c r="F48" s="610"/>
      <c r="G48" s="610"/>
    </row>
    <row r="49" spans="1:7" x14ac:dyDescent="0.2">
      <c r="A49" s="610"/>
      <c r="B49" s="610"/>
      <c r="C49" s="610"/>
      <c r="D49" s="610"/>
      <c r="E49" s="610"/>
      <c r="F49" s="610"/>
      <c r="G49" s="610"/>
    </row>
    <row r="50" spans="1:7" x14ac:dyDescent="0.2">
      <c r="A50" s="610"/>
      <c r="B50" s="610"/>
      <c r="C50" s="610"/>
      <c r="D50" s="610"/>
      <c r="E50" s="610"/>
      <c r="F50" s="610"/>
      <c r="G50" s="610"/>
    </row>
    <row r="51" spans="1:7" x14ac:dyDescent="0.2">
      <c r="A51" s="610"/>
      <c r="B51" s="610"/>
      <c r="C51" s="610"/>
      <c r="D51" s="610"/>
      <c r="E51" s="610"/>
      <c r="F51" s="610"/>
      <c r="G51" s="610"/>
    </row>
    <row r="52" spans="1:7" x14ac:dyDescent="0.2">
      <c r="A52" s="610"/>
      <c r="B52" s="610"/>
      <c r="C52" s="610"/>
      <c r="D52" s="610"/>
      <c r="E52" s="610"/>
      <c r="F52" s="610"/>
      <c r="G52" s="610"/>
    </row>
    <row r="53" spans="1:7" x14ac:dyDescent="0.2">
      <c r="A53" s="610"/>
      <c r="B53" s="610"/>
      <c r="C53" s="610"/>
      <c r="D53" s="610"/>
      <c r="E53" s="610"/>
      <c r="F53" s="610"/>
      <c r="G53" s="610"/>
    </row>
    <row r="54" spans="1:7" x14ac:dyDescent="0.2">
      <c r="A54" s="610"/>
      <c r="B54" s="610"/>
      <c r="C54" s="610"/>
      <c r="D54" s="610"/>
      <c r="E54" s="610"/>
      <c r="F54" s="610"/>
      <c r="G54" s="610"/>
    </row>
    <row r="55" spans="1:7" x14ac:dyDescent="0.2">
      <c r="A55" s="610"/>
      <c r="B55" s="610"/>
      <c r="C55" s="610"/>
      <c r="D55" s="610"/>
      <c r="E55" s="610"/>
      <c r="F55" s="610"/>
      <c r="G55" s="610"/>
    </row>
    <row r="56" spans="1:7" x14ac:dyDescent="0.2">
      <c r="A56" s="610"/>
      <c r="B56" s="610"/>
      <c r="C56" s="610"/>
      <c r="D56" s="610"/>
      <c r="E56" s="610"/>
      <c r="F56" s="610"/>
      <c r="G56" s="610"/>
    </row>
    <row r="57" spans="1:7" x14ac:dyDescent="0.2">
      <c r="A57" s="610"/>
      <c r="B57" s="610"/>
      <c r="C57" s="610"/>
      <c r="D57" s="610"/>
      <c r="E57" s="610"/>
      <c r="F57" s="610"/>
      <c r="G57" s="610"/>
    </row>
    <row r="58" spans="1:7" x14ac:dyDescent="0.2">
      <c r="A58" s="610"/>
      <c r="B58" s="610"/>
      <c r="C58" s="610"/>
      <c r="D58" s="610"/>
      <c r="E58" s="610"/>
      <c r="F58" s="610"/>
      <c r="G58" s="610"/>
    </row>
    <row r="59" spans="1:7" x14ac:dyDescent="0.2">
      <c r="A59" s="610"/>
      <c r="B59" s="610"/>
      <c r="C59" s="610"/>
      <c r="D59" s="610"/>
      <c r="E59" s="610"/>
      <c r="F59" s="610"/>
      <c r="G59" s="610"/>
    </row>
    <row r="60" spans="1:7" x14ac:dyDescent="0.2">
      <c r="A60" s="610"/>
      <c r="B60" s="610"/>
      <c r="C60" s="610"/>
      <c r="D60" s="610"/>
      <c r="E60" s="610"/>
      <c r="F60" s="610"/>
      <c r="G60" s="610"/>
    </row>
    <row r="61" spans="1:7" x14ac:dyDescent="0.2">
      <c r="A61" s="610"/>
      <c r="B61" s="610"/>
      <c r="C61" s="610"/>
      <c r="D61" s="610"/>
      <c r="E61" s="610"/>
      <c r="F61" s="610"/>
      <c r="G61" s="610"/>
    </row>
    <row r="62" spans="1:7" x14ac:dyDescent="0.2">
      <c r="A62" s="610"/>
      <c r="B62" s="610"/>
      <c r="C62" s="610"/>
      <c r="D62" s="610"/>
      <c r="E62" s="610"/>
      <c r="F62" s="610"/>
      <c r="G62" s="610"/>
    </row>
    <row r="63" spans="1:7" x14ac:dyDescent="0.2">
      <c r="A63" s="610"/>
      <c r="B63" s="610"/>
      <c r="C63" s="610"/>
      <c r="D63" s="610"/>
      <c r="E63" s="610"/>
      <c r="F63" s="610"/>
      <c r="G63" s="610"/>
    </row>
    <row r="64" spans="1:7" x14ac:dyDescent="0.2">
      <c r="A64" s="610"/>
      <c r="B64" s="610"/>
      <c r="C64" s="610"/>
      <c r="D64" s="610"/>
      <c r="E64" s="610"/>
      <c r="F64" s="610"/>
      <c r="G64" s="610"/>
    </row>
    <row r="65" spans="1:7" x14ac:dyDescent="0.2">
      <c r="A65" s="610"/>
      <c r="B65" s="610"/>
      <c r="C65" s="610"/>
      <c r="D65" s="610"/>
      <c r="E65" s="610"/>
      <c r="F65" s="610"/>
      <c r="G65" s="610"/>
    </row>
    <row r="66" spans="1:7" x14ac:dyDescent="0.2">
      <c r="A66" s="610"/>
      <c r="B66" s="610"/>
      <c r="C66" s="610"/>
      <c r="D66" s="610"/>
      <c r="E66" s="610"/>
      <c r="F66" s="610"/>
      <c r="G66" s="610"/>
    </row>
    <row r="67" spans="1:7" x14ac:dyDescent="0.2">
      <c r="A67" s="610"/>
      <c r="B67" s="610"/>
      <c r="C67" s="610"/>
      <c r="D67" s="610"/>
      <c r="E67" s="610"/>
      <c r="F67" s="610"/>
      <c r="G67" s="610"/>
    </row>
    <row r="68" spans="1:7" x14ac:dyDescent="0.2">
      <c r="A68" s="610"/>
      <c r="B68" s="610"/>
      <c r="C68" s="610"/>
      <c r="D68" s="610"/>
      <c r="E68" s="610"/>
      <c r="F68" s="610"/>
      <c r="G68" s="610"/>
    </row>
    <row r="69" spans="1:7" x14ac:dyDescent="0.2">
      <c r="A69" s="610"/>
      <c r="B69" s="610"/>
      <c r="C69" s="610"/>
      <c r="D69" s="610"/>
      <c r="E69" s="610"/>
      <c r="F69" s="610"/>
      <c r="G69" s="610"/>
    </row>
    <row r="70" spans="1:7" x14ac:dyDescent="0.2">
      <c r="A70" s="610"/>
      <c r="B70" s="610"/>
      <c r="C70" s="610"/>
      <c r="D70" s="610"/>
      <c r="E70" s="610"/>
      <c r="F70" s="610"/>
      <c r="G70" s="610"/>
    </row>
    <row r="71" spans="1:7" x14ac:dyDescent="0.2">
      <c r="A71" s="610"/>
      <c r="B71" s="610"/>
      <c r="C71" s="610"/>
      <c r="D71" s="610"/>
      <c r="E71" s="610"/>
      <c r="F71" s="610"/>
      <c r="G71" s="610"/>
    </row>
    <row r="72" spans="1:7" x14ac:dyDescent="0.2">
      <c r="A72" s="610"/>
      <c r="B72" s="610"/>
      <c r="C72" s="610"/>
      <c r="D72" s="610"/>
      <c r="E72" s="610"/>
      <c r="F72" s="610"/>
      <c r="G72" s="610"/>
    </row>
    <row r="73" spans="1:7" x14ac:dyDescent="0.2">
      <c r="A73" s="610"/>
      <c r="B73" s="610"/>
      <c r="C73" s="610"/>
      <c r="D73" s="610"/>
      <c r="E73" s="610"/>
      <c r="F73" s="610"/>
      <c r="G73" s="610"/>
    </row>
    <row r="74" spans="1:7" x14ac:dyDescent="0.2">
      <c r="A74" s="610"/>
      <c r="B74" s="610"/>
      <c r="C74" s="610"/>
      <c r="D74" s="610"/>
      <c r="E74" s="610"/>
      <c r="F74" s="610"/>
      <c r="G74" s="610"/>
    </row>
    <row r="75" spans="1:7" x14ac:dyDescent="0.2">
      <c r="A75" s="610"/>
      <c r="B75" s="610"/>
      <c r="C75" s="610"/>
      <c r="D75" s="610"/>
      <c r="E75" s="610"/>
      <c r="F75" s="610"/>
      <c r="G75" s="610"/>
    </row>
    <row r="76" spans="1:7" x14ac:dyDescent="0.2">
      <c r="A76" s="610"/>
      <c r="B76" s="610"/>
      <c r="C76" s="610"/>
      <c r="D76" s="610"/>
      <c r="E76" s="610"/>
      <c r="F76" s="610"/>
      <c r="G76" s="610"/>
    </row>
    <row r="77" spans="1:7" x14ac:dyDescent="0.2">
      <c r="A77" s="610"/>
      <c r="B77" s="610"/>
      <c r="C77" s="610"/>
      <c r="D77" s="610"/>
      <c r="E77" s="610"/>
      <c r="F77" s="610"/>
      <c r="G77" s="610"/>
    </row>
    <row r="78" spans="1:7" x14ac:dyDescent="0.2">
      <c r="A78" s="610"/>
      <c r="B78" s="610"/>
      <c r="C78" s="610"/>
      <c r="D78" s="610"/>
      <c r="E78" s="610"/>
      <c r="F78" s="610"/>
      <c r="G78" s="610"/>
    </row>
    <row r="79" spans="1:7" x14ac:dyDescent="0.2">
      <c r="A79" s="610"/>
      <c r="B79" s="610"/>
      <c r="C79" s="610"/>
      <c r="D79" s="610"/>
      <c r="E79" s="610"/>
      <c r="F79" s="610"/>
      <c r="G79" s="610"/>
    </row>
    <row r="80" spans="1:7" x14ac:dyDescent="0.2">
      <c r="A80" s="610"/>
      <c r="B80" s="610"/>
      <c r="C80" s="610"/>
      <c r="D80" s="610"/>
      <c r="E80" s="610"/>
      <c r="F80" s="610"/>
      <c r="G80" s="610"/>
    </row>
    <row r="81" spans="1:7" x14ac:dyDescent="0.2">
      <c r="A81" s="610"/>
      <c r="B81" s="610"/>
      <c r="C81" s="610"/>
      <c r="D81" s="610"/>
      <c r="E81" s="610"/>
      <c r="F81" s="610"/>
      <c r="G81" s="610"/>
    </row>
    <row r="82" spans="1:7" x14ac:dyDescent="0.2">
      <c r="A82" s="610"/>
      <c r="B82" s="610"/>
      <c r="C82" s="610"/>
      <c r="D82" s="610"/>
      <c r="E82" s="610"/>
      <c r="F82" s="610"/>
      <c r="G82" s="610"/>
    </row>
    <row r="83" spans="1:7" x14ac:dyDescent="0.2">
      <c r="A83" s="610"/>
      <c r="B83" s="610"/>
      <c r="C83" s="610"/>
      <c r="D83" s="610"/>
      <c r="E83" s="610"/>
      <c r="F83" s="610"/>
      <c r="G83" s="610"/>
    </row>
    <row r="84" spans="1:7" x14ac:dyDescent="0.2">
      <c r="A84" s="610"/>
      <c r="B84" s="610"/>
      <c r="C84" s="610"/>
      <c r="D84" s="610"/>
      <c r="E84" s="610"/>
      <c r="F84" s="610"/>
      <c r="G84" s="610"/>
    </row>
    <row r="85" spans="1:7" x14ac:dyDescent="0.2">
      <c r="A85" s="610"/>
      <c r="B85" s="610"/>
      <c r="C85" s="610"/>
      <c r="D85" s="610"/>
      <c r="E85" s="610"/>
      <c r="F85" s="610"/>
      <c r="G85" s="610"/>
    </row>
    <row r="86" spans="1:7" x14ac:dyDescent="0.2">
      <c r="A86" s="610"/>
      <c r="B86" s="610"/>
      <c r="C86" s="610"/>
      <c r="D86" s="610"/>
      <c r="E86" s="610"/>
      <c r="F86" s="610"/>
      <c r="G86" s="610"/>
    </row>
    <row r="87" spans="1:7" x14ac:dyDescent="0.2">
      <c r="A87" s="610"/>
      <c r="B87" s="610"/>
      <c r="C87" s="610"/>
      <c r="D87" s="610"/>
      <c r="E87" s="610"/>
      <c r="F87" s="610"/>
      <c r="G87" s="610"/>
    </row>
    <row r="88" spans="1:7" x14ac:dyDescent="0.2">
      <c r="A88" s="610"/>
      <c r="B88" s="610"/>
      <c r="C88" s="610"/>
      <c r="D88" s="610"/>
      <c r="E88" s="610"/>
      <c r="F88" s="610"/>
      <c r="G88" s="610"/>
    </row>
    <row r="89" spans="1:7" x14ac:dyDescent="0.2">
      <c r="A89" s="610"/>
      <c r="B89" s="610"/>
      <c r="C89" s="610"/>
      <c r="D89" s="610"/>
      <c r="E89" s="610"/>
      <c r="F89" s="610"/>
      <c r="G89" s="610"/>
    </row>
    <row r="90" spans="1:7" x14ac:dyDescent="0.2">
      <c r="A90" s="610"/>
      <c r="B90" s="610"/>
      <c r="C90" s="610"/>
      <c r="D90" s="610"/>
      <c r="E90" s="610"/>
      <c r="F90" s="610"/>
      <c r="G90" s="610"/>
    </row>
    <row r="91" spans="1:7" x14ac:dyDescent="0.2">
      <c r="A91" s="610"/>
      <c r="B91" s="610"/>
      <c r="C91" s="610"/>
      <c r="D91" s="610"/>
      <c r="E91" s="610"/>
      <c r="F91" s="610"/>
      <c r="G91" s="610"/>
    </row>
    <row r="92" spans="1:7" x14ac:dyDescent="0.2">
      <c r="A92" s="610"/>
      <c r="B92" s="610"/>
      <c r="C92" s="610"/>
      <c r="D92" s="610"/>
      <c r="E92" s="610"/>
      <c r="F92" s="610"/>
      <c r="G92" s="610"/>
    </row>
    <row r="93" spans="1:7" x14ac:dyDescent="0.2">
      <c r="A93" s="610"/>
      <c r="B93" s="610"/>
      <c r="C93" s="610"/>
      <c r="D93" s="610"/>
      <c r="E93" s="610"/>
      <c r="F93" s="610"/>
      <c r="G93" s="610"/>
    </row>
    <row r="94" spans="1:7" x14ac:dyDescent="0.2">
      <c r="A94" s="610"/>
      <c r="B94" s="610"/>
      <c r="C94" s="610"/>
      <c r="D94" s="610"/>
      <c r="E94" s="610"/>
      <c r="F94" s="610"/>
      <c r="G94" s="610"/>
    </row>
    <row r="95" spans="1:7" x14ac:dyDescent="0.2">
      <c r="A95" s="610"/>
      <c r="B95" s="610"/>
      <c r="C95" s="610"/>
      <c r="D95" s="610"/>
      <c r="E95" s="610"/>
      <c r="F95" s="610"/>
      <c r="G95" s="610"/>
    </row>
    <row r="96" spans="1:7" x14ac:dyDescent="0.2">
      <c r="A96" s="610"/>
      <c r="B96" s="610"/>
      <c r="C96" s="610"/>
      <c r="D96" s="610"/>
      <c r="E96" s="610"/>
      <c r="F96" s="610"/>
      <c r="G96" s="610"/>
    </row>
    <row r="97" spans="1:7" x14ac:dyDescent="0.2">
      <c r="A97" s="610"/>
      <c r="B97" s="610"/>
      <c r="C97" s="610"/>
      <c r="D97" s="610"/>
      <c r="E97" s="610"/>
      <c r="F97" s="610"/>
      <c r="G97" s="610"/>
    </row>
    <row r="98" spans="1:7" x14ac:dyDescent="0.2">
      <c r="A98" s="610"/>
      <c r="B98" s="610"/>
      <c r="C98" s="610"/>
      <c r="D98" s="610"/>
      <c r="E98" s="610"/>
      <c r="F98" s="610"/>
      <c r="G98" s="610"/>
    </row>
    <row r="99" spans="1:7" x14ac:dyDescent="0.2">
      <c r="A99" s="610"/>
      <c r="B99" s="610"/>
      <c r="C99" s="610"/>
      <c r="D99" s="610"/>
      <c r="E99" s="610"/>
      <c r="F99" s="610"/>
      <c r="G99" s="610"/>
    </row>
    <row r="100" spans="1:7" x14ac:dyDescent="0.2">
      <c r="A100" s="610"/>
      <c r="B100" s="610"/>
      <c r="C100" s="610"/>
      <c r="D100" s="610"/>
      <c r="E100" s="610"/>
      <c r="F100" s="610"/>
      <c r="G100" s="610"/>
    </row>
    <row r="101" spans="1:7" ht="15.75" thickBot="1" x14ac:dyDescent="0.3">
      <c r="A101" s="610"/>
      <c r="B101" s="523" t="s">
        <v>4245</v>
      </c>
      <c r="C101" s="524"/>
      <c r="D101" s="524"/>
      <c r="E101" s="610"/>
      <c r="F101" s="610"/>
      <c r="G101" s="610"/>
    </row>
    <row r="102" spans="1:7" ht="15.75" thickBot="1" x14ac:dyDescent="0.3">
      <c r="A102" s="610"/>
      <c r="B102" s="632" t="s">
        <v>4246</v>
      </c>
      <c r="C102" s="525" t="s">
        <v>4237</v>
      </c>
      <c r="D102" s="526" t="s">
        <v>4238</v>
      </c>
      <c r="E102" s="610"/>
      <c r="F102" s="610"/>
      <c r="G102" s="610"/>
    </row>
    <row r="103" spans="1:7" ht="45" x14ac:dyDescent="0.2">
      <c r="A103" s="610"/>
      <c r="B103" s="638" t="s">
        <v>4244</v>
      </c>
      <c r="C103" s="531" t="s">
        <v>4208</v>
      </c>
      <c r="D103" s="527" t="s">
        <v>4315</v>
      </c>
      <c r="E103" s="610"/>
      <c r="F103" s="610"/>
      <c r="G103" s="610"/>
    </row>
    <row r="104" spans="1:7" ht="15" x14ac:dyDescent="0.2">
      <c r="A104" s="610"/>
      <c r="B104" s="639"/>
      <c r="C104" s="531" t="s">
        <v>4247</v>
      </c>
      <c r="D104" s="527" t="s">
        <v>4282</v>
      </c>
      <c r="E104" s="610"/>
      <c r="F104" s="610"/>
      <c r="G104" s="610"/>
    </row>
    <row r="105" spans="1:7" ht="30" x14ac:dyDescent="0.2">
      <c r="A105" s="610"/>
      <c r="B105" s="639"/>
      <c r="C105" s="531" t="s">
        <v>4255</v>
      </c>
      <c r="D105" s="527" t="s">
        <v>4283</v>
      </c>
      <c r="E105" s="610"/>
      <c r="F105" s="610"/>
      <c r="G105" s="610"/>
    </row>
    <row r="106" spans="1:7" ht="30" x14ac:dyDescent="0.2">
      <c r="A106" s="610"/>
      <c r="B106" s="639"/>
      <c r="C106" s="531" t="s">
        <v>4207</v>
      </c>
      <c r="D106" s="527" t="s">
        <v>4318</v>
      </c>
      <c r="E106" s="610"/>
      <c r="F106" s="610"/>
      <c r="G106" s="610"/>
    </row>
    <row r="107" spans="1:7" ht="45" x14ac:dyDescent="0.2">
      <c r="A107" s="610"/>
      <c r="B107" s="639"/>
      <c r="C107" s="531" t="s">
        <v>4257</v>
      </c>
      <c r="D107" s="527" t="s">
        <v>4319</v>
      </c>
      <c r="E107" s="610"/>
      <c r="F107" s="610"/>
      <c r="G107" s="610"/>
    </row>
    <row r="108" spans="1:7" ht="45" x14ac:dyDescent="0.2">
      <c r="A108" s="610"/>
      <c r="B108" s="639"/>
      <c r="C108" s="531" t="s">
        <v>4258</v>
      </c>
      <c r="D108" s="527" t="s">
        <v>4290</v>
      </c>
      <c r="E108" s="610"/>
      <c r="F108" s="610"/>
      <c r="G108" s="610"/>
    </row>
    <row r="109" spans="1:7" ht="45" x14ac:dyDescent="0.2">
      <c r="A109" s="610"/>
      <c r="B109" s="639"/>
      <c r="C109" s="531" t="s">
        <v>4259</v>
      </c>
      <c r="D109" s="527" t="s">
        <v>4291</v>
      </c>
      <c r="E109" s="610"/>
      <c r="F109" s="610"/>
      <c r="G109" s="610"/>
    </row>
    <row r="110" spans="1:7" ht="45" x14ac:dyDescent="0.2">
      <c r="A110" s="610"/>
      <c r="B110" s="639"/>
      <c r="C110" s="531" t="s">
        <v>4260</v>
      </c>
      <c r="D110" s="527" t="s">
        <v>4292</v>
      </c>
      <c r="E110" s="610"/>
      <c r="F110" s="610"/>
      <c r="G110" s="610"/>
    </row>
    <row r="111" spans="1:7" ht="45" x14ac:dyDescent="0.2">
      <c r="A111" s="610"/>
      <c r="B111" s="639"/>
      <c r="C111" s="531" t="s">
        <v>4261</v>
      </c>
      <c r="D111" s="527" t="s">
        <v>4293</v>
      </c>
      <c r="E111" s="610"/>
      <c r="F111" s="610"/>
      <c r="G111" s="610"/>
    </row>
    <row r="112" spans="1:7" ht="45" x14ac:dyDescent="0.2">
      <c r="A112" s="610"/>
      <c r="B112" s="639"/>
      <c r="C112" s="531" t="s">
        <v>4262</v>
      </c>
      <c r="D112" s="527" t="s">
        <v>4294</v>
      </c>
      <c r="E112" s="610"/>
      <c r="F112" s="610"/>
      <c r="G112" s="610"/>
    </row>
    <row r="113" spans="1:7" ht="45" x14ac:dyDescent="0.2">
      <c r="A113" s="610"/>
      <c r="B113" s="639"/>
      <c r="C113" s="531" t="s">
        <v>4264</v>
      </c>
      <c r="D113" s="527" t="s">
        <v>4320</v>
      </c>
      <c r="E113" s="610"/>
      <c r="F113" s="610"/>
      <c r="G113" s="610"/>
    </row>
    <row r="114" spans="1:7" ht="45" x14ac:dyDescent="0.2">
      <c r="A114" s="610"/>
      <c r="B114" s="639"/>
      <c r="C114" s="531" t="s">
        <v>4265</v>
      </c>
      <c r="D114" s="527" t="s">
        <v>4285</v>
      </c>
      <c r="E114" s="610"/>
      <c r="F114" s="610"/>
      <c r="G114" s="610"/>
    </row>
    <row r="115" spans="1:7" ht="60" x14ac:dyDescent="0.2">
      <c r="A115" s="610"/>
      <c r="B115" s="639"/>
      <c r="C115" s="531" t="s">
        <v>4266</v>
      </c>
      <c r="D115" s="527" t="s">
        <v>4286</v>
      </c>
      <c r="E115" s="610"/>
      <c r="F115" s="610"/>
      <c r="G115" s="610"/>
    </row>
    <row r="116" spans="1:7" ht="60" x14ac:dyDescent="0.2">
      <c r="A116" s="610"/>
      <c r="B116" s="639"/>
      <c r="C116" s="531" t="s">
        <v>4267</v>
      </c>
      <c r="D116" s="527" t="s">
        <v>4296</v>
      </c>
      <c r="E116" s="610"/>
      <c r="F116" s="610"/>
      <c r="G116" s="610"/>
    </row>
    <row r="117" spans="1:7" ht="45" x14ac:dyDescent="0.2">
      <c r="A117" s="610"/>
      <c r="B117" s="639"/>
      <c r="C117" s="531" t="s">
        <v>4268</v>
      </c>
      <c r="D117" s="527" t="s">
        <v>4297</v>
      </c>
      <c r="E117" s="610"/>
      <c r="F117" s="610"/>
      <c r="G117" s="610"/>
    </row>
    <row r="118" spans="1:7" ht="60.75" thickBot="1" x14ac:dyDescent="0.25">
      <c r="A118" s="610"/>
      <c r="B118" s="639"/>
      <c r="C118" s="531" t="s">
        <v>4269</v>
      </c>
      <c r="D118" s="528" t="s">
        <v>4299</v>
      </c>
      <c r="E118" s="610"/>
      <c r="F118" s="610"/>
      <c r="G118" s="610"/>
    </row>
    <row r="119" spans="1:7" ht="60" x14ac:dyDescent="0.2">
      <c r="A119" s="610"/>
      <c r="B119" s="639"/>
      <c r="C119" s="531" t="s">
        <v>4272</v>
      </c>
      <c r="D119" s="527" t="s">
        <v>4321</v>
      </c>
      <c r="E119" s="610"/>
      <c r="F119" s="610"/>
      <c r="G119" s="610"/>
    </row>
    <row r="120" spans="1:7" ht="60.75" thickBot="1" x14ac:dyDescent="0.25">
      <c r="A120" s="610"/>
      <c r="B120" s="640"/>
      <c r="C120" s="532" t="s">
        <v>4273</v>
      </c>
      <c r="D120" s="528" t="s">
        <v>4298</v>
      </c>
      <c r="E120" s="610"/>
      <c r="F120" s="610"/>
      <c r="G120" s="610"/>
    </row>
    <row r="121" spans="1:7" ht="15" customHeight="1" x14ac:dyDescent="0.25">
      <c r="A121" s="610"/>
      <c r="B121" s="641" t="s">
        <v>4281</v>
      </c>
      <c r="C121" s="621" t="s">
        <v>4254</v>
      </c>
      <c r="D121" s="622"/>
      <c r="E121" s="610"/>
      <c r="F121" s="610"/>
      <c r="G121" s="610"/>
    </row>
    <row r="122" spans="1:7" s="515" customFormat="1" ht="15" customHeight="1" x14ac:dyDescent="0.25">
      <c r="A122" s="610"/>
      <c r="B122" s="642"/>
      <c r="C122" s="623" t="s">
        <v>4256</v>
      </c>
      <c r="D122" s="624"/>
      <c r="E122" s="610"/>
      <c r="F122" s="610"/>
      <c r="G122" s="610"/>
    </row>
    <row r="123" spans="1:7" ht="15" x14ac:dyDescent="0.2">
      <c r="A123" s="610"/>
      <c r="B123" s="642"/>
      <c r="C123" s="623" t="s">
        <v>4263</v>
      </c>
      <c r="D123" s="625"/>
      <c r="E123" s="610"/>
      <c r="F123" s="610"/>
      <c r="G123" s="610"/>
    </row>
    <row r="124" spans="1:7" ht="15.75" thickBot="1" x14ac:dyDescent="0.3">
      <c r="A124" s="610"/>
      <c r="B124" s="643"/>
      <c r="C124" s="626" t="s">
        <v>4271</v>
      </c>
      <c r="D124" s="627"/>
      <c r="E124" s="610"/>
      <c r="F124" s="610"/>
      <c r="G124" s="610"/>
    </row>
    <row r="125" spans="1:7" ht="15" customHeight="1" x14ac:dyDescent="0.2">
      <c r="A125" s="610"/>
      <c r="B125" s="610"/>
      <c r="C125" s="610"/>
      <c r="D125" s="610"/>
      <c r="E125" s="610"/>
      <c r="F125" s="610"/>
      <c r="G125" s="610"/>
    </row>
    <row r="126" spans="1:7" ht="18.75" x14ac:dyDescent="0.3">
      <c r="A126" s="610"/>
      <c r="B126" s="644" t="s">
        <v>4312</v>
      </c>
      <c r="C126" s="644"/>
      <c r="D126" s="628"/>
      <c r="E126" s="610"/>
      <c r="F126" s="610"/>
      <c r="G126" s="610"/>
    </row>
    <row r="127" spans="1:7" ht="18.75" x14ac:dyDescent="0.3">
      <c r="A127" s="610"/>
      <c r="B127" s="629"/>
      <c r="C127" s="629"/>
      <c r="D127" s="628"/>
      <c r="E127" s="610"/>
      <c r="F127" s="610"/>
      <c r="G127" s="610"/>
    </row>
    <row r="128" spans="1:7" ht="15" x14ac:dyDescent="0.25">
      <c r="A128" s="610"/>
      <c r="B128" s="635" t="s">
        <v>4311</v>
      </c>
      <c r="C128" s="635"/>
      <c r="D128" s="635"/>
      <c r="E128" s="610"/>
      <c r="F128" s="610"/>
      <c r="G128" s="610"/>
    </row>
    <row r="129" spans="1:7" x14ac:dyDescent="0.2">
      <c r="A129" s="610"/>
      <c r="B129" s="630"/>
      <c r="C129" s="631"/>
      <c r="D129" s="628"/>
      <c r="E129" s="610"/>
      <c r="F129" s="610"/>
      <c r="G129" s="610"/>
    </row>
    <row r="130" spans="1:7" ht="18.75" x14ac:dyDescent="0.3">
      <c r="A130" s="610"/>
      <c r="B130" s="644" t="s">
        <v>4310</v>
      </c>
      <c r="C130" s="644"/>
      <c r="D130" s="628"/>
      <c r="E130" s="610"/>
      <c r="F130" s="610"/>
      <c r="G130" s="610"/>
    </row>
    <row r="131" spans="1:7" x14ac:dyDescent="0.2">
      <c r="A131" s="610"/>
      <c r="B131" s="630"/>
      <c r="C131" s="631"/>
      <c r="D131" s="628"/>
      <c r="E131" s="610"/>
      <c r="F131" s="610"/>
      <c r="G131" s="610"/>
    </row>
    <row r="132" spans="1:7" ht="17.25" x14ac:dyDescent="0.2">
      <c r="A132" s="610"/>
      <c r="B132" s="608" t="s">
        <v>4309</v>
      </c>
      <c r="C132" s="636" t="s">
        <v>3941</v>
      </c>
      <c r="D132" s="636"/>
      <c r="E132" s="610"/>
      <c r="F132" s="610"/>
      <c r="G132" s="610"/>
    </row>
    <row r="133" spans="1:7" ht="15" x14ac:dyDescent="0.2">
      <c r="A133" s="610"/>
      <c r="B133" s="546" t="s">
        <v>4308</v>
      </c>
      <c r="C133" s="634" t="s">
        <v>4307</v>
      </c>
      <c r="D133" s="634"/>
      <c r="E133" s="610"/>
      <c r="F133" s="610"/>
      <c r="G133" s="610"/>
    </row>
    <row r="134" spans="1:7" ht="33.75" customHeight="1" x14ac:dyDescent="0.2">
      <c r="A134" s="610"/>
      <c r="B134" s="546" t="s">
        <v>4306</v>
      </c>
      <c r="C134" s="634" t="s">
        <v>4305</v>
      </c>
      <c r="D134" s="634"/>
      <c r="E134" s="610"/>
      <c r="F134" s="610"/>
      <c r="G134" s="610"/>
    </row>
    <row r="135" spans="1:7" ht="15" x14ac:dyDescent="0.25">
      <c r="A135" s="610"/>
      <c r="B135" s="613"/>
      <c r="C135" s="610"/>
      <c r="D135" s="610"/>
      <c r="E135" s="610"/>
      <c r="F135" s="610"/>
      <c r="G135" s="610"/>
    </row>
    <row r="136" spans="1:7" ht="15" x14ac:dyDescent="0.25">
      <c r="A136" s="610"/>
      <c r="B136" s="613"/>
      <c r="C136" s="610"/>
      <c r="D136" s="610"/>
      <c r="E136" s="610"/>
      <c r="F136" s="610"/>
      <c r="G136" s="610"/>
    </row>
    <row r="137" spans="1:7" ht="15" x14ac:dyDescent="0.25">
      <c r="A137" s="610"/>
      <c r="B137" s="613"/>
      <c r="C137" s="610"/>
      <c r="D137" s="610"/>
      <c r="E137" s="610"/>
      <c r="F137" s="610"/>
      <c r="G137" s="610"/>
    </row>
    <row r="138" spans="1:7" ht="15" x14ac:dyDescent="0.25">
      <c r="A138" s="610"/>
      <c r="B138" s="613"/>
      <c r="C138" s="610"/>
      <c r="D138" s="610"/>
      <c r="E138" s="610"/>
      <c r="F138" s="610"/>
      <c r="G138" s="610"/>
    </row>
  </sheetData>
  <mergeCells count="9">
    <mergeCell ref="C134:D134"/>
    <mergeCell ref="B128:D128"/>
    <mergeCell ref="C133:D133"/>
    <mergeCell ref="C132:D132"/>
    <mergeCell ref="C6:F6"/>
    <mergeCell ref="B103:B120"/>
    <mergeCell ref="B121:B124"/>
    <mergeCell ref="B130:C130"/>
    <mergeCell ref="B126:C126"/>
  </mergeCells>
  <hyperlinks>
    <hyperlink ref="C9" location="'PCT data'!A1" display="PCT data"/>
    <hyperlink ref="C10" location="'Staff data'!A1" display="Staff data"/>
    <hyperlink ref="C20" location="'Linked Sheet'!A1" display="Linked Sheet"/>
    <hyperlink ref="C14" location="'Other corrections needed'!A1" display="Other corrections needed"/>
    <hyperlink ref="C12" location="'Buildings data'!A1" display="Buildings data"/>
    <hyperlink ref="C11" location="'M&amp;D data'!A1" display="M&amp;D data"/>
    <hyperlink ref="C17" location="'2014-15 MFF Payment values'!A1" display="2014-15 MFF Payment values"/>
    <hyperlink ref="C15" location="'index values'!A1" display="index values"/>
    <hyperlink ref="C16" location="'RJD ERIC 2008|09'!A1" display="RJD ERIC 2008|09"/>
    <hyperlink ref="C13" location="'Land data'!A1" display="Land data"/>
    <hyperlink ref="E17" r:id="rId1"/>
    <hyperlink ref="C124" location="'Mergers for 2016-17 &gt;&gt;'!A1" display="Mergers for 2016-17 &gt;&gt;"/>
    <hyperlink ref="C103" location="'All Trusts'!A1" display="All Trusts"/>
    <hyperlink ref="C104" location="'Base MFF calcs'!A1" display="Base MFF calcs"/>
    <hyperlink ref="C105" location="'Merged Trusts and MFF year'!A1" display="Merged Trusts and MFF year"/>
    <hyperlink ref="C106" location="'Mergers &amp; new Provs to 2013-14'!A1" display="Mergers &amp; new Provs to 2013-14"/>
    <hyperlink ref="C107" location="'1.Summary'!A1" display="1.Summary"/>
    <hyperlink ref="C108" location="'Queen Mary to Oxleas'!A1" display="Queen Mary to Oxleas"/>
    <hyperlink ref="C109" location="'QMS &amp; QE to Lewisham'!A1" display="QMS &amp; QE to Lewisham"/>
    <hyperlink ref="C110" location="'QMS to GSTT'!A1" display="QMS to GSTT"/>
    <hyperlink ref="C111" location="'QMS to Dartford'!A1" display="QMS to Dartford"/>
    <hyperlink ref="C112" location="'QMS &amp; PRUH to Kings'!A1" display="QMS &amp; PRUH to Kings"/>
    <hyperlink ref="C113" location="'Royal Free + Barnet|Chase Farm'!A1" display="Royal Free + Barnet|Chase Farm"/>
    <hyperlink ref="C114" location="'Mid Staff|Royal Wolverhampton'!A1" display="Mid Staff|Royal Wolverhampton"/>
    <hyperlink ref="C115" location="'Mid Staff|UHNS'!A1" display="Mid Staff|UHNS"/>
    <hyperlink ref="C116" location="'Frimley + Heatherwood|Wexham'!A1" display="Frimley + Heatherwood|Wexham"/>
    <hyperlink ref="C117" location="'London North West Trust'!A1" display="London North West Trust"/>
    <hyperlink ref="C118" location="'RUH Bath + RNHRD'!A1" display="RUH Bath + RNHRD"/>
    <hyperlink ref="C119" location="'Chelsea Westminster+West Midsx'!A1" display="Chelsea Westminster+West Midsx"/>
    <hyperlink ref="C120" location="'South Devon + Torbay|Sthn Devon'!A1" display="South Devon + Torbay|Sthn Devon"/>
    <hyperlink ref="C121" location="'Mergers &gt;&gt;'!A1" display="Mergers &gt;&gt;"/>
    <hyperlink ref="C123" location="'Mergers for 2015-16 &gt;&gt;'!A1" display="Mergers for 2015-16 &gt;&gt;"/>
    <hyperlink ref="C122" location="'Mergers for 2014-15 &gt;&gt;'!A1" display="Mergers for 2014-15 &gt;&gt;"/>
  </hyperlinks>
  <pageMargins left="0.19685039370078741" right="0.19685039370078741" top="0.19685039370078741" bottom="0.19685039370078741" header="0.31496062992125984" footer="0.31496062992125984"/>
  <pageSetup paperSize="9" scale="55" orientation="portrait" verticalDpi="0" r:id="rId2"/>
  <rowBreaks count="3" manualBreakCount="3">
    <brk id="21" max="16383" man="1"/>
    <brk id="99" min="1" max="4" man="1"/>
    <brk id="125" min="1" max="4" man="1"/>
  </rowBreaks>
  <colBreaks count="1" manualBreakCount="1">
    <brk id="5" max="1048575" man="1"/>
  </colBreaks>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rgb="FF92D050"/>
  </sheetPr>
  <dimension ref="A1:I46"/>
  <sheetViews>
    <sheetView workbookViewId="0"/>
  </sheetViews>
  <sheetFormatPr defaultRowHeight="15" x14ac:dyDescent="0.25"/>
  <cols>
    <col min="1" max="1" width="9.140625" style="397"/>
    <col min="2" max="2" width="39.85546875" style="397" bestFit="1" customWidth="1"/>
    <col min="3" max="6" width="16" style="397" customWidth="1"/>
    <col min="7" max="7" width="37.7109375" style="397" bestFit="1" customWidth="1"/>
    <col min="8" max="8" width="22.7109375" style="397" bestFit="1" customWidth="1"/>
    <col min="9" max="9" width="9.140625" style="397"/>
    <col min="10" max="10" width="10" style="397" bestFit="1" customWidth="1"/>
    <col min="11" max="16384" width="9.140625" style="397"/>
  </cols>
  <sheetData>
    <row r="1" spans="1:7" x14ac:dyDescent="0.25">
      <c r="A1" s="427"/>
      <c r="B1" s="427" t="s">
        <v>3957</v>
      </c>
      <c r="C1" s="427"/>
      <c r="D1" s="403" t="s">
        <v>4191</v>
      </c>
      <c r="E1" s="403"/>
      <c r="F1" s="435">
        <v>0.63261500000000004</v>
      </c>
      <c r="G1" s="403"/>
    </row>
    <row r="2" spans="1:7" x14ac:dyDescent="0.25">
      <c r="A2" s="403"/>
      <c r="B2" s="403"/>
      <c r="C2" s="403"/>
      <c r="D2" s="403"/>
      <c r="E2" s="403"/>
      <c r="F2" s="403"/>
      <c r="G2" s="403"/>
    </row>
    <row r="3" spans="1:7" ht="26.25" x14ac:dyDescent="0.25">
      <c r="A3" s="430" t="s">
        <v>3573</v>
      </c>
      <c r="B3" s="430" t="s">
        <v>2757</v>
      </c>
      <c r="C3" s="430" t="s">
        <v>2756</v>
      </c>
      <c r="D3" s="430" t="s">
        <v>3945</v>
      </c>
      <c r="E3" s="430" t="s">
        <v>2762</v>
      </c>
      <c r="F3" s="430" t="s">
        <v>2766</v>
      </c>
      <c r="G3" s="430" t="s">
        <v>2767</v>
      </c>
    </row>
    <row r="4" spans="1:7" x14ac:dyDescent="0.25">
      <c r="A4" s="405" t="s">
        <v>11</v>
      </c>
      <c r="B4" s="405" t="s">
        <v>3086</v>
      </c>
      <c r="C4" s="405" t="s">
        <v>3085</v>
      </c>
      <c r="D4" s="405">
        <f>SUMIFS('Buildings data'!$I:$I,'Buildings data'!$B:$B,$A4,'Buildings data'!$D:$D,$C4)</f>
        <v>444</v>
      </c>
      <c r="E4" s="413">
        <f>D4/$D$6</f>
        <v>0.62009055696352267</v>
      </c>
      <c r="F4" s="424">
        <f>SUMIFS('Staff data'!$N:$N,'Staff data'!$B:$B,$A4,'Staff data'!$D:$D,$C4)</f>
        <v>1.1168168833327148</v>
      </c>
      <c r="G4" s="424">
        <f t="shared" ref="G4:G5" si="0">F4*E4</f>
        <v>0.69252760321204865</v>
      </c>
    </row>
    <row r="5" spans="1:7" x14ac:dyDescent="0.25">
      <c r="A5" s="400" t="s">
        <v>552</v>
      </c>
      <c r="B5" s="405" t="s">
        <v>834</v>
      </c>
      <c r="C5" s="405" t="s">
        <v>833</v>
      </c>
      <c r="D5" s="405">
        <f>SUMIFS('Buildings data'!$I:$I,'Buildings data'!$B:$B,$A5,'Buildings data'!$D:$D,$C5)*$F$1</f>
        <v>272.02445</v>
      </c>
      <c r="E5" s="413">
        <f>D5/$D$6</f>
        <v>0.37990944303647733</v>
      </c>
      <c r="F5" s="424">
        <f>SUMIFS('Staff data'!$N:$N,'Staff data'!$B:$B,$A5,'Staff data'!$D:$D,$C5)</f>
        <v>1.1584791691158631</v>
      </c>
      <c r="G5" s="424">
        <f t="shared" si="0"/>
        <v>0.44011717590816862</v>
      </c>
    </row>
    <row r="6" spans="1:7" x14ac:dyDescent="0.25">
      <c r="A6" s="405"/>
      <c r="B6" s="405" t="s">
        <v>2749</v>
      </c>
      <c r="C6" s="405"/>
      <c r="D6" s="405">
        <f>SUM(D4:D5)</f>
        <v>716.02445</v>
      </c>
      <c r="E6" s="405"/>
      <c r="F6" s="405"/>
      <c r="G6" s="428">
        <f>SUM(G4:G5)</f>
        <v>1.1326447791202172</v>
      </c>
    </row>
    <row r="7" spans="1:7" x14ac:dyDescent="0.25">
      <c r="A7" s="403"/>
      <c r="B7" s="403"/>
      <c r="C7" s="403"/>
      <c r="D7" s="403"/>
      <c r="E7" s="403"/>
      <c r="F7" s="403"/>
      <c r="G7" s="403"/>
    </row>
    <row r="8" spans="1:7" x14ac:dyDescent="0.25">
      <c r="A8" s="427"/>
      <c r="B8" s="427" t="s">
        <v>3954</v>
      </c>
      <c r="C8" s="427"/>
      <c r="D8" s="403"/>
      <c r="E8" s="403"/>
      <c r="F8" s="403"/>
      <c r="G8" s="403"/>
    </row>
    <row r="9" spans="1:7" x14ac:dyDescent="0.25">
      <c r="A9" s="403"/>
      <c r="B9" s="403"/>
      <c r="C9" s="403"/>
      <c r="D9" s="403"/>
      <c r="E9" s="403"/>
      <c r="F9" s="403"/>
      <c r="G9" s="403"/>
    </row>
    <row r="10" spans="1:7" ht="26.25" x14ac:dyDescent="0.25">
      <c r="A10" s="430" t="s">
        <v>3573</v>
      </c>
      <c r="B10" s="430" t="s">
        <v>2757</v>
      </c>
      <c r="C10" s="430" t="s">
        <v>2756</v>
      </c>
      <c r="D10" s="430" t="s">
        <v>3945</v>
      </c>
      <c r="E10" s="430" t="s">
        <v>2762</v>
      </c>
      <c r="F10" s="430" t="s">
        <v>527</v>
      </c>
      <c r="G10" s="430" t="s">
        <v>2768</v>
      </c>
    </row>
    <row r="11" spans="1:7" x14ac:dyDescent="0.25">
      <c r="A11" s="405" t="s">
        <v>11</v>
      </c>
      <c r="B11" s="405" t="s">
        <v>3086</v>
      </c>
      <c r="C11" s="405" t="s">
        <v>3085</v>
      </c>
      <c r="D11" s="405">
        <f>D4</f>
        <v>444</v>
      </c>
      <c r="E11" s="413">
        <f>D11/$D$13</f>
        <v>0.62009055696352267</v>
      </c>
      <c r="F11" s="429">
        <f>SUMIFS('Buildings data'!$K:$K,'Buildings data'!$B:$B,$A11,'Buildings data'!$D:$D,$C11)</f>
        <v>1.0747179773663313</v>
      </c>
      <c r="G11" s="429">
        <f>E11*F11</f>
        <v>0.66642246916379899</v>
      </c>
    </row>
    <row r="12" spans="1:7" x14ac:dyDescent="0.25">
      <c r="A12" s="400" t="s">
        <v>552</v>
      </c>
      <c r="B12" s="405" t="s">
        <v>834</v>
      </c>
      <c r="C12" s="405" t="s">
        <v>833</v>
      </c>
      <c r="D12" s="405">
        <f>D5</f>
        <v>272.02445</v>
      </c>
      <c r="E12" s="413">
        <f>D12/$D$13</f>
        <v>0.37990944303647733</v>
      </c>
      <c r="F12" s="429">
        <f>SUMIFS('Buildings data'!$K:$K,'Buildings data'!$B:$B,$A12,'Buildings data'!$D:$D,$C12)</f>
        <v>1.1443756240474725</v>
      </c>
      <c r="G12" s="429">
        <f t="shared" ref="G12" si="1">E12*F12</f>
        <v>0.43475910595639644</v>
      </c>
    </row>
    <row r="13" spans="1:7" x14ac:dyDescent="0.25">
      <c r="A13" s="405"/>
      <c r="B13" s="405" t="s">
        <v>2749</v>
      </c>
      <c r="C13" s="405"/>
      <c r="D13" s="405">
        <f>SUM(D11:D12)</f>
        <v>716.02445</v>
      </c>
      <c r="E13" s="405"/>
      <c r="F13" s="405"/>
      <c r="G13" s="428">
        <f>SUM(G11:G12)</f>
        <v>1.1011815751201954</v>
      </c>
    </row>
    <row r="14" spans="1:7" x14ac:dyDescent="0.25">
      <c r="A14" s="433"/>
      <c r="B14" s="433"/>
      <c r="C14" s="433"/>
      <c r="D14" s="433"/>
      <c r="E14" s="433"/>
      <c r="F14" s="433"/>
      <c r="G14" s="436"/>
    </row>
    <row r="15" spans="1:7" x14ac:dyDescent="0.25">
      <c r="A15" s="444"/>
      <c r="B15" s="444" t="s">
        <v>3951</v>
      </c>
      <c r="C15" s="444"/>
      <c r="D15" s="443"/>
      <c r="E15" s="443"/>
      <c r="F15" s="443"/>
      <c r="G15" s="443"/>
    </row>
    <row r="16" spans="1:7" x14ac:dyDescent="0.25">
      <c r="A16" s="443"/>
      <c r="B16" s="443"/>
      <c r="C16" s="443"/>
      <c r="D16" s="443"/>
      <c r="E16" s="443"/>
      <c r="F16" s="443"/>
      <c r="G16" s="443"/>
    </row>
    <row r="17" spans="1:9" ht="26.25" x14ac:dyDescent="0.25">
      <c r="A17" s="442" t="s">
        <v>3573</v>
      </c>
      <c r="B17" s="442" t="s">
        <v>2755</v>
      </c>
      <c r="C17" s="442"/>
      <c r="D17" s="441" t="s">
        <v>3945</v>
      </c>
      <c r="E17" s="441" t="s">
        <v>2762</v>
      </c>
      <c r="F17" s="441" t="s">
        <v>2735</v>
      </c>
      <c r="G17" s="441" t="s">
        <v>4190</v>
      </c>
    </row>
    <row r="18" spans="1:9" x14ac:dyDescent="0.25">
      <c r="A18" s="438" t="s">
        <v>11</v>
      </c>
      <c r="B18" s="438" t="s">
        <v>2328</v>
      </c>
      <c r="C18" s="438"/>
      <c r="D18" s="438">
        <f>D4</f>
        <v>444</v>
      </c>
      <c r="E18" s="440">
        <f>D18/$D$13</f>
        <v>0.62009055696352267</v>
      </c>
      <c r="F18" s="439">
        <f>INDEX('M&amp;D data'!$G$13:$G$266,MATCH($A18,'M&amp;D data'!$C$13:$C$266,0),1)</f>
        <v>0.99619990923086066</v>
      </c>
      <c r="G18" s="439">
        <f>E18*F18</f>
        <v>0.61773415656197506</v>
      </c>
    </row>
    <row r="19" spans="1:9" x14ac:dyDescent="0.25">
      <c r="A19" s="438" t="s">
        <v>552</v>
      </c>
      <c r="B19" s="438" t="s">
        <v>4185</v>
      </c>
      <c r="C19" s="438"/>
      <c r="D19" s="438">
        <f>D5</f>
        <v>272.02445</v>
      </c>
      <c r="E19" s="440">
        <f>D19/$D$13</f>
        <v>0.37990944303647733</v>
      </c>
      <c r="F19" s="439">
        <f>INDEX('M&amp;D data'!$G$13:$G$266,MATCH($A19,'M&amp;D data'!$C$13:$C$266,0),1)</f>
        <v>1.0185025427599708</v>
      </c>
      <c r="G19" s="439">
        <f>E19*F19</f>
        <v>0.38693873375117643</v>
      </c>
    </row>
    <row r="20" spans="1:9" x14ac:dyDescent="0.25">
      <c r="A20" s="438"/>
      <c r="B20" s="438" t="s">
        <v>2749</v>
      </c>
      <c r="C20" s="438"/>
      <c r="D20" s="438">
        <f>SUM(D18:D19)</f>
        <v>716.02445</v>
      </c>
      <c r="E20" s="438"/>
      <c r="F20" s="438"/>
      <c r="G20" s="437">
        <f>SUM(G18:G19)</f>
        <v>1.0046728903131514</v>
      </c>
    </row>
    <row r="21" spans="1:9" x14ac:dyDescent="0.25">
      <c r="A21" s="433"/>
      <c r="B21" s="433"/>
      <c r="C21" s="433"/>
      <c r="D21" s="433"/>
      <c r="E21" s="433"/>
      <c r="F21" s="433"/>
      <c r="G21" s="436"/>
    </row>
    <row r="22" spans="1:9" x14ac:dyDescent="0.25">
      <c r="A22" s="427"/>
      <c r="B22" s="427" t="s">
        <v>525</v>
      </c>
      <c r="C22" s="427"/>
      <c r="D22" s="403"/>
      <c r="E22" s="403"/>
      <c r="F22" s="403"/>
      <c r="G22" s="403"/>
    </row>
    <row r="23" spans="1:9" x14ac:dyDescent="0.25">
      <c r="A23" s="403"/>
      <c r="B23" s="403"/>
      <c r="C23" s="403"/>
      <c r="D23" s="403"/>
      <c r="E23" s="403"/>
      <c r="F23" s="403"/>
      <c r="G23" s="403"/>
    </row>
    <row r="24" spans="1:9" ht="26.25" x14ac:dyDescent="0.25">
      <c r="A24" s="430" t="s">
        <v>3573</v>
      </c>
      <c r="B24" s="420" t="s">
        <v>2755</v>
      </c>
      <c r="C24" s="420"/>
      <c r="D24" s="420" t="s">
        <v>2726</v>
      </c>
      <c r="E24" s="420" t="s">
        <v>523</v>
      </c>
      <c r="F24" s="420" t="s">
        <v>524</v>
      </c>
      <c r="G24" s="420" t="s">
        <v>3812</v>
      </c>
    </row>
    <row r="25" spans="1:9" x14ac:dyDescent="0.25">
      <c r="A25" s="405" t="s">
        <v>11</v>
      </c>
      <c r="B25" s="405" t="s">
        <v>2328</v>
      </c>
      <c r="C25" s="405"/>
      <c r="D25" s="455">
        <f>INDEX('Land data'!$D:$D,MATCH($A25,'Land data'!$B:$B,0),1)</f>
        <v>24</v>
      </c>
      <c r="E25" s="455">
        <f>INDEX('Land data'!$E:$E,MATCH($A25,'Land data'!$B:$B,0),1)</f>
        <v>434</v>
      </c>
      <c r="F25" s="455">
        <f>E25/D25</f>
        <v>18.083333333333332</v>
      </c>
      <c r="G25" s="424">
        <f>F25/F$28</f>
        <v>1.5941701105598512E-2</v>
      </c>
    </row>
    <row r="26" spans="1:9" x14ac:dyDescent="0.25">
      <c r="A26" s="400" t="s">
        <v>552</v>
      </c>
      <c r="B26" s="405" t="s">
        <v>4185</v>
      </c>
      <c r="C26" s="405"/>
      <c r="D26" s="455">
        <f>'Index values'!D55</f>
        <v>38</v>
      </c>
      <c r="E26" s="455">
        <f>'Index values'!E55</f>
        <v>17264</v>
      </c>
      <c r="F26" s="455">
        <f>E26/D26</f>
        <v>454.31578947368422</v>
      </c>
      <c r="G26" s="424">
        <f>F26/F$28</f>
        <v>0.40051059115263554</v>
      </c>
    </row>
    <row r="27" spans="1:9" x14ac:dyDescent="0.25">
      <c r="A27" s="405"/>
      <c r="B27" s="405" t="s">
        <v>2749</v>
      </c>
      <c r="C27" s="405"/>
      <c r="D27" s="455">
        <f>SUM(D25:D26)</f>
        <v>62</v>
      </c>
      <c r="E27" s="455">
        <f>SUM(E25:E26)</f>
        <v>17698</v>
      </c>
      <c r="F27" s="455">
        <f>E27/D27</f>
        <v>285.45161290322579</v>
      </c>
      <c r="G27" s="426">
        <f>G25*SUM(E11:E11)+G26*E12</f>
        <v>0.16204305393252463</v>
      </c>
      <c r="H27" s="403"/>
      <c r="I27" s="403"/>
    </row>
    <row r="28" spans="1:9" x14ac:dyDescent="0.25">
      <c r="A28" s="405"/>
      <c r="B28" s="405" t="s">
        <v>3942</v>
      </c>
      <c r="C28" s="405"/>
      <c r="D28" s="456">
        <f>SUM('PCT data'!$M$3:$M$154)+SUM('Land data'!$D$2:$D$234)</f>
        <v>7611.3175000000019</v>
      </c>
      <c r="E28" s="456">
        <f>SUM('PCT data'!$N$3:$N$154)+SUM('Land data'!$E$2:$E$234)</f>
        <v>8633833.4000000004</v>
      </c>
      <c r="F28" s="455">
        <f>E28/D28</f>
        <v>1134.3415118341861</v>
      </c>
      <c r="G28" s="424"/>
      <c r="H28" s="403"/>
      <c r="I28" s="403"/>
    </row>
    <row r="29" spans="1:9" x14ac:dyDescent="0.25">
      <c r="B29" s="403"/>
      <c r="C29" s="403"/>
      <c r="D29" s="403"/>
      <c r="E29" s="403"/>
      <c r="F29" s="403"/>
      <c r="G29" s="403"/>
      <c r="H29" s="403"/>
    </row>
    <row r="30" spans="1:9" x14ac:dyDescent="0.25">
      <c r="B30" s="423" t="s">
        <v>3933</v>
      </c>
      <c r="C30" s="403"/>
      <c r="D30" s="403"/>
      <c r="E30" s="403"/>
      <c r="F30" s="403"/>
      <c r="G30" s="403"/>
      <c r="H30" s="403"/>
    </row>
    <row r="31" spans="1:9" x14ac:dyDescent="0.25">
      <c r="B31" s="423"/>
      <c r="C31" s="403"/>
      <c r="D31" s="403"/>
      <c r="E31" s="403"/>
      <c r="F31" s="403"/>
      <c r="G31" s="403"/>
      <c r="H31" s="403"/>
    </row>
    <row r="32" spans="1:9" ht="30" x14ac:dyDescent="0.25">
      <c r="B32" s="422" t="s">
        <v>3939</v>
      </c>
      <c r="C32" s="421" t="s">
        <v>4184</v>
      </c>
      <c r="D32" s="421" t="s">
        <v>3937</v>
      </c>
      <c r="E32" s="420" t="s">
        <v>4183</v>
      </c>
      <c r="F32" s="407" t="s">
        <v>4182</v>
      </c>
      <c r="G32" s="403"/>
      <c r="H32" s="403"/>
    </row>
    <row r="33" spans="1:8" x14ac:dyDescent="0.25">
      <c r="B33" s="419" t="s">
        <v>2734</v>
      </c>
      <c r="C33" s="418">
        <f>G6</f>
        <v>1.1326447791202172</v>
      </c>
      <c r="D33" s="415">
        <f>Staff_Weight</f>
        <v>0.54914759484508857</v>
      </c>
      <c r="E33" s="406">
        <f>C33*D33</f>
        <v>0.62198915626771389</v>
      </c>
      <c r="F33" s="414"/>
      <c r="G33" s="403"/>
      <c r="H33" s="403"/>
    </row>
    <row r="34" spans="1:8" x14ac:dyDescent="0.25">
      <c r="B34" s="417" t="s">
        <v>3935</v>
      </c>
      <c r="C34" s="416">
        <f>G13</f>
        <v>1.1011815751201954</v>
      </c>
      <c r="D34" s="415">
        <f>Building_Weight</f>
        <v>2.6635675286214532E-2</v>
      </c>
      <c r="E34" s="406">
        <f>C34*D34</f>
        <v>2.9330714866063781E-2</v>
      </c>
      <c r="F34" s="414"/>
      <c r="G34" s="403"/>
      <c r="H34" s="403"/>
    </row>
    <row r="35" spans="1:8" x14ac:dyDescent="0.25">
      <c r="B35" s="417" t="s">
        <v>2735</v>
      </c>
      <c r="C35" s="406">
        <f>G20</f>
        <v>1.0046728903131514</v>
      </c>
      <c r="D35" s="415">
        <f>MnD_Weight</f>
        <v>0.13904710383678176</v>
      </c>
      <c r="E35" s="406">
        <f>C35*D35</f>
        <v>0.13969685570137241</v>
      </c>
      <c r="F35" s="414"/>
      <c r="G35" s="403"/>
      <c r="H35" s="403"/>
    </row>
    <row r="36" spans="1:8" x14ac:dyDescent="0.25">
      <c r="B36" s="405" t="s">
        <v>2733</v>
      </c>
      <c r="C36" s="416">
        <f>G27</f>
        <v>0.16204305393252463</v>
      </c>
      <c r="D36" s="415">
        <f>Land_Weight</f>
        <v>4.4820020140147153E-3</v>
      </c>
      <c r="E36" s="406">
        <f>C36*D36</f>
        <v>7.2627729408267054E-4</v>
      </c>
      <c r="F36" s="414"/>
      <c r="G36" s="403"/>
      <c r="H36" s="403"/>
    </row>
    <row r="37" spans="1:8" x14ac:dyDescent="0.25">
      <c r="B37" s="405" t="s">
        <v>632</v>
      </c>
      <c r="C37" s="406">
        <v>1</v>
      </c>
      <c r="D37" s="413">
        <f>Other_Weight</f>
        <v>0.28068762401790043</v>
      </c>
      <c r="E37" s="406">
        <f>C37*D37</f>
        <v>0.28068762401790043</v>
      </c>
      <c r="F37" s="412"/>
      <c r="G37" s="403"/>
      <c r="H37" s="403"/>
    </row>
    <row r="38" spans="1:8" x14ac:dyDescent="0.25">
      <c r="B38" s="411" t="s">
        <v>3933</v>
      </c>
      <c r="C38" s="406"/>
      <c r="D38" s="405"/>
      <c r="E38" s="410">
        <f>SUM(E33:E37)</f>
        <v>1.0724306281471332</v>
      </c>
      <c r="F38" s="409">
        <f ca="1">E38/C40</f>
        <v>1.1577267123254336</v>
      </c>
      <c r="G38" s="403"/>
      <c r="H38" s="403"/>
    </row>
    <row r="39" spans="1:8" x14ac:dyDescent="0.25">
      <c r="B39" s="403"/>
      <c r="C39" s="403"/>
      <c r="D39" s="403"/>
      <c r="E39" s="403"/>
      <c r="F39" s="403"/>
      <c r="G39" s="403"/>
      <c r="H39" s="403"/>
    </row>
    <row r="40" spans="1:8" ht="30" x14ac:dyDescent="0.25">
      <c r="B40" s="408" t="s">
        <v>3932</v>
      </c>
      <c r="C40" s="403">
        <f ca="1">Lowest_Underlying_MFF</f>
        <v>0.92632450882387185</v>
      </c>
      <c r="D40" s="403"/>
      <c r="E40" s="403"/>
      <c r="F40" s="430" t="s">
        <v>3573</v>
      </c>
      <c r="G40" s="420" t="s">
        <v>2755</v>
      </c>
      <c r="H40" s="407" t="s">
        <v>4202</v>
      </c>
    </row>
    <row r="41" spans="1:8" x14ac:dyDescent="0.25">
      <c r="B41" s="403"/>
      <c r="C41" s="403"/>
      <c r="D41" s="403"/>
      <c r="E41" s="403"/>
      <c r="F41" s="405" t="s">
        <v>11</v>
      </c>
      <c r="G41" s="405" t="s">
        <v>2328</v>
      </c>
      <c r="H41" s="406">
        <f ca="1">INDEX('All Trusts'!$N$6:$N$261,MATCH($F41,'All Trusts'!$B$6:$B$261,0),1)</f>
        <v>1.1456038583678312</v>
      </c>
    </row>
    <row r="42" spans="1:8" x14ac:dyDescent="0.25">
      <c r="B42" s="403"/>
      <c r="C42" s="403"/>
      <c r="D42" s="403"/>
      <c r="E42" s="403"/>
      <c r="F42" s="400" t="s">
        <v>552</v>
      </c>
      <c r="G42" s="405" t="s">
        <v>4180</v>
      </c>
      <c r="H42" s="406">
        <f ca="1">INDEX('All Trusts'!$N$6:$N$261,MATCH($F42,'All Trusts'!$B$6:$B$261,0),1)</f>
        <v>1.184976805812578</v>
      </c>
    </row>
    <row r="43" spans="1:8" x14ac:dyDescent="0.25">
      <c r="A43" s="229" t="s">
        <v>3925</v>
      </c>
      <c r="B43" s="403"/>
      <c r="C43" s="403"/>
      <c r="D43" s="403"/>
      <c r="E43" s="403"/>
      <c r="F43" s="403"/>
      <c r="G43" s="405" t="s">
        <v>4179</v>
      </c>
      <c r="H43" s="404">
        <f ca="1">F38</f>
        <v>1.1577267123254336</v>
      </c>
    </row>
    <row r="44" spans="1:8" x14ac:dyDescent="0.25">
      <c r="A44" s="228" t="s">
        <v>3920</v>
      </c>
    </row>
    <row r="45" spans="1:8" x14ac:dyDescent="0.25">
      <c r="A45" s="457" t="s">
        <v>4203</v>
      </c>
    </row>
    <row r="46" spans="1:8" x14ac:dyDescent="0.25">
      <c r="A46" s="457" t="s">
        <v>4201</v>
      </c>
    </row>
  </sheetData>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rgb="FF92D050"/>
  </sheetPr>
  <dimension ref="A1:H43"/>
  <sheetViews>
    <sheetView workbookViewId="0"/>
  </sheetViews>
  <sheetFormatPr defaultRowHeight="15" x14ac:dyDescent="0.25"/>
  <cols>
    <col min="1" max="1" width="9.140625" style="403"/>
    <col min="2" max="2" width="38.7109375" style="403" bestFit="1" customWidth="1"/>
    <col min="3" max="3" width="14.7109375" style="403" bestFit="1" customWidth="1"/>
    <col min="4" max="4" width="14.140625" style="403" bestFit="1" customWidth="1"/>
    <col min="5" max="5" width="14.42578125" style="403" customWidth="1"/>
    <col min="6" max="6" width="16" style="403" customWidth="1"/>
    <col min="7" max="7" width="26" style="403" bestFit="1" customWidth="1"/>
    <col min="8" max="8" width="22.7109375" style="403" bestFit="1" customWidth="1"/>
    <col min="9" max="257" width="9.140625" style="403"/>
    <col min="258" max="258" width="20.85546875" style="403" bestFit="1" customWidth="1"/>
    <col min="259" max="259" width="14.7109375" style="403" bestFit="1" customWidth="1"/>
    <col min="260" max="260" width="14.140625" style="403" bestFit="1" customWidth="1"/>
    <col min="261" max="261" width="14.42578125" style="403" customWidth="1"/>
    <col min="262" max="263" width="16" style="403" customWidth="1"/>
    <col min="264" max="513" width="9.140625" style="403"/>
    <col min="514" max="514" width="20.85546875" style="403" bestFit="1" customWidth="1"/>
    <col min="515" max="515" width="14.7109375" style="403" bestFit="1" customWidth="1"/>
    <col min="516" max="516" width="14.140625" style="403" bestFit="1" customWidth="1"/>
    <col min="517" max="517" width="14.42578125" style="403" customWidth="1"/>
    <col min="518" max="519" width="16" style="403" customWidth="1"/>
    <col min="520" max="769" width="9.140625" style="403"/>
    <col min="770" max="770" width="20.85546875" style="403" bestFit="1" customWidth="1"/>
    <col min="771" max="771" width="14.7109375" style="403" bestFit="1" customWidth="1"/>
    <col min="772" max="772" width="14.140625" style="403" bestFit="1" customWidth="1"/>
    <col min="773" max="773" width="14.42578125" style="403" customWidth="1"/>
    <col min="774" max="775" width="16" style="403" customWidth="1"/>
    <col min="776" max="1025" width="9.140625" style="403"/>
    <col min="1026" max="1026" width="20.85546875" style="403" bestFit="1" customWidth="1"/>
    <col min="1027" max="1027" width="14.7109375" style="403" bestFit="1" customWidth="1"/>
    <col min="1028" max="1028" width="14.140625" style="403" bestFit="1" customWidth="1"/>
    <col min="1029" max="1029" width="14.42578125" style="403" customWidth="1"/>
    <col min="1030" max="1031" width="16" style="403" customWidth="1"/>
    <col min="1032" max="1281" width="9.140625" style="403"/>
    <col min="1282" max="1282" width="20.85546875" style="403" bestFit="1" customWidth="1"/>
    <col min="1283" max="1283" width="14.7109375" style="403" bestFit="1" customWidth="1"/>
    <col min="1284" max="1284" width="14.140625" style="403" bestFit="1" customWidth="1"/>
    <col min="1285" max="1285" width="14.42578125" style="403" customWidth="1"/>
    <col min="1286" max="1287" width="16" style="403" customWidth="1"/>
    <col min="1288" max="1537" width="9.140625" style="403"/>
    <col min="1538" max="1538" width="20.85546875" style="403" bestFit="1" customWidth="1"/>
    <col min="1539" max="1539" width="14.7109375" style="403" bestFit="1" customWidth="1"/>
    <col min="1540" max="1540" width="14.140625" style="403" bestFit="1" customWidth="1"/>
    <col min="1541" max="1541" width="14.42578125" style="403" customWidth="1"/>
    <col min="1542" max="1543" width="16" style="403" customWidth="1"/>
    <col min="1544" max="1793" width="9.140625" style="403"/>
    <col min="1794" max="1794" width="20.85546875" style="403" bestFit="1" customWidth="1"/>
    <col min="1795" max="1795" width="14.7109375" style="403" bestFit="1" customWidth="1"/>
    <col min="1796" max="1796" width="14.140625" style="403" bestFit="1" customWidth="1"/>
    <col min="1797" max="1797" width="14.42578125" style="403" customWidth="1"/>
    <col min="1798" max="1799" width="16" style="403" customWidth="1"/>
    <col min="1800" max="2049" width="9.140625" style="403"/>
    <col min="2050" max="2050" width="20.85546875" style="403" bestFit="1" customWidth="1"/>
    <col min="2051" max="2051" width="14.7109375" style="403" bestFit="1" customWidth="1"/>
    <col min="2052" max="2052" width="14.140625" style="403" bestFit="1" customWidth="1"/>
    <col min="2053" max="2053" width="14.42578125" style="403" customWidth="1"/>
    <col min="2054" max="2055" width="16" style="403" customWidth="1"/>
    <col min="2056" max="2305" width="9.140625" style="403"/>
    <col min="2306" max="2306" width="20.85546875" style="403" bestFit="1" customWidth="1"/>
    <col min="2307" max="2307" width="14.7109375" style="403" bestFit="1" customWidth="1"/>
    <col min="2308" max="2308" width="14.140625" style="403" bestFit="1" customWidth="1"/>
    <col min="2309" max="2309" width="14.42578125" style="403" customWidth="1"/>
    <col min="2310" max="2311" width="16" style="403" customWidth="1"/>
    <col min="2312" max="2561" width="9.140625" style="403"/>
    <col min="2562" max="2562" width="20.85546875" style="403" bestFit="1" customWidth="1"/>
    <col min="2563" max="2563" width="14.7109375" style="403" bestFit="1" customWidth="1"/>
    <col min="2564" max="2564" width="14.140625" style="403" bestFit="1" customWidth="1"/>
    <col min="2565" max="2565" width="14.42578125" style="403" customWidth="1"/>
    <col min="2566" max="2567" width="16" style="403" customWidth="1"/>
    <col min="2568" max="2817" width="9.140625" style="403"/>
    <col min="2818" max="2818" width="20.85546875" style="403" bestFit="1" customWidth="1"/>
    <col min="2819" max="2819" width="14.7109375" style="403" bestFit="1" customWidth="1"/>
    <col min="2820" max="2820" width="14.140625" style="403" bestFit="1" customWidth="1"/>
    <col min="2821" max="2821" width="14.42578125" style="403" customWidth="1"/>
    <col min="2822" max="2823" width="16" style="403" customWidth="1"/>
    <col min="2824" max="3073" width="9.140625" style="403"/>
    <col min="3074" max="3074" width="20.85546875" style="403" bestFit="1" customWidth="1"/>
    <col min="3075" max="3075" width="14.7109375" style="403" bestFit="1" customWidth="1"/>
    <col min="3076" max="3076" width="14.140625" style="403" bestFit="1" customWidth="1"/>
    <col min="3077" max="3077" width="14.42578125" style="403" customWidth="1"/>
    <col min="3078" max="3079" width="16" style="403" customWidth="1"/>
    <col min="3080" max="3329" width="9.140625" style="403"/>
    <col min="3330" max="3330" width="20.85546875" style="403" bestFit="1" customWidth="1"/>
    <col min="3331" max="3331" width="14.7109375" style="403" bestFit="1" customWidth="1"/>
    <col min="3332" max="3332" width="14.140625" style="403" bestFit="1" customWidth="1"/>
    <col min="3333" max="3333" width="14.42578125" style="403" customWidth="1"/>
    <col min="3334" max="3335" width="16" style="403" customWidth="1"/>
    <col min="3336" max="3585" width="9.140625" style="403"/>
    <col min="3586" max="3586" width="20.85546875" style="403" bestFit="1" customWidth="1"/>
    <col min="3587" max="3587" width="14.7109375" style="403" bestFit="1" customWidth="1"/>
    <col min="3588" max="3588" width="14.140625" style="403" bestFit="1" customWidth="1"/>
    <col min="3589" max="3589" width="14.42578125" style="403" customWidth="1"/>
    <col min="3590" max="3591" width="16" style="403" customWidth="1"/>
    <col min="3592" max="3841" width="9.140625" style="403"/>
    <col min="3842" max="3842" width="20.85546875" style="403" bestFit="1" customWidth="1"/>
    <col min="3843" max="3843" width="14.7109375" style="403" bestFit="1" customWidth="1"/>
    <col min="3844" max="3844" width="14.140625" style="403" bestFit="1" customWidth="1"/>
    <col min="3845" max="3845" width="14.42578125" style="403" customWidth="1"/>
    <col min="3846" max="3847" width="16" style="403" customWidth="1"/>
    <col min="3848" max="4097" width="9.140625" style="403"/>
    <col min="4098" max="4098" width="20.85546875" style="403" bestFit="1" customWidth="1"/>
    <col min="4099" max="4099" width="14.7109375" style="403" bestFit="1" customWidth="1"/>
    <col min="4100" max="4100" width="14.140625" style="403" bestFit="1" customWidth="1"/>
    <col min="4101" max="4101" width="14.42578125" style="403" customWidth="1"/>
    <col min="4102" max="4103" width="16" style="403" customWidth="1"/>
    <col min="4104" max="4353" width="9.140625" style="403"/>
    <col min="4354" max="4354" width="20.85546875" style="403" bestFit="1" customWidth="1"/>
    <col min="4355" max="4355" width="14.7109375" style="403" bestFit="1" customWidth="1"/>
    <col min="4356" max="4356" width="14.140625" style="403" bestFit="1" customWidth="1"/>
    <col min="4357" max="4357" width="14.42578125" style="403" customWidth="1"/>
    <col min="4358" max="4359" width="16" style="403" customWidth="1"/>
    <col min="4360" max="4609" width="9.140625" style="403"/>
    <col min="4610" max="4610" width="20.85546875" style="403" bestFit="1" customWidth="1"/>
    <col min="4611" max="4611" width="14.7109375" style="403" bestFit="1" customWidth="1"/>
    <col min="4612" max="4612" width="14.140625" style="403" bestFit="1" customWidth="1"/>
    <col min="4613" max="4613" width="14.42578125" style="403" customWidth="1"/>
    <col min="4614" max="4615" width="16" style="403" customWidth="1"/>
    <col min="4616" max="4865" width="9.140625" style="403"/>
    <col min="4866" max="4866" width="20.85546875" style="403" bestFit="1" customWidth="1"/>
    <col min="4867" max="4867" width="14.7109375" style="403" bestFit="1" customWidth="1"/>
    <col min="4868" max="4868" width="14.140625" style="403" bestFit="1" customWidth="1"/>
    <col min="4869" max="4869" width="14.42578125" style="403" customWidth="1"/>
    <col min="4870" max="4871" width="16" style="403" customWidth="1"/>
    <col min="4872" max="5121" width="9.140625" style="403"/>
    <col min="5122" max="5122" width="20.85546875" style="403" bestFit="1" customWidth="1"/>
    <col min="5123" max="5123" width="14.7109375" style="403" bestFit="1" customWidth="1"/>
    <col min="5124" max="5124" width="14.140625" style="403" bestFit="1" customWidth="1"/>
    <col min="5125" max="5125" width="14.42578125" style="403" customWidth="1"/>
    <col min="5126" max="5127" width="16" style="403" customWidth="1"/>
    <col min="5128" max="5377" width="9.140625" style="403"/>
    <col min="5378" max="5378" width="20.85546875" style="403" bestFit="1" customWidth="1"/>
    <col min="5379" max="5379" width="14.7109375" style="403" bestFit="1" customWidth="1"/>
    <col min="5380" max="5380" width="14.140625" style="403" bestFit="1" customWidth="1"/>
    <col min="5381" max="5381" width="14.42578125" style="403" customWidth="1"/>
    <col min="5382" max="5383" width="16" style="403" customWidth="1"/>
    <col min="5384" max="5633" width="9.140625" style="403"/>
    <col min="5634" max="5634" width="20.85546875" style="403" bestFit="1" customWidth="1"/>
    <col min="5635" max="5635" width="14.7109375" style="403" bestFit="1" customWidth="1"/>
    <col min="5636" max="5636" width="14.140625" style="403" bestFit="1" customWidth="1"/>
    <col min="5637" max="5637" width="14.42578125" style="403" customWidth="1"/>
    <col min="5638" max="5639" width="16" style="403" customWidth="1"/>
    <col min="5640" max="5889" width="9.140625" style="403"/>
    <col min="5890" max="5890" width="20.85546875" style="403" bestFit="1" customWidth="1"/>
    <col min="5891" max="5891" width="14.7109375" style="403" bestFit="1" customWidth="1"/>
    <col min="5892" max="5892" width="14.140625" style="403" bestFit="1" customWidth="1"/>
    <col min="5893" max="5893" width="14.42578125" style="403" customWidth="1"/>
    <col min="5894" max="5895" width="16" style="403" customWidth="1"/>
    <col min="5896" max="6145" width="9.140625" style="403"/>
    <col min="6146" max="6146" width="20.85546875" style="403" bestFit="1" customWidth="1"/>
    <col min="6147" max="6147" width="14.7109375" style="403" bestFit="1" customWidth="1"/>
    <col min="6148" max="6148" width="14.140625" style="403" bestFit="1" customWidth="1"/>
    <col min="6149" max="6149" width="14.42578125" style="403" customWidth="1"/>
    <col min="6150" max="6151" width="16" style="403" customWidth="1"/>
    <col min="6152" max="6401" width="9.140625" style="403"/>
    <col min="6402" max="6402" width="20.85546875" style="403" bestFit="1" customWidth="1"/>
    <col min="6403" max="6403" width="14.7109375" style="403" bestFit="1" customWidth="1"/>
    <col min="6404" max="6404" width="14.140625" style="403" bestFit="1" customWidth="1"/>
    <col min="6405" max="6405" width="14.42578125" style="403" customWidth="1"/>
    <col min="6406" max="6407" width="16" style="403" customWidth="1"/>
    <col min="6408" max="6657" width="9.140625" style="403"/>
    <col min="6658" max="6658" width="20.85546875" style="403" bestFit="1" customWidth="1"/>
    <col min="6659" max="6659" width="14.7109375" style="403" bestFit="1" customWidth="1"/>
    <col min="6660" max="6660" width="14.140625" style="403" bestFit="1" customWidth="1"/>
    <col min="6661" max="6661" width="14.42578125" style="403" customWidth="1"/>
    <col min="6662" max="6663" width="16" style="403" customWidth="1"/>
    <col min="6664" max="6913" width="9.140625" style="403"/>
    <col min="6914" max="6914" width="20.85546875" style="403" bestFit="1" customWidth="1"/>
    <col min="6915" max="6915" width="14.7109375" style="403" bestFit="1" customWidth="1"/>
    <col min="6916" max="6916" width="14.140625" style="403" bestFit="1" customWidth="1"/>
    <col min="6917" max="6917" width="14.42578125" style="403" customWidth="1"/>
    <col min="6918" max="6919" width="16" style="403" customWidth="1"/>
    <col min="6920" max="7169" width="9.140625" style="403"/>
    <col min="7170" max="7170" width="20.85546875" style="403" bestFit="1" customWidth="1"/>
    <col min="7171" max="7171" width="14.7109375" style="403" bestFit="1" customWidth="1"/>
    <col min="7172" max="7172" width="14.140625" style="403" bestFit="1" customWidth="1"/>
    <col min="7173" max="7173" width="14.42578125" style="403" customWidth="1"/>
    <col min="7174" max="7175" width="16" style="403" customWidth="1"/>
    <col min="7176" max="7425" width="9.140625" style="403"/>
    <col min="7426" max="7426" width="20.85546875" style="403" bestFit="1" customWidth="1"/>
    <col min="7427" max="7427" width="14.7109375" style="403" bestFit="1" customWidth="1"/>
    <col min="7428" max="7428" width="14.140625" style="403" bestFit="1" customWidth="1"/>
    <col min="7429" max="7429" width="14.42578125" style="403" customWidth="1"/>
    <col min="7430" max="7431" width="16" style="403" customWidth="1"/>
    <col min="7432" max="7681" width="9.140625" style="403"/>
    <col min="7682" max="7682" width="20.85546875" style="403" bestFit="1" customWidth="1"/>
    <col min="7683" max="7683" width="14.7109375" style="403" bestFit="1" customWidth="1"/>
    <col min="7684" max="7684" width="14.140625" style="403" bestFit="1" customWidth="1"/>
    <col min="7685" max="7685" width="14.42578125" style="403" customWidth="1"/>
    <col min="7686" max="7687" width="16" style="403" customWidth="1"/>
    <col min="7688" max="7937" width="9.140625" style="403"/>
    <col min="7938" max="7938" width="20.85546875" style="403" bestFit="1" customWidth="1"/>
    <col min="7939" max="7939" width="14.7109375" style="403" bestFit="1" customWidth="1"/>
    <col min="7940" max="7940" width="14.140625" style="403" bestFit="1" customWidth="1"/>
    <col min="7941" max="7941" width="14.42578125" style="403" customWidth="1"/>
    <col min="7942" max="7943" width="16" style="403" customWidth="1"/>
    <col min="7944" max="8193" width="9.140625" style="403"/>
    <col min="8194" max="8194" width="20.85546875" style="403" bestFit="1" customWidth="1"/>
    <col min="8195" max="8195" width="14.7109375" style="403" bestFit="1" customWidth="1"/>
    <col min="8196" max="8196" width="14.140625" style="403" bestFit="1" customWidth="1"/>
    <col min="8197" max="8197" width="14.42578125" style="403" customWidth="1"/>
    <col min="8198" max="8199" width="16" style="403" customWidth="1"/>
    <col min="8200" max="8449" width="9.140625" style="403"/>
    <col min="8450" max="8450" width="20.85546875" style="403" bestFit="1" customWidth="1"/>
    <col min="8451" max="8451" width="14.7109375" style="403" bestFit="1" customWidth="1"/>
    <col min="8452" max="8452" width="14.140625" style="403" bestFit="1" customWidth="1"/>
    <col min="8453" max="8453" width="14.42578125" style="403" customWidth="1"/>
    <col min="8454" max="8455" width="16" style="403" customWidth="1"/>
    <col min="8456" max="8705" width="9.140625" style="403"/>
    <col min="8706" max="8706" width="20.85546875" style="403" bestFit="1" customWidth="1"/>
    <col min="8707" max="8707" width="14.7109375" style="403" bestFit="1" customWidth="1"/>
    <col min="8708" max="8708" width="14.140625" style="403" bestFit="1" customWidth="1"/>
    <col min="8709" max="8709" width="14.42578125" style="403" customWidth="1"/>
    <col min="8710" max="8711" width="16" style="403" customWidth="1"/>
    <col min="8712" max="8961" width="9.140625" style="403"/>
    <col min="8962" max="8962" width="20.85546875" style="403" bestFit="1" customWidth="1"/>
    <col min="8963" max="8963" width="14.7109375" style="403" bestFit="1" customWidth="1"/>
    <col min="8964" max="8964" width="14.140625" style="403" bestFit="1" customWidth="1"/>
    <col min="8965" max="8965" width="14.42578125" style="403" customWidth="1"/>
    <col min="8966" max="8967" width="16" style="403" customWidth="1"/>
    <col min="8968" max="9217" width="9.140625" style="403"/>
    <col min="9218" max="9218" width="20.85546875" style="403" bestFit="1" customWidth="1"/>
    <col min="9219" max="9219" width="14.7109375" style="403" bestFit="1" customWidth="1"/>
    <col min="9220" max="9220" width="14.140625" style="403" bestFit="1" customWidth="1"/>
    <col min="9221" max="9221" width="14.42578125" style="403" customWidth="1"/>
    <col min="9222" max="9223" width="16" style="403" customWidth="1"/>
    <col min="9224" max="9473" width="9.140625" style="403"/>
    <col min="9474" max="9474" width="20.85546875" style="403" bestFit="1" customWidth="1"/>
    <col min="9475" max="9475" width="14.7109375" style="403" bestFit="1" customWidth="1"/>
    <col min="9476" max="9476" width="14.140625" style="403" bestFit="1" customWidth="1"/>
    <col min="9477" max="9477" width="14.42578125" style="403" customWidth="1"/>
    <col min="9478" max="9479" width="16" style="403" customWidth="1"/>
    <col min="9480" max="9729" width="9.140625" style="403"/>
    <col min="9730" max="9730" width="20.85546875" style="403" bestFit="1" customWidth="1"/>
    <col min="9731" max="9731" width="14.7109375" style="403" bestFit="1" customWidth="1"/>
    <col min="9732" max="9732" width="14.140625" style="403" bestFit="1" customWidth="1"/>
    <col min="9733" max="9733" width="14.42578125" style="403" customWidth="1"/>
    <col min="9734" max="9735" width="16" style="403" customWidth="1"/>
    <col min="9736" max="9985" width="9.140625" style="403"/>
    <col min="9986" max="9986" width="20.85546875" style="403" bestFit="1" customWidth="1"/>
    <col min="9987" max="9987" width="14.7109375" style="403" bestFit="1" customWidth="1"/>
    <col min="9988" max="9988" width="14.140625" style="403" bestFit="1" customWidth="1"/>
    <col min="9989" max="9989" width="14.42578125" style="403" customWidth="1"/>
    <col min="9990" max="9991" width="16" style="403" customWidth="1"/>
    <col min="9992" max="10241" width="9.140625" style="403"/>
    <col min="10242" max="10242" width="20.85546875" style="403" bestFit="1" customWidth="1"/>
    <col min="10243" max="10243" width="14.7109375" style="403" bestFit="1" customWidth="1"/>
    <col min="10244" max="10244" width="14.140625" style="403" bestFit="1" customWidth="1"/>
    <col min="10245" max="10245" width="14.42578125" style="403" customWidth="1"/>
    <col min="10246" max="10247" width="16" style="403" customWidth="1"/>
    <col min="10248" max="10497" width="9.140625" style="403"/>
    <col min="10498" max="10498" width="20.85546875" style="403" bestFit="1" customWidth="1"/>
    <col min="10499" max="10499" width="14.7109375" style="403" bestFit="1" customWidth="1"/>
    <col min="10500" max="10500" width="14.140625" style="403" bestFit="1" customWidth="1"/>
    <col min="10501" max="10501" width="14.42578125" style="403" customWidth="1"/>
    <col min="10502" max="10503" width="16" style="403" customWidth="1"/>
    <col min="10504" max="10753" width="9.140625" style="403"/>
    <col min="10754" max="10754" width="20.85546875" style="403" bestFit="1" customWidth="1"/>
    <col min="10755" max="10755" width="14.7109375" style="403" bestFit="1" customWidth="1"/>
    <col min="10756" max="10756" width="14.140625" style="403" bestFit="1" customWidth="1"/>
    <col min="10757" max="10757" width="14.42578125" style="403" customWidth="1"/>
    <col min="10758" max="10759" width="16" style="403" customWidth="1"/>
    <col min="10760" max="11009" width="9.140625" style="403"/>
    <col min="11010" max="11010" width="20.85546875" style="403" bestFit="1" customWidth="1"/>
    <col min="11011" max="11011" width="14.7109375" style="403" bestFit="1" customWidth="1"/>
    <col min="11012" max="11012" width="14.140625" style="403" bestFit="1" customWidth="1"/>
    <col min="11013" max="11013" width="14.42578125" style="403" customWidth="1"/>
    <col min="11014" max="11015" width="16" style="403" customWidth="1"/>
    <col min="11016" max="11265" width="9.140625" style="403"/>
    <col min="11266" max="11266" width="20.85546875" style="403" bestFit="1" customWidth="1"/>
    <col min="11267" max="11267" width="14.7109375" style="403" bestFit="1" customWidth="1"/>
    <col min="11268" max="11268" width="14.140625" style="403" bestFit="1" customWidth="1"/>
    <col min="11269" max="11269" width="14.42578125" style="403" customWidth="1"/>
    <col min="11270" max="11271" width="16" style="403" customWidth="1"/>
    <col min="11272" max="11521" width="9.140625" style="403"/>
    <col min="11522" max="11522" width="20.85546875" style="403" bestFit="1" customWidth="1"/>
    <col min="11523" max="11523" width="14.7109375" style="403" bestFit="1" customWidth="1"/>
    <col min="11524" max="11524" width="14.140625" style="403" bestFit="1" customWidth="1"/>
    <col min="11525" max="11525" width="14.42578125" style="403" customWidth="1"/>
    <col min="11526" max="11527" width="16" style="403" customWidth="1"/>
    <col min="11528" max="11777" width="9.140625" style="403"/>
    <col min="11778" max="11778" width="20.85546875" style="403" bestFit="1" customWidth="1"/>
    <col min="11779" max="11779" width="14.7109375" style="403" bestFit="1" customWidth="1"/>
    <col min="11780" max="11780" width="14.140625" style="403" bestFit="1" customWidth="1"/>
    <col min="11781" max="11781" width="14.42578125" style="403" customWidth="1"/>
    <col min="11782" max="11783" width="16" style="403" customWidth="1"/>
    <col min="11784" max="12033" width="9.140625" style="403"/>
    <col min="12034" max="12034" width="20.85546875" style="403" bestFit="1" customWidth="1"/>
    <col min="12035" max="12035" width="14.7109375" style="403" bestFit="1" customWidth="1"/>
    <col min="12036" max="12036" width="14.140625" style="403" bestFit="1" customWidth="1"/>
    <col min="12037" max="12037" width="14.42578125" style="403" customWidth="1"/>
    <col min="12038" max="12039" width="16" style="403" customWidth="1"/>
    <col min="12040" max="12289" width="9.140625" style="403"/>
    <col min="12290" max="12290" width="20.85546875" style="403" bestFit="1" customWidth="1"/>
    <col min="12291" max="12291" width="14.7109375" style="403" bestFit="1" customWidth="1"/>
    <col min="12292" max="12292" width="14.140625" style="403" bestFit="1" customWidth="1"/>
    <col min="12293" max="12293" width="14.42578125" style="403" customWidth="1"/>
    <col min="12294" max="12295" width="16" style="403" customWidth="1"/>
    <col min="12296" max="12545" width="9.140625" style="403"/>
    <col min="12546" max="12546" width="20.85546875" style="403" bestFit="1" customWidth="1"/>
    <col min="12547" max="12547" width="14.7109375" style="403" bestFit="1" customWidth="1"/>
    <col min="12548" max="12548" width="14.140625" style="403" bestFit="1" customWidth="1"/>
    <col min="12549" max="12549" width="14.42578125" style="403" customWidth="1"/>
    <col min="12550" max="12551" width="16" style="403" customWidth="1"/>
    <col min="12552" max="12801" width="9.140625" style="403"/>
    <col min="12802" max="12802" width="20.85546875" style="403" bestFit="1" customWidth="1"/>
    <col min="12803" max="12803" width="14.7109375" style="403" bestFit="1" customWidth="1"/>
    <col min="12804" max="12804" width="14.140625" style="403" bestFit="1" customWidth="1"/>
    <col min="12805" max="12805" width="14.42578125" style="403" customWidth="1"/>
    <col min="12806" max="12807" width="16" style="403" customWidth="1"/>
    <col min="12808" max="13057" width="9.140625" style="403"/>
    <col min="13058" max="13058" width="20.85546875" style="403" bestFit="1" customWidth="1"/>
    <col min="13059" max="13059" width="14.7109375" style="403" bestFit="1" customWidth="1"/>
    <col min="13060" max="13060" width="14.140625" style="403" bestFit="1" customWidth="1"/>
    <col min="13061" max="13061" width="14.42578125" style="403" customWidth="1"/>
    <col min="13062" max="13063" width="16" style="403" customWidth="1"/>
    <col min="13064" max="13313" width="9.140625" style="403"/>
    <col min="13314" max="13314" width="20.85546875" style="403" bestFit="1" customWidth="1"/>
    <col min="13315" max="13315" width="14.7109375" style="403" bestFit="1" customWidth="1"/>
    <col min="13316" max="13316" width="14.140625" style="403" bestFit="1" customWidth="1"/>
    <col min="13317" max="13317" width="14.42578125" style="403" customWidth="1"/>
    <col min="13318" max="13319" width="16" style="403" customWidth="1"/>
    <col min="13320" max="13569" width="9.140625" style="403"/>
    <col min="13570" max="13570" width="20.85546875" style="403" bestFit="1" customWidth="1"/>
    <col min="13571" max="13571" width="14.7109375" style="403" bestFit="1" customWidth="1"/>
    <col min="13572" max="13572" width="14.140625" style="403" bestFit="1" customWidth="1"/>
    <col min="13573" max="13573" width="14.42578125" style="403" customWidth="1"/>
    <col min="13574" max="13575" width="16" style="403" customWidth="1"/>
    <col min="13576" max="13825" width="9.140625" style="403"/>
    <col min="13826" max="13826" width="20.85546875" style="403" bestFit="1" customWidth="1"/>
    <col min="13827" max="13827" width="14.7109375" style="403" bestFit="1" customWidth="1"/>
    <col min="13828" max="13828" width="14.140625" style="403" bestFit="1" customWidth="1"/>
    <col min="13829" max="13829" width="14.42578125" style="403" customWidth="1"/>
    <col min="13830" max="13831" width="16" style="403" customWidth="1"/>
    <col min="13832" max="14081" width="9.140625" style="403"/>
    <col min="14082" max="14082" width="20.85546875" style="403" bestFit="1" customWidth="1"/>
    <col min="14083" max="14083" width="14.7109375" style="403" bestFit="1" customWidth="1"/>
    <col min="14084" max="14084" width="14.140625" style="403" bestFit="1" customWidth="1"/>
    <col min="14085" max="14085" width="14.42578125" style="403" customWidth="1"/>
    <col min="14086" max="14087" width="16" style="403" customWidth="1"/>
    <col min="14088" max="14337" width="9.140625" style="403"/>
    <col min="14338" max="14338" width="20.85546875" style="403" bestFit="1" customWidth="1"/>
    <col min="14339" max="14339" width="14.7109375" style="403" bestFit="1" customWidth="1"/>
    <col min="14340" max="14340" width="14.140625" style="403" bestFit="1" customWidth="1"/>
    <col min="14341" max="14341" width="14.42578125" style="403" customWidth="1"/>
    <col min="14342" max="14343" width="16" style="403" customWidth="1"/>
    <col min="14344" max="14593" width="9.140625" style="403"/>
    <col min="14594" max="14594" width="20.85546875" style="403" bestFit="1" customWidth="1"/>
    <col min="14595" max="14595" width="14.7109375" style="403" bestFit="1" customWidth="1"/>
    <col min="14596" max="14596" width="14.140625" style="403" bestFit="1" customWidth="1"/>
    <col min="14597" max="14597" width="14.42578125" style="403" customWidth="1"/>
    <col min="14598" max="14599" width="16" style="403" customWidth="1"/>
    <col min="14600" max="14849" width="9.140625" style="403"/>
    <col min="14850" max="14850" width="20.85546875" style="403" bestFit="1" customWidth="1"/>
    <col min="14851" max="14851" width="14.7109375" style="403" bestFit="1" customWidth="1"/>
    <col min="14852" max="14852" width="14.140625" style="403" bestFit="1" customWidth="1"/>
    <col min="14853" max="14853" width="14.42578125" style="403" customWidth="1"/>
    <col min="14854" max="14855" width="16" style="403" customWidth="1"/>
    <col min="14856" max="15105" width="9.140625" style="403"/>
    <col min="15106" max="15106" width="20.85546875" style="403" bestFit="1" customWidth="1"/>
    <col min="15107" max="15107" width="14.7109375" style="403" bestFit="1" customWidth="1"/>
    <col min="15108" max="15108" width="14.140625" style="403" bestFit="1" customWidth="1"/>
    <col min="15109" max="15109" width="14.42578125" style="403" customWidth="1"/>
    <col min="15110" max="15111" width="16" style="403" customWidth="1"/>
    <col min="15112" max="15361" width="9.140625" style="403"/>
    <col min="15362" max="15362" width="20.85546875" style="403" bestFit="1" customWidth="1"/>
    <col min="15363" max="15363" width="14.7109375" style="403" bestFit="1" customWidth="1"/>
    <col min="15364" max="15364" width="14.140625" style="403" bestFit="1" customWidth="1"/>
    <col min="15365" max="15365" width="14.42578125" style="403" customWidth="1"/>
    <col min="15366" max="15367" width="16" style="403" customWidth="1"/>
    <col min="15368" max="15617" width="9.140625" style="403"/>
    <col min="15618" max="15618" width="20.85546875" style="403" bestFit="1" customWidth="1"/>
    <col min="15619" max="15619" width="14.7109375" style="403" bestFit="1" customWidth="1"/>
    <col min="15620" max="15620" width="14.140625" style="403" bestFit="1" customWidth="1"/>
    <col min="15621" max="15621" width="14.42578125" style="403" customWidth="1"/>
    <col min="15622" max="15623" width="16" style="403" customWidth="1"/>
    <col min="15624" max="15873" width="9.140625" style="403"/>
    <col min="15874" max="15874" width="20.85546875" style="403" bestFit="1" customWidth="1"/>
    <col min="15875" max="15875" width="14.7109375" style="403" bestFit="1" customWidth="1"/>
    <col min="15876" max="15876" width="14.140625" style="403" bestFit="1" customWidth="1"/>
    <col min="15877" max="15877" width="14.42578125" style="403" customWidth="1"/>
    <col min="15878" max="15879" width="16" style="403" customWidth="1"/>
    <col min="15880" max="16129" width="9.140625" style="403"/>
    <col min="16130" max="16130" width="20.85546875" style="403" bestFit="1" customWidth="1"/>
    <col min="16131" max="16131" width="14.7109375" style="403" bestFit="1" customWidth="1"/>
    <col min="16132" max="16132" width="14.140625" style="403" bestFit="1" customWidth="1"/>
    <col min="16133" max="16133" width="14.42578125" style="403" customWidth="1"/>
    <col min="16134" max="16135" width="16" style="403" customWidth="1"/>
    <col min="16136" max="16384" width="9.140625" style="403"/>
  </cols>
  <sheetData>
    <row r="1" spans="1:7" x14ac:dyDescent="0.25">
      <c r="A1" s="427"/>
      <c r="B1" s="427" t="s">
        <v>3957</v>
      </c>
      <c r="C1" s="427"/>
      <c r="D1" s="403" t="s">
        <v>4200</v>
      </c>
      <c r="F1" s="431">
        <v>0.31064799999999998</v>
      </c>
    </row>
    <row r="3" spans="1:7" ht="26.25" x14ac:dyDescent="0.25">
      <c r="A3" s="430" t="s">
        <v>3573</v>
      </c>
      <c r="B3" s="430" t="s">
        <v>2757</v>
      </c>
      <c r="C3" s="430" t="s">
        <v>2756</v>
      </c>
      <c r="D3" s="430" t="s">
        <v>3945</v>
      </c>
      <c r="E3" s="430" t="s">
        <v>2762</v>
      </c>
      <c r="F3" s="430" t="s">
        <v>2766</v>
      </c>
      <c r="G3" s="430" t="s">
        <v>2767</v>
      </c>
    </row>
    <row r="4" spans="1:7" x14ac:dyDescent="0.25">
      <c r="A4" s="400" t="s">
        <v>552</v>
      </c>
      <c r="B4" s="400" t="s">
        <v>1933</v>
      </c>
      <c r="C4" s="400" t="s">
        <v>1932</v>
      </c>
      <c r="D4" s="405">
        <f>SUMIFS('Buildings data'!$I:$I,'Buildings data'!$B:$B,$A4,'Buildings data'!$D:$D,$C4)</f>
        <v>458</v>
      </c>
      <c r="E4" s="413">
        <f>D4/$D$7</f>
        <v>0.29652099811505878</v>
      </c>
      <c r="F4" s="424">
        <f>SUMIFS('Staff data'!$N:$N,'Staff data'!$B:$B,$A4,'Staff data'!$D:$D,$C4)</f>
        <v>1.1560754051518425</v>
      </c>
      <c r="G4" s="424">
        <f>F4*E4</f>
        <v>0.34280063303189529</v>
      </c>
    </row>
    <row r="5" spans="1:7" x14ac:dyDescent="0.25">
      <c r="A5" s="400" t="s">
        <v>552</v>
      </c>
      <c r="B5" s="405" t="s">
        <v>834</v>
      </c>
      <c r="C5" s="405" t="s">
        <v>833</v>
      </c>
      <c r="D5" s="405">
        <f>SUMIFS('Buildings data'!$I:$I,'Buildings data'!$B:$B,$A5,'Buildings data'!$D:$D,$C5)*$F$1</f>
        <v>133.57863999999998</v>
      </c>
      <c r="E5" s="413">
        <f>D5/$D$7</f>
        <v>8.6482252531991502E-2</v>
      </c>
      <c r="F5" s="424">
        <f>SUMIFS('Staff data'!$N:$N,'Staff data'!$B:$B,$A5,'Staff data'!$D:$D,$C5)</f>
        <v>1.1584791691158631</v>
      </c>
      <c r="G5" s="424">
        <f t="shared" ref="G5:G6" si="0">F5*E5</f>
        <v>0.10018788805652977</v>
      </c>
    </row>
    <row r="6" spans="1:7" x14ac:dyDescent="0.25">
      <c r="A6" s="405" t="s">
        <v>353</v>
      </c>
      <c r="B6" s="405" t="s">
        <v>761</v>
      </c>
      <c r="C6" s="405" t="s">
        <v>760</v>
      </c>
      <c r="D6" s="405">
        <f>SUMIFS('Buildings data'!$I:$I,'Buildings data'!$B:$B,$A6,'Buildings data'!$D:$D,$C6)</f>
        <v>953</v>
      </c>
      <c r="E6" s="413">
        <f>D6/$D$7</f>
        <v>0.61699674935294979</v>
      </c>
      <c r="F6" s="424">
        <f>SUMIFS('Staff data'!$N:$N,'Staff data'!$B:$B,$A6,'Staff data'!$D:$D,$C6)</f>
        <v>1.1933264385606563</v>
      </c>
      <c r="G6" s="424">
        <f t="shared" si="0"/>
        <v>0.73627853350885752</v>
      </c>
    </row>
    <row r="7" spans="1:7" x14ac:dyDescent="0.25">
      <c r="A7" s="405"/>
      <c r="B7" s="405" t="s">
        <v>2749</v>
      </c>
      <c r="C7" s="405"/>
      <c r="D7" s="405">
        <f>SUM(D4:D6)</f>
        <v>1544.57864</v>
      </c>
      <c r="E7" s="405"/>
      <c r="F7" s="405"/>
      <c r="G7" s="428">
        <f>SUM(G4:G6)</f>
        <v>1.1792670545972825</v>
      </c>
    </row>
    <row r="9" spans="1:7" x14ac:dyDescent="0.25">
      <c r="A9" s="427"/>
      <c r="B9" s="427" t="s">
        <v>3954</v>
      </c>
      <c r="C9" s="427"/>
    </row>
    <row r="11" spans="1:7" ht="26.25" x14ac:dyDescent="0.25">
      <c r="A11" s="430" t="s">
        <v>3573</v>
      </c>
      <c r="B11" s="430" t="s">
        <v>2757</v>
      </c>
      <c r="C11" s="430" t="s">
        <v>2756</v>
      </c>
      <c r="D11" s="430" t="s">
        <v>3945</v>
      </c>
      <c r="E11" s="430" t="s">
        <v>2762</v>
      </c>
      <c r="F11" s="430" t="s">
        <v>527</v>
      </c>
      <c r="G11" s="430" t="s">
        <v>2768</v>
      </c>
    </row>
    <row r="12" spans="1:7" x14ac:dyDescent="0.25">
      <c r="A12" s="400" t="s">
        <v>552</v>
      </c>
      <c r="B12" s="400" t="s">
        <v>1933</v>
      </c>
      <c r="C12" s="400" t="s">
        <v>1932</v>
      </c>
      <c r="D12" s="405">
        <f>D4</f>
        <v>458</v>
      </c>
      <c r="E12" s="413">
        <f>D12/$D$15</f>
        <v>0.29652099811505878</v>
      </c>
      <c r="F12" s="429">
        <f>SUMIFS('Buildings data'!$K:$K,'Buildings data'!$B:$B,$A12,'Buildings data'!$D:$D,$C12)</f>
        <v>1.1145223468984178</v>
      </c>
      <c r="G12" s="429">
        <f>E12*F12</f>
        <v>0.33047927872385663</v>
      </c>
    </row>
    <row r="13" spans="1:7" x14ac:dyDescent="0.25">
      <c r="A13" s="400" t="s">
        <v>552</v>
      </c>
      <c r="B13" s="405" t="s">
        <v>834</v>
      </c>
      <c r="C13" s="405" t="s">
        <v>833</v>
      </c>
      <c r="D13" s="405">
        <f t="shared" ref="D13:D14" si="1">D5</f>
        <v>133.57863999999998</v>
      </c>
      <c r="E13" s="413">
        <f>D13/$D$15</f>
        <v>8.6482252531991502E-2</v>
      </c>
      <c r="F13" s="429">
        <f>SUMIFS('Buildings data'!$K:$K,'Buildings data'!$B:$B,$A13,'Buildings data'!$D:$D,$C13)</f>
        <v>1.1443756240474725</v>
      </c>
      <c r="G13" s="429">
        <f t="shared" ref="G13:G14" si="2">E13*F13</f>
        <v>9.8968181710328881E-2</v>
      </c>
    </row>
    <row r="14" spans="1:7" x14ac:dyDescent="0.25">
      <c r="A14" s="405" t="s">
        <v>353</v>
      </c>
      <c r="B14" s="405" t="s">
        <v>761</v>
      </c>
      <c r="C14" s="405" t="s">
        <v>760</v>
      </c>
      <c r="D14" s="405">
        <f t="shared" si="1"/>
        <v>953</v>
      </c>
      <c r="E14" s="413">
        <f>D14/$D$15</f>
        <v>0.61699674935294979</v>
      </c>
      <c r="F14" s="429">
        <f>SUMIFS('Buildings data'!$K:$K,'Buildings data'!$B:$B,$A14,'Buildings data'!$D:$D,$C14)</f>
        <v>1.2140332707286337</v>
      </c>
      <c r="G14" s="429">
        <f t="shared" si="2"/>
        <v>0.74905458164589667</v>
      </c>
    </row>
    <row r="15" spans="1:7" x14ac:dyDescent="0.25">
      <c r="A15" s="405"/>
      <c r="B15" s="405" t="s">
        <v>2749</v>
      </c>
      <c r="C15" s="405"/>
      <c r="D15" s="405">
        <f>SUM(D12:D14)</f>
        <v>1544.57864</v>
      </c>
      <c r="E15" s="405"/>
      <c r="F15" s="405"/>
      <c r="G15" s="428">
        <f>SUM(G12:G14)</f>
        <v>1.1785020420800822</v>
      </c>
    </row>
    <row r="17" spans="1:7" x14ac:dyDescent="0.25">
      <c r="A17" s="427"/>
      <c r="B17" s="427" t="s">
        <v>525</v>
      </c>
      <c r="C17" s="427"/>
    </row>
    <row r="19" spans="1:7" ht="26.25" x14ac:dyDescent="0.25">
      <c r="A19" s="430" t="s">
        <v>3573</v>
      </c>
      <c r="B19" s="420" t="s">
        <v>2755</v>
      </c>
      <c r="C19" s="420"/>
      <c r="D19" s="420" t="s">
        <v>2726</v>
      </c>
      <c r="E19" s="420" t="s">
        <v>523</v>
      </c>
      <c r="F19" s="420" t="s">
        <v>524</v>
      </c>
      <c r="G19" s="420" t="s">
        <v>3812</v>
      </c>
    </row>
    <row r="20" spans="1:7" x14ac:dyDescent="0.25">
      <c r="A20" s="400" t="s">
        <v>552</v>
      </c>
      <c r="B20" s="400" t="s">
        <v>4194</v>
      </c>
      <c r="C20" s="400"/>
      <c r="D20" s="455">
        <f>'Index values'!D57</f>
        <v>8.9499999999999993</v>
      </c>
      <c r="E20" s="455">
        <f>'Index values'!E57</f>
        <v>41051</v>
      </c>
      <c r="F20" s="455">
        <f>E20/D20</f>
        <v>4586.7039106145257</v>
      </c>
      <c r="G20" s="424">
        <f>F20/F$24</f>
        <v>4.0434947172108719</v>
      </c>
    </row>
    <row r="21" spans="1:7" x14ac:dyDescent="0.25">
      <c r="A21" s="400" t="s">
        <v>552</v>
      </c>
      <c r="B21" s="405" t="s">
        <v>4185</v>
      </c>
      <c r="C21" s="405"/>
      <c r="D21" s="455">
        <f>'Index values'!D55</f>
        <v>38</v>
      </c>
      <c r="E21" s="455">
        <f>'Index values'!E55</f>
        <v>17264</v>
      </c>
      <c r="F21" s="455">
        <f>E21/D21</f>
        <v>454.31578947368422</v>
      </c>
      <c r="G21" s="424">
        <f>F21/F$24</f>
        <v>0.40051059115263554</v>
      </c>
    </row>
    <row r="22" spans="1:7" x14ac:dyDescent="0.25">
      <c r="A22" s="405" t="s">
        <v>353</v>
      </c>
      <c r="B22" s="405" t="s">
        <v>761</v>
      </c>
      <c r="C22" s="405"/>
      <c r="D22" s="455">
        <f>INDEX('Land data'!$D:$D,MATCH($A22,'Land data'!$B:$B,0),1)</f>
        <v>6.93</v>
      </c>
      <c r="E22" s="455">
        <f>INDEX('Land data'!$E:$E,MATCH($A22,'Land data'!$B:$B,0),1)</f>
        <v>48390</v>
      </c>
      <c r="F22" s="455">
        <f>E22/D22</f>
        <v>6982.6839826839832</v>
      </c>
      <c r="G22" s="424">
        <f>F22/F$24</f>
        <v>6.1557158138321633</v>
      </c>
    </row>
    <row r="23" spans="1:7" x14ac:dyDescent="0.25">
      <c r="A23" s="405"/>
      <c r="B23" s="405" t="s">
        <v>2749</v>
      </c>
      <c r="C23" s="405"/>
      <c r="D23" s="456">
        <f>SUM(D20:D22)</f>
        <v>53.88</v>
      </c>
      <c r="E23" s="456">
        <f>SUM(E20:E22)</f>
        <v>106705</v>
      </c>
      <c r="F23" s="455">
        <f>E23/D23</f>
        <v>1980.4194506310319</v>
      </c>
      <c r="G23" s="426">
        <f>G20*E12+G21*E13+G22*E14</f>
        <v>5.0316747945811269</v>
      </c>
    </row>
    <row r="24" spans="1:7" x14ac:dyDescent="0.25">
      <c r="A24" s="405"/>
      <c r="B24" s="405" t="s">
        <v>3942</v>
      </c>
      <c r="C24" s="405"/>
      <c r="D24" s="456">
        <f>SUM('PCT data'!$M$3:$M$154)+SUM('Land data'!$D$2:$D$234)</f>
        <v>7611.3175000000019</v>
      </c>
      <c r="E24" s="456">
        <f>SUM('PCT data'!$N$3:$N$154)+SUM('Land data'!$E$2:$E$234)</f>
        <v>8633833.4000000004</v>
      </c>
      <c r="F24" s="455">
        <f>E24/D24</f>
        <v>1134.3415118341861</v>
      </c>
      <c r="G24" s="424"/>
    </row>
    <row r="25" spans="1:7" x14ac:dyDescent="0.25">
      <c r="B25" s="433" t="s">
        <v>4193</v>
      </c>
      <c r="C25" s="433"/>
      <c r="D25" s="448"/>
      <c r="E25" s="447"/>
      <c r="F25" s="446"/>
    </row>
    <row r="27" spans="1:7" x14ac:dyDescent="0.25">
      <c r="B27" s="423" t="s">
        <v>3933</v>
      </c>
    </row>
    <row r="28" spans="1:7" x14ac:dyDescent="0.25">
      <c r="B28" s="423"/>
    </row>
    <row r="29" spans="1:7" ht="39" x14ac:dyDescent="0.25">
      <c r="B29" s="422" t="s">
        <v>3939</v>
      </c>
      <c r="C29" s="421" t="s">
        <v>4184</v>
      </c>
      <c r="D29" s="421" t="s">
        <v>3937</v>
      </c>
      <c r="E29" s="420" t="s">
        <v>4183</v>
      </c>
      <c r="F29" s="421" t="s">
        <v>4188</v>
      </c>
    </row>
    <row r="30" spans="1:7" x14ac:dyDescent="0.25">
      <c r="B30" s="419" t="s">
        <v>2734</v>
      </c>
      <c r="C30" s="418">
        <f>G7</f>
        <v>1.1792670545972825</v>
      </c>
      <c r="D30" s="415">
        <f>Staff_Weight</f>
        <v>0.54914759484508857</v>
      </c>
      <c r="E30" s="406">
        <f>C30*D30</f>
        <v>0.64759166671214941</v>
      </c>
      <c r="F30" s="405"/>
    </row>
    <row r="31" spans="1:7" x14ac:dyDescent="0.25">
      <c r="B31" s="417" t="s">
        <v>3935</v>
      </c>
      <c r="C31" s="416">
        <f>G15</f>
        <v>1.1785020420800822</v>
      </c>
      <c r="D31" s="415">
        <f>Building_Weight</f>
        <v>2.6635675286214532E-2</v>
      </c>
      <c r="E31" s="406">
        <f>C31*D31</f>
        <v>3.1390197716985806E-2</v>
      </c>
      <c r="F31" s="405"/>
    </row>
    <row r="32" spans="1:7" x14ac:dyDescent="0.25">
      <c r="B32" s="417" t="s">
        <v>2735</v>
      </c>
      <c r="C32" s="406">
        <f>'Index values'!F41</f>
        <v>1.0185025427599708</v>
      </c>
      <c r="D32" s="415">
        <f>MnD_Weight</f>
        <v>0.13904710383678176</v>
      </c>
      <c r="E32" s="406">
        <f>C32*D32</f>
        <v>0.14161982882117191</v>
      </c>
      <c r="F32" s="405"/>
    </row>
    <row r="33" spans="1:8" x14ac:dyDescent="0.25">
      <c r="B33" s="405" t="s">
        <v>4187</v>
      </c>
      <c r="C33" s="416">
        <f>G23</f>
        <v>5.0316747945811269</v>
      </c>
      <c r="D33" s="415">
        <f>Land_Weight</f>
        <v>4.4820020140147153E-3</v>
      </c>
      <c r="E33" s="406">
        <f>C33*D33</f>
        <v>2.2551976563179688E-2</v>
      </c>
      <c r="F33" s="405"/>
    </row>
    <row r="34" spans="1:8" x14ac:dyDescent="0.25">
      <c r="B34" s="405" t="s">
        <v>632</v>
      </c>
      <c r="C34" s="406">
        <v>1</v>
      </c>
      <c r="D34" s="413">
        <f>Other_Weight</f>
        <v>0.28068762401790043</v>
      </c>
      <c r="E34" s="406">
        <f>C34*D34</f>
        <v>0.28068762401790043</v>
      </c>
      <c r="F34" s="405"/>
    </row>
    <row r="35" spans="1:8" x14ac:dyDescent="0.25">
      <c r="B35" s="411" t="s">
        <v>3933</v>
      </c>
      <c r="C35" s="406"/>
      <c r="D35" s="405"/>
      <c r="E35" s="410">
        <f>SUM(E30:E34)</f>
        <v>1.1238412938313871</v>
      </c>
      <c r="F35" s="445">
        <f ca="1">E35/C37</f>
        <v>1.2132263403656423</v>
      </c>
    </row>
    <row r="37" spans="1:8" ht="30" x14ac:dyDescent="0.25">
      <c r="B37" s="408" t="s">
        <v>3932</v>
      </c>
      <c r="C37" s="403">
        <f ca="1">Lowest_Underlying_MFF</f>
        <v>0.92632450882387185</v>
      </c>
      <c r="F37" s="430" t="s">
        <v>3573</v>
      </c>
      <c r="G37" s="420" t="s">
        <v>2755</v>
      </c>
      <c r="H37" s="407" t="s">
        <v>4202</v>
      </c>
    </row>
    <row r="38" spans="1:8" x14ac:dyDescent="0.25">
      <c r="F38" s="405" t="s">
        <v>353</v>
      </c>
      <c r="G38" s="405" t="s">
        <v>4192</v>
      </c>
      <c r="H38" s="406">
        <f ca="1">INDEX('All Trusts'!$N$6:$N$261,MATCH($F38,'All Trusts'!$B$6:$B$261,0),1)</f>
        <v>1.228021403152886</v>
      </c>
    </row>
    <row r="39" spans="1:8" x14ac:dyDescent="0.25">
      <c r="F39" s="400" t="s">
        <v>552</v>
      </c>
      <c r="G39" s="405" t="s">
        <v>4180</v>
      </c>
      <c r="H39" s="406">
        <f ca="1">INDEX('All Trusts'!$N$6:$N$261,MATCH($F39,'All Trusts'!$B$6:$B$261,0),1)</f>
        <v>1.184976805812578</v>
      </c>
    </row>
    <row r="40" spans="1:8" x14ac:dyDescent="0.25">
      <c r="A40" s="229" t="s">
        <v>3925</v>
      </c>
      <c r="G40" s="405" t="s">
        <v>4179</v>
      </c>
      <c r="H40" s="404">
        <f ca="1">F35</f>
        <v>1.2132263403656423</v>
      </c>
    </row>
    <row r="41" spans="1:8" x14ac:dyDescent="0.25">
      <c r="A41" s="228" t="s">
        <v>3920</v>
      </c>
    </row>
    <row r="42" spans="1:8" x14ac:dyDescent="0.25">
      <c r="A42" s="457" t="s">
        <v>4203</v>
      </c>
    </row>
    <row r="43" spans="1:8" x14ac:dyDescent="0.25">
      <c r="A43" s="457" t="s">
        <v>4201</v>
      </c>
    </row>
  </sheetData>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rgb="FF92D050"/>
    <pageSetUpPr fitToPage="1"/>
  </sheetPr>
  <dimension ref="A1:O64"/>
  <sheetViews>
    <sheetView zoomScaleNormal="100" workbookViewId="0"/>
  </sheetViews>
  <sheetFormatPr defaultRowHeight="15" x14ac:dyDescent="0.25"/>
  <cols>
    <col min="1" max="1" width="9.28515625" style="603" bestFit="1" customWidth="1"/>
    <col min="2" max="2" width="13.7109375" style="603" bestFit="1" customWidth="1"/>
    <col min="3" max="3" width="47.7109375" style="603" bestFit="1" customWidth="1"/>
    <col min="4" max="4" width="15.7109375" style="603" bestFit="1" customWidth="1"/>
    <col min="5" max="5" width="31" style="603" bestFit="1" customWidth="1"/>
    <col min="6" max="6" width="15.28515625" style="603" bestFit="1" customWidth="1"/>
    <col min="7" max="7" width="15.140625" style="603" bestFit="1" customWidth="1"/>
    <col min="8" max="8" width="19.42578125" style="603" bestFit="1" customWidth="1"/>
    <col min="9" max="9" width="21.7109375" style="603" bestFit="1" customWidth="1"/>
    <col min="10" max="10" width="23.42578125" style="603" bestFit="1" customWidth="1"/>
    <col min="11" max="11" width="36.5703125" style="603" bestFit="1" customWidth="1"/>
    <col min="12" max="12" width="38.85546875" style="603" bestFit="1" customWidth="1"/>
    <col min="13" max="13" width="26.42578125" style="603" bestFit="1" customWidth="1"/>
    <col min="14" max="14" width="24.5703125" style="603" bestFit="1" customWidth="1"/>
    <col min="15" max="15" width="21.5703125" style="603" bestFit="1" customWidth="1"/>
    <col min="16" max="16384" width="9.140625" style="603"/>
  </cols>
  <sheetData>
    <row r="1" spans="1:15" x14ac:dyDescent="0.25">
      <c r="A1" s="602" t="s">
        <v>2734</v>
      </c>
    </row>
    <row r="2" spans="1:15" x14ac:dyDescent="0.25">
      <c r="A2" s="604" t="s">
        <v>2754</v>
      </c>
      <c r="B2" s="604" t="s">
        <v>3573</v>
      </c>
      <c r="C2" s="604" t="s">
        <v>2755</v>
      </c>
      <c r="D2" s="604" t="s">
        <v>2756</v>
      </c>
      <c r="E2" s="604" t="s">
        <v>2757</v>
      </c>
      <c r="F2" s="604" t="s">
        <v>2758</v>
      </c>
      <c r="G2" s="604" t="s">
        <v>2759</v>
      </c>
      <c r="H2" s="604" t="s">
        <v>2760</v>
      </c>
      <c r="I2" s="604" t="s">
        <v>2761</v>
      </c>
      <c r="J2" s="604" t="s">
        <v>2762</v>
      </c>
      <c r="K2" s="604" t="s">
        <v>2763</v>
      </c>
      <c r="L2" s="604" t="s">
        <v>2764</v>
      </c>
      <c r="M2" s="604" t="s">
        <v>2765</v>
      </c>
      <c r="N2" s="604" t="s">
        <v>2766</v>
      </c>
      <c r="O2" s="604" t="s">
        <v>2767</v>
      </c>
    </row>
    <row r="3" spans="1:15" x14ac:dyDescent="0.25">
      <c r="A3" s="604" t="s">
        <v>1167</v>
      </c>
      <c r="B3" s="604" t="s">
        <v>552</v>
      </c>
      <c r="C3" s="604" t="s">
        <v>1926</v>
      </c>
      <c r="D3" s="604" t="s">
        <v>1927</v>
      </c>
      <c r="E3" s="604" t="s">
        <v>1928</v>
      </c>
      <c r="F3" s="604" t="s">
        <v>936</v>
      </c>
      <c r="G3" s="604" t="s">
        <v>937</v>
      </c>
      <c r="H3" s="604" t="s">
        <v>465</v>
      </c>
      <c r="I3" s="604">
        <v>485</v>
      </c>
      <c r="J3" s="605">
        <v>0.33356258596973865</v>
      </c>
      <c r="K3" s="604" t="e">
        <v>#N/A</v>
      </c>
      <c r="L3" s="604">
        <v>1.21693369313512</v>
      </c>
      <c r="M3" s="604">
        <v>1.21693369313512</v>
      </c>
      <c r="N3" s="604">
        <v>1.1731378572591147</v>
      </c>
      <c r="O3" s="604">
        <v>0.39131489736634845</v>
      </c>
    </row>
    <row r="4" spans="1:15" x14ac:dyDescent="0.25">
      <c r="A4" s="604" t="s">
        <v>1167</v>
      </c>
      <c r="B4" s="604" t="s">
        <v>552</v>
      </c>
      <c r="C4" s="604" t="s">
        <v>1929</v>
      </c>
      <c r="D4" s="604" t="s">
        <v>1930</v>
      </c>
      <c r="E4" s="604" t="s">
        <v>1931</v>
      </c>
      <c r="F4" s="604" t="s">
        <v>938</v>
      </c>
      <c r="G4" s="604" t="s">
        <v>939</v>
      </c>
      <c r="H4" s="604" t="s">
        <v>458</v>
      </c>
      <c r="I4" s="604">
        <v>81</v>
      </c>
      <c r="J4" s="605">
        <v>5.5708390646492432E-2</v>
      </c>
      <c r="K4" s="604" t="e">
        <v>#N/A</v>
      </c>
      <c r="L4" s="604">
        <v>1.19295740541013</v>
      </c>
      <c r="M4" s="604">
        <v>1.19295740541013</v>
      </c>
      <c r="N4" s="604">
        <v>1.1500244444533114</v>
      </c>
      <c r="O4" s="604">
        <v>6.4066011004620504E-2</v>
      </c>
    </row>
    <row r="5" spans="1:15" x14ac:dyDescent="0.25">
      <c r="A5" s="604" t="s">
        <v>1167</v>
      </c>
      <c r="B5" s="604" t="s">
        <v>552</v>
      </c>
      <c r="C5" s="604" t="s">
        <v>1929</v>
      </c>
      <c r="D5" s="604" t="s">
        <v>1932</v>
      </c>
      <c r="E5" s="604" t="s">
        <v>1933</v>
      </c>
      <c r="F5" s="604" t="s">
        <v>940</v>
      </c>
      <c r="G5" s="604" t="s">
        <v>941</v>
      </c>
      <c r="H5" s="604" t="s">
        <v>458</v>
      </c>
      <c r="I5" s="604">
        <v>458</v>
      </c>
      <c r="J5" s="605">
        <v>0.31499312242090782</v>
      </c>
      <c r="K5" s="604" t="e">
        <v>#N/A</v>
      </c>
      <c r="L5" s="604">
        <v>1.1992342618804199</v>
      </c>
      <c r="M5" s="604">
        <v>1.1992342618804199</v>
      </c>
      <c r="N5" s="604">
        <v>1.1560754051518425</v>
      </c>
      <c r="O5" s="604">
        <v>0.36415580162279493</v>
      </c>
    </row>
    <row r="6" spans="1:15" x14ac:dyDescent="0.25">
      <c r="A6" s="604" t="s">
        <v>1167</v>
      </c>
      <c r="B6" s="604" t="s">
        <v>552</v>
      </c>
      <c r="C6" s="604" t="s">
        <v>832</v>
      </c>
      <c r="D6" s="604" t="s">
        <v>833</v>
      </c>
      <c r="E6" s="604" t="s">
        <v>834</v>
      </c>
      <c r="F6" s="604" t="s">
        <v>963</v>
      </c>
      <c r="G6" s="604" t="s">
        <v>964</v>
      </c>
      <c r="H6" s="604" t="s">
        <v>3474</v>
      </c>
      <c r="I6" s="604">
        <v>430</v>
      </c>
      <c r="J6" s="605">
        <v>0.29573590096286106</v>
      </c>
      <c r="K6" s="604" t="e">
        <v>#N/A</v>
      </c>
      <c r="L6" s="604">
        <v>1.2017277636799399</v>
      </c>
      <c r="M6" s="604">
        <v>1.2017277636799399</v>
      </c>
      <c r="N6" s="604">
        <v>1.1584791691158631</v>
      </c>
      <c r="O6" s="604">
        <v>0.34260388082518645</v>
      </c>
    </row>
    <row r="7" spans="1:15" x14ac:dyDescent="0.25">
      <c r="A7" s="604" t="s">
        <v>1167</v>
      </c>
      <c r="B7" s="604" t="s">
        <v>3688</v>
      </c>
      <c r="C7" s="604" t="s">
        <v>3689</v>
      </c>
      <c r="D7" s="604" t="s">
        <v>3133</v>
      </c>
      <c r="E7" s="604" t="s">
        <v>3134</v>
      </c>
      <c r="F7" s="604" t="s">
        <v>3289</v>
      </c>
      <c r="G7" s="604" t="s">
        <v>3290</v>
      </c>
      <c r="H7" s="604" t="s">
        <v>465</v>
      </c>
      <c r="I7" s="604">
        <v>40</v>
      </c>
      <c r="J7" s="605">
        <v>8.0645161290322578E-2</v>
      </c>
      <c r="K7" s="606">
        <v>1.2029408267987201</v>
      </c>
      <c r="L7" s="606">
        <v>1.20342817213719</v>
      </c>
      <c r="M7" s="607">
        <v>1.2029408267987201</v>
      </c>
      <c r="N7" s="607">
        <v>1.1596485756956247</v>
      </c>
      <c r="O7" s="607">
        <v>9.3520046427066503E-2</v>
      </c>
    </row>
    <row r="8" spans="1:15" x14ac:dyDescent="0.25">
      <c r="A8" s="604" t="s">
        <v>1167</v>
      </c>
      <c r="B8" s="604" t="s">
        <v>3688</v>
      </c>
      <c r="C8" s="604" t="s">
        <v>3689</v>
      </c>
      <c r="D8" s="604" t="s">
        <v>3135</v>
      </c>
      <c r="E8" s="604" t="s">
        <v>3136</v>
      </c>
      <c r="F8" s="604" t="s">
        <v>3291</v>
      </c>
      <c r="G8" s="604" t="s">
        <v>3292</v>
      </c>
      <c r="H8" s="604" t="s">
        <v>465</v>
      </c>
      <c r="I8" s="604">
        <v>45</v>
      </c>
      <c r="J8" s="605">
        <v>9.0725806451612906E-2</v>
      </c>
      <c r="K8" s="606">
        <v>1.2141755562885399</v>
      </c>
      <c r="L8" s="606">
        <v>1.21399112039535</v>
      </c>
      <c r="M8" s="607">
        <v>1.2141755562885399</v>
      </c>
      <c r="N8" s="607">
        <v>1.1704789821137578</v>
      </c>
      <c r="O8" s="607">
        <v>0.10619264958693367</v>
      </c>
    </row>
    <row r="9" spans="1:15" x14ac:dyDescent="0.25">
      <c r="A9" s="604" t="s">
        <v>1167</v>
      </c>
      <c r="B9" s="604" t="s">
        <v>3688</v>
      </c>
      <c r="C9" s="604" t="s">
        <v>3689</v>
      </c>
      <c r="D9" s="604" t="s">
        <v>728</v>
      </c>
      <c r="E9" s="604" t="s">
        <v>729</v>
      </c>
      <c r="F9" s="604" t="s">
        <v>3293</v>
      </c>
      <c r="G9" s="604" t="s">
        <v>3294</v>
      </c>
      <c r="H9" s="604" t="s">
        <v>3470</v>
      </c>
      <c r="I9" s="604">
        <v>64</v>
      </c>
      <c r="J9" s="605">
        <v>0.12903225806451613</v>
      </c>
      <c r="K9" s="606" t="e">
        <v>#N/A</v>
      </c>
      <c r="L9" s="606">
        <v>1.1727243971747801</v>
      </c>
      <c r="M9" s="607">
        <v>1.1727243971747801</v>
      </c>
      <c r="N9" s="607">
        <v>1.1305195954537126</v>
      </c>
      <c r="O9" s="607">
        <v>0.14587349618757581</v>
      </c>
    </row>
    <row r="10" spans="1:15" x14ac:dyDescent="0.25">
      <c r="A10" s="604" t="s">
        <v>1167</v>
      </c>
      <c r="B10" s="604" t="s">
        <v>3688</v>
      </c>
      <c r="C10" s="604" t="s">
        <v>3689</v>
      </c>
      <c r="D10" s="604" t="s">
        <v>3137</v>
      </c>
      <c r="E10" s="604" t="s">
        <v>3138</v>
      </c>
      <c r="F10" s="604" t="s">
        <v>963</v>
      </c>
      <c r="G10" s="604" t="s">
        <v>964</v>
      </c>
      <c r="H10" s="604" t="s">
        <v>3474</v>
      </c>
      <c r="I10" s="604">
        <v>71</v>
      </c>
      <c r="J10" s="605">
        <v>0.14314516129032259</v>
      </c>
      <c r="K10" s="606">
        <v>1.2002681632591901</v>
      </c>
      <c r="L10" s="606">
        <v>1.2017277636799399</v>
      </c>
      <c r="M10" s="607">
        <v>1.2002681632591901</v>
      </c>
      <c r="N10" s="607">
        <v>1.1570720977859192</v>
      </c>
      <c r="O10" s="607">
        <v>0.16562927206209732</v>
      </c>
    </row>
    <row r="11" spans="1:15" x14ac:dyDescent="0.25">
      <c r="A11" s="604" t="s">
        <v>1167</v>
      </c>
      <c r="B11" s="604" t="s">
        <v>3688</v>
      </c>
      <c r="C11" s="604" t="s">
        <v>3689</v>
      </c>
      <c r="D11" s="604" t="s">
        <v>3139</v>
      </c>
      <c r="E11" s="604" t="s">
        <v>3140</v>
      </c>
      <c r="F11" s="604" t="s">
        <v>3295</v>
      </c>
      <c r="G11" s="604" t="s">
        <v>3294</v>
      </c>
      <c r="H11" s="604" t="s">
        <v>3470</v>
      </c>
      <c r="I11" s="604">
        <v>84</v>
      </c>
      <c r="J11" s="605">
        <v>0.16935483870967741</v>
      </c>
      <c r="K11" s="606">
        <v>1.1827169596651099</v>
      </c>
      <c r="L11" s="606">
        <v>1.1727243971747801</v>
      </c>
      <c r="M11" s="607">
        <v>1.1827169596651099</v>
      </c>
      <c r="N11" s="607">
        <v>1.1401525388215907</v>
      </c>
      <c r="O11" s="607">
        <v>0.19309034931655972</v>
      </c>
    </row>
    <row r="12" spans="1:15" x14ac:dyDescent="0.25">
      <c r="A12" s="604" t="s">
        <v>1167</v>
      </c>
      <c r="B12" s="604" t="s">
        <v>3688</v>
      </c>
      <c r="C12" s="604" t="s">
        <v>3689</v>
      </c>
      <c r="D12" s="604" t="s">
        <v>3141</v>
      </c>
      <c r="E12" s="604" t="s">
        <v>3142</v>
      </c>
      <c r="F12" s="604" t="s">
        <v>3296</v>
      </c>
      <c r="G12" s="604" t="s">
        <v>941</v>
      </c>
      <c r="H12" s="604" t="s">
        <v>458</v>
      </c>
      <c r="I12" s="604">
        <v>93</v>
      </c>
      <c r="J12" s="605">
        <v>0.1875</v>
      </c>
      <c r="K12" s="606">
        <v>1.20067786734364</v>
      </c>
      <c r="L12" s="606">
        <v>1.1992342618804199</v>
      </c>
      <c r="M12" s="607">
        <v>1.20067786734364</v>
      </c>
      <c r="N12" s="607">
        <v>1.1574670571616463</v>
      </c>
      <c r="O12" s="607">
        <v>0.21702507321780867</v>
      </c>
    </row>
    <row r="13" spans="1:15" x14ac:dyDescent="0.25">
      <c r="A13" s="604" t="s">
        <v>1167</v>
      </c>
      <c r="B13" s="604" t="s">
        <v>3688</v>
      </c>
      <c r="C13" s="604" t="s">
        <v>3689</v>
      </c>
      <c r="D13" s="604" t="s">
        <v>3143</v>
      </c>
      <c r="E13" s="604" t="s">
        <v>3144</v>
      </c>
      <c r="F13" s="604" t="s">
        <v>936</v>
      </c>
      <c r="G13" s="604" t="s">
        <v>937</v>
      </c>
      <c r="H13" s="604" t="s">
        <v>465</v>
      </c>
      <c r="I13" s="604">
        <v>99</v>
      </c>
      <c r="J13" s="605">
        <v>0.19959677419354838</v>
      </c>
      <c r="K13" s="606">
        <v>1.2177940769172</v>
      </c>
      <c r="L13" s="606">
        <v>1.21693369313512</v>
      </c>
      <c r="M13" s="607">
        <v>1.2177940769172</v>
      </c>
      <c r="N13" s="607">
        <v>1.1739672769655651</v>
      </c>
      <c r="O13" s="607">
        <v>0.23432008149111078</v>
      </c>
    </row>
    <row r="14" spans="1:15" x14ac:dyDescent="0.25">
      <c r="A14" s="604" t="s">
        <v>1167</v>
      </c>
      <c r="B14" s="604" t="s">
        <v>600</v>
      </c>
      <c r="C14" s="604" t="s">
        <v>601</v>
      </c>
      <c r="D14" s="604" t="s">
        <v>720</v>
      </c>
      <c r="E14" s="604" t="s">
        <v>721</v>
      </c>
      <c r="F14" s="604" t="s">
        <v>985</v>
      </c>
      <c r="G14" s="604" t="s">
        <v>986</v>
      </c>
      <c r="H14" s="604" t="s">
        <v>3482</v>
      </c>
      <c r="I14" s="604">
        <v>459</v>
      </c>
      <c r="J14" s="605">
        <v>1</v>
      </c>
      <c r="K14" s="606">
        <v>1.2272881784259999</v>
      </c>
      <c r="L14" s="606">
        <v>1.2257871557978901</v>
      </c>
      <c r="M14" s="607">
        <v>1.2272881784259999</v>
      </c>
      <c r="N14" s="607">
        <v>1.1831196983041017</v>
      </c>
      <c r="O14" s="607">
        <v>1.1831196983041017</v>
      </c>
    </row>
    <row r="15" spans="1:15" x14ac:dyDescent="0.25">
      <c r="A15" s="604" t="s">
        <v>1167</v>
      </c>
      <c r="B15" s="604" t="s">
        <v>353</v>
      </c>
      <c r="C15" s="604" t="s">
        <v>354</v>
      </c>
      <c r="D15" s="604" t="s">
        <v>760</v>
      </c>
      <c r="E15" s="604" t="s">
        <v>761</v>
      </c>
      <c r="F15" s="604" t="s">
        <v>1023</v>
      </c>
      <c r="G15" s="604" t="s">
        <v>1024</v>
      </c>
      <c r="H15" s="604" t="s">
        <v>3453</v>
      </c>
      <c r="I15" s="604">
        <v>953</v>
      </c>
      <c r="J15" s="605">
        <v>1</v>
      </c>
      <c r="K15" s="606">
        <v>1.23787595891439</v>
      </c>
      <c r="L15" s="606">
        <v>1.23871742039661</v>
      </c>
      <c r="M15" s="607">
        <v>1.23787595891439</v>
      </c>
      <c r="N15" s="607">
        <v>1.1933264385606563</v>
      </c>
      <c r="O15" s="607">
        <v>1.1933264385606563</v>
      </c>
    </row>
    <row r="16" spans="1:15" x14ac:dyDescent="0.25">
      <c r="A16" s="604" t="s">
        <v>1167</v>
      </c>
      <c r="B16" s="604" t="s">
        <v>2381</v>
      </c>
      <c r="C16" s="604" t="s">
        <v>2382</v>
      </c>
      <c r="D16" s="604" t="s">
        <v>855</v>
      </c>
      <c r="E16" s="604" t="s">
        <v>856</v>
      </c>
      <c r="F16" s="604" t="s">
        <v>981</v>
      </c>
      <c r="G16" s="604" t="s">
        <v>982</v>
      </c>
      <c r="H16" s="604" t="s">
        <v>3447</v>
      </c>
      <c r="I16" s="604">
        <v>266</v>
      </c>
      <c r="J16" s="607">
        <v>0.23942394239423942</v>
      </c>
      <c r="K16" s="606">
        <v>1.24081714166389</v>
      </c>
      <c r="L16" s="606">
        <v>1.2417490029065801</v>
      </c>
      <c r="M16" s="607">
        <v>1.24081714166389</v>
      </c>
      <c r="N16" s="607">
        <v>1.1961617720287163</v>
      </c>
      <c r="O16" s="607">
        <v>0.28638976720039472</v>
      </c>
    </row>
    <row r="17" spans="1:15" x14ac:dyDescent="0.25">
      <c r="A17" s="604" t="s">
        <v>1167</v>
      </c>
      <c r="B17" s="604" t="s">
        <v>2381</v>
      </c>
      <c r="C17" s="604" t="s">
        <v>2382</v>
      </c>
      <c r="D17" s="604" t="s">
        <v>857</v>
      </c>
      <c r="E17" s="604" t="s">
        <v>719</v>
      </c>
      <c r="F17" s="604" t="s">
        <v>983</v>
      </c>
      <c r="G17" s="604" t="s">
        <v>984</v>
      </c>
      <c r="H17" s="604" t="s">
        <v>3453</v>
      </c>
      <c r="I17" s="604">
        <v>845</v>
      </c>
      <c r="J17" s="607">
        <v>0.76057605760576052</v>
      </c>
      <c r="K17" s="606">
        <v>1.2431862143472601</v>
      </c>
      <c r="L17" s="606">
        <v>1.2428397203669199</v>
      </c>
      <c r="M17" s="607">
        <v>1.2431862143472601</v>
      </c>
      <c r="N17" s="607">
        <v>1.1984455849160889</v>
      </c>
      <c r="O17" s="607">
        <v>0.91150901823050856</v>
      </c>
    </row>
    <row r="18" spans="1:15" x14ac:dyDescent="0.25">
      <c r="A18" s="604" t="s">
        <v>3496</v>
      </c>
      <c r="B18" s="604" t="s">
        <v>11</v>
      </c>
      <c r="C18" s="604" t="s">
        <v>2328</v>
      </c>
      <c r="D18" s="604" t="s">
        <v>3085</v>
      </c>
      <c r="E18" s="604" t="s">
        <v>3086</v>
      </c>
      <c r="F18" s="604" t="s">
        <v>3246</v>
      </c>
      <c r="G18" s="604" t="s">
        <v>3247</v>
      </c>
      <c r="H18" s="604" t="s">
        <v>3470</v>
      </c>
      <c r="I18" s="604">
        <v>444</v>
      </c>
      <c r="J18" s="607">
        <v>1</v>
      </c>
      <c r="K18" s="606">
        <v>1.1585101324452001</v>
      </c>
      <c r="L18" s="606">
        <v>1.1475246885414401</v>
      </c>
      <c r="M18" s="607">
        <v>1.1585101324452001</v>
      </c>
      <c r="N18" s="607">
        <v>1.1168168833327148</v>
      </c>
      <c r="O18" s="607">
        <v>1.1168168833327148</v>
      </c>
    </row>
    <row r="20" spans="1:15" x14ac:dyDescent="0.25">
      <c r="A20" s="602" t="s">
        <v>3935</v>
      </c>
    </row>
    <row r="21" spans="1:15" x14ac:dyDescent="0.25">
      <c r="A21" s="604" t="s">
        <v>2754</v>
      </c>
      <c r="B21" s="604" t="s">
        <v>3573</v>
      </c>
      <c r="C21" s="604" t="s">
        <v>2755</v>
      </c>
      <c r="D21" s="604" t="s">
        <v>2756</v>
      </c>
      <c r="E21" s="604" t="s">
        <v>2757</v>
      </c>
      <c r="F21" s="604" t="s">
        <v>2758</v>
      </c>
      <c r="G21" s="604" t="s">
        <v>2759</v>
      </c>
      <c r="H21" s="604" t="s">
        <v>2760</v>
      </c>
      <c r="I21" s="604" t="s">
        <v>2761</v>
      </c>
      <c r="J21" s="604" t="s">
        <v>2762</v>
      </c>
      <c r="K21" s="604" t="s">
        <v>527</v>
      </c>
      <c r="L21" s="604" t="s">
        <v>2768</v>
      </c>
    </row>
    <row r="22" spans="1:15" x14ac:dyDescent="0.25">
      <c r="A22" s="604" t="s">
        <v>1167</v>
      </c>
      <c r="B22" s="604" t="s">
        <v>552</v>
      </c>
      <c r="C22" s="604" t="s">
        <v>1926</v>
      </c>
      <c r="D22" s="604" t="s">
        <v>1927</v>
      </c>
      <c r="E22" s="604" t="s">
        <v>1928</v>
      </c>
      <c r="F22" s="604" t="s">
        <v>936</v>
      </c>
      <c r="G22" s="604" t="s">
        <v>937</v>
      </c>
      <c r="H22" s="604" t="s">
        <v>465</v>
      </c>
      <c r="I22" s="604">
        <v>485</v>
      </c>
      <c r="J22" s="605">
        <v>0.33356258596973865</v>
      </c>
      <c r="K22" s="604">
        <v>1.154326716430494</v>
      </c>
      <c r="L22" s="604">
        <v>0.38504020458651278</v>
      </c>
    </row>
    <row r="23" spans="1:15" x14ac:dyDescent="0.25">
      <c r="A23" s="604" t="s">
        <v>1167</v>
      </c>
      <c r="B23" s="604" t="s">
        <v>552</v>
      </c>
      <c r="C23" s="604" t="s">
        <v>1929</v>
      </c>
      <c r="D23" s="604" t="s">
        <v>1930</v>
      </c>
      <c r="E23" s="604" t="s">
        <v>1931</v>
      </c>
      <c r="F23" s="604" t="s">
        <v>938</v>
      </c>
      <c r="G23" s="604" t="s">
        <v>939</v>
      </c>
      <c r="H23" s="604" t="s">
        <v>458</v>
      </c>
      <c r="I23" s="604">
        <v>81</v>
      </c>
      <c r="J23" s="605">
        <v>5.5708390646492432E-2</v>
      </c>
      <c r="K23" s="604">
        <v>1.1145223468984178</v>
      </c>
      <c r="L23" s="604">
        <v>6.2088246285262612E-2</v>
      </c>
    </row>
    <row r="24" spans="1:15" x14ac:dyDescent="0.25">
      <c r="A24" s="604" t="s">
        <v>1167</v>
      </c>
      <c r="B24" s="604" t="s">
        <v>552</v>
      </c>
      <c r="C24" s="604" t="s">
        <v>1929</v>
      </c>
      <c r="D24" s="604" t="s">
        <v>1932</v>
      </c>
      <c r="E24" s="604" t="s">
        <v>1933</v>
      </c>
      <c r="F24" s="604" t="s">
        <v>940</v>
      </c>
      <c r="G24" s="604" t="s">
        <v>941</v>
      </c>
      <c r="H24" s="604" t="s">
        <v>458</v>
      </c>
      <c r="I24" s="604">
        <v>458</v>
      </c>
      <c r="J24" s="605">
        <v>0.31499312242090782</v>
      </c>
      <c r="K24" s="604">
        <v>1.1145223468984178</v>
      </c>
      <c r="L24" s="604">
        <v>0.35106687405741083</v>
      </c>
    </row>
    <row r="25" spans="1:15" x14ac:dyDescent="0.25">
      <c r="A25" s="604" t="s">
        <v>1167</v>
      </c>
      <c r="B25" s="604" t="s">
        <v>552</v>
      </c>
      <c r="C25" s="604" t="s">
        <v>832</v>
      </c>
      <c r="D25" s="604" t="s">
        <v>833</v>
      </c>
      <c r="E25" s="604" t="s">
        <v>834</v>
      </c>
      <c r="F25" s="604" t="s">
        <v>963</v>
      </c>
      <c r="G25" s="604" t="s">
        <v>964</v>
      </c>
      <c r="H25" s="604" t="s">
        <v>3474</v>
      </c>
      <c r="I25" s="604">
        <v>430</v>
      </c>
      <c r="J25" s="605">
        <v>0.29573590096286106</v>
      </c>
      <c r="K25" s="604">
        <v>1.1443756240474725</v>
      </c>
      <c r="L25" s="604">
        <v>0.33843295621761565</v>
      </c>
    </row>
    <row r="26" spans="1:15" x14ac:dyDescent="0.25">
      <c r="A26" s="604" t="s">
        <v>1167</v>
      </c>
      <c r="B26" s="604" t="s">
        <v>3688</v>
      </c>
      <c r="C26" s="604" t="s">
        <v>3689</v>
      </c>
      <c r="D26" s="604" t="s">
        <v>3133</v>
      </c>
      <c r="E26" s="604" t="s">
        <v>3134</v>
      </c>
      <c r="F26" s="604" t="s">
        <v>3289</v>
      </c>
      <c r="G26" s="604" t="s">
        <v>3290</v>
      </c>
      <c r="H26" s="604" t="s">
        <v>465</v>
      </c>
      <c r="I26" s="604">
        <v>40</v>
      </c>
      <c r="J26" s="605">
        <v>8.0645161290322578E-2</v>
      </c>
      <c r="K26" s="604">
        <v>1.154326716430494</v>
      </c>
      <c r="L26" s="604">
        <v>9.3090864228265638E-2</v>
      </c>
    </row>
    <row r="27" spans="1:15" x14ac:dyDescent="0.25">
      <c r="A27" s="604" t="s">
        <v>1167</v>
      </c>
      <c r="B27" s="604" t="s">
        <v>3688</v>
      </c>
      <c r="C27" s="604" t="s">
        <v>3689</v>
      </c>
      <c r="D27" s="604" t="s">
        <v>3135</v>
      </c>
      <c r="E27" s="604" t="s">
        <v>3136</v>
      </c>
      <c r="F27" s="604" t="s">
        <v>3291</v>
      </c>
      <c r="G27" s="604" t="s">
        <v>3292</v>
      </c>
      <c r="H27" s="604" t="s">
        <v>465</v>
      </c>
      <c r="I27" s="604">
        <v>45</v>
      </c>
      <c r="J27" s="605">
        <v>9.0725806451612906E-2</v>
      </c>
      <c r="K27" s="604">
        <v>1.154326716430494</v>
      </c>
      <c r="L27" s="604">
        <v>0.10472722225679885</v>
      </c>
    </row>
    <row r="28" spans="1:15" x14ac:dyDescent="0.25">
      <c r="A28" s="604" t="s">
        <v>1167</v>
      </c>
      <c r="B28" s="604" t="s">
        <v>3688</v>
      </c>
      <c r="C28" s="604" t="s">
        <v>3689</v>
      </c>
      <c r="D28" s="604" t="s">
        <v>728</v>
      </c>
      <c r="E28" s="604" t="s">
        <v>729</v>
      </c>
      <c r="F28" s="604" t="s">
        <v>3293</v>
      </c>
      <c r="G28" s="604" t="s">
        <v>3294</v>
      </c>
      <c r="H28" s="604" t="s">
        <v>3470</v>
      </c>
      <c r="I28" s="604">
        <v>64</v>
      </c>
      <c r="J28" s="605">
        <v>0.12903225806451613</v>
      </c>
      <c r="K28" s="604">
        <v>1.0747179773663313</v>
      </c>
      <c r="L28" s="604">
        <v>0.13867328740210727</v>
      </c>
    </row>
    <row r="29" spans="1:15" x14ac:dyDescent="0.25">
      <c r="A29" s="604" t="s">
        <v>1167</v>
      </c>
      <c r="B29" s="604" t="s">
        <v>3688</v>
      </c>
      <c r="C29" s="604" t="s">
        <v>3689</v>
      </c>
      <c r="D29" s="604" t="s">
        <v>3137</v>
      </c>
      <c r="E29" s="604" t="s">
        <v>3138</v>
      </c>
      <c r="F29" s="604" t="s">
        <v>963</v>
      </c>
      <c r="G29" s="604" t="s">
        <v>964</v>
      </c>
      <c r="H29" s="604" t="s">
        <v>3474</v>
      </c>
      <c r="I29" s="604">
        <v>71</v>
      </c>
      <c r="J29" s="605">
        <v>0.14314516129032259</v>
      </c>
      <c r="K29" s="604">
        <v>1.1443756240474725</v>
      </c>
      <c r="L29" s="604">
        <v>0.16381183328098903</v>
      </c>
    </row>
    <row r="30" spans="1:15" x14ac:dyDescent="0.25">
      <c r="A30" s="604" t="s">
        <v>1167</v>
      </c>
      <c r="B30" s="604" t="s">
        <v>3688</v>
      </c>
      <c r="C30" s="604" t="s">
        <v>3689</v>
      </c>
      <c r="D30" s="604" t="s">
        <v>3139</v>
      </c>
      <c r="E30" s="604" t="s">
        <v>3140</v>
      </c>
      <c r="F30" s="604" t="s">
        <v>3295</v>
      </c>
      <c r="G30" s="604" t="s">
        <v>3294</v>
      </c>
      <c r="H30" s="604" t="s">
        <v>3470</v>
      </c>
      <c r="I30" s="604">
        <v>84</v>
      </c>
      <c r="J30" s="605">
        <v>0.16935483870967741</v>
      </c>
      <c r="K30" s="604">
        <v>1.0747179773663313</v>
      </c>
      <c r="L30" s="604">
        <v>0.18200868971526579</v>
      </c>
    </row>
    <row r="31" spans="1:15" x14ac:dyDescent="0.25">
      <c r="A31" s="604" t="s">
        <v>1167</v>
      </c>
      <c r="B31" s="604" t="s">
        <v>3688</v>
      </c>
      <c r="C31" s="604" t="s">
        <v>3689</v>
      </c>
      <c r="D31" s="604" t="s">
        <v>3141</v>
      </c>
      <c r="E31" s="604" t="s">
        <v>3142</v>
      </c>
      <c r="F31" s="604" t="s">
        <v>3296</v>
      </c>
      <c r="G31" s="604" t="s">
        <v>941</v>
      </c>
      <c r="H31" s="604" t="s">
        <v>458</v>
      </c>
      <c r="I31" s="604">
        <v>93</v>
      </c>
      <c r="J31" s="605">
        <v>0.1875</v>
      </c>
      <c r="K31" s="604">
        <v>1.1145223468984178</v>
      </c>
      <c r="L31" s="604">
        <v>0.20897294004345335</v>
      </c>
    </row>
    <row r="32" spans="1:15" x14ac:dyDescent="0.25">
      <c r="A32" s="604" t="s">
        <v>1167</v>
      </c>
      <c r="B32" s="604" t="s">
        <v>3688</v>
      </c>
      <c r="C32" s="604" t="s">
        <v>3689</v>
      </c>
      <c r="D32" s="604" t="s">
        <v>3143</v>
      </c>
      <c r="E32" s="604" t="s">
        <v>3144</v>
      </c>
      <c r="F32" s="604" t="s">
        <v>936</v>
      </c>
      <c r="G32" s="604" t="s">
        <v>937</v>
      </c>
      <c r="H32" s="604" t="s">
        <v>465</v>
      </c>
      <c r="I32" s="604">
        <v>99</v>
      </c>
      <c r="J32" s="605">
        <v>0.19959677419354838</v>
      </c>
      <c r="K32" s="604">
        <v>1.154326716430494</v>
      </c>
      <c r="L32" s="604">
        <v>0.23039988896495747</v>
      </c>
    </row>
    <row r="33" spans="1:12" x14ac:dyDescent="0.25">
      <c r="A33" s="604" t="s">
        <v>1167</v>
      </c>
      <c r="B33" s="604" t="s">
        <v>600</v>
      </c>
      <c r="C33" s="604" t="s">
        <v>601</v>
      </c>
      <c r="D33" s="604" t="s">
        <v>720</v>
      </c>
      <c r="E33" s="604" t="s">
        <v>721</v>
      </c>
      <c r="F33" s="604" t="s">
        <v>985</v>
      </c>
      <c r="G33" s="604" t="s">
        <v>986</v>
      </c>
      <c r="H33" s="604" t="s">
        <v>3482</v>
      </c>
      <c r="I33" s="604">
        <v>459</v>
      </c>
      <c r="J33" s="605">
        <v>1</v>
      </c>
      <c r="K33" s="604">
        <v>1.1145223468984178</v>
      </c>
      <c r="L33" s="604">
        <v>1.1145223468984178</v>
      </c>
    </row>
    <row r="34" spans="1:12" x14ac:dyDescent="0.25">
      <c r="A34" s="604" t="s">
        <v>1167</v>
      </c>
      <c r="B34" s="604" t="s">
        <v>353</v>
      </c>
      <c r="C34" s="604" t="s">
        <v>354</v>
      </c>
      <c r="D34" s="604" t="s">
        <v>760</v>
      </c>
      <c r="E34" s="604" t="s">
        <v>761</v>
      </c>
      <c r="F34" s="604" t="s">
        <v>1023</v>
      </c>
      <c r="G34" s="604" t="s">
        <v>1024</v>
      </c>
      <c r="H34" s="604" t="s">
        <v>3453</v>
      </c>
      <c r="I34" s="604">
        <v>953</v>
      </c>
      <c r="J34" s="605">
        <v>1</v>
      </c>
      <c r="K34" s="604">
        <v>1.2140332707286337</v>
      </c>
      <c r="L34" s="604">
        <v>1.2140332707286337</v>
      </c>
    </row>
    <row r="35" spans="1:12" x14ac:dyDescent="0.25">
      <c r="A35" s="604" t="s">
        <v>1167</v>
      </c>
      <c r="B35" s="604" t="s">
        <v>2381</v>
      </c>
      <c r="C35" s="604" t="s">
        <v>2382</v>
      </c>
      <c r="D35" s="604" t="s">
        <v>855</v>
      </c>
      <c r="E35" s="604" t="s">
        <v>856</v>
      </c>
      <c r="F35" s="604" t="s">
        <v>981</v>
      </c>
      <c r="G35" s="604" t="s">
        <v>982</v>
      </c>
      <c r="H35" s="604" t="s">
        <v>3447</v>
      </c>
      <c r="I35" s="604">
        <v>266</v>
      </c>
      <c r="J35" s="605">
        <v>0.23942394239423942</v>
      </c>
      <c r="K35" s="604">
        <v>1.2140332707286337</v>
      </c>
      <c r="L35" s="604">
        <v>0.29066863187562247</v>
      </c>
    </row>
    <row r="36" spans="1:12" x14ac:dyDescent="0.25">
      <c r="A36" s="604" t="s">
        <v>1167</v>
      </c>
      <c r="B36" s="604" t="s">
        <v>2381</v>
      </c>
      <c r="C36" s="604" t="s">
        <v>2382</v>
      </c>
      <c r="D36" s="604" t="s">
        <v>857</v>
      </c>
      <c r="E36" s="604" t="s">
        <v>719</v>
      </c>
      <c r="F36" s="604" t="s">
        <v>983</v>
      </c>
      <c r="G36" s="604" t="s">
        <v>984</v>
      </c>
      <c r="H36" s="604" t="s">
        <v>3453</v>
      </c>
      <c r="I36" s="604">
        <v>845</v>
      </c>
      <c r="J36" s="605">
        <v>0.76057605760576052</v>
      </c>
      <c r="K36" s="604">
        <v>1.2140332707286337</v>
      </c>
      <c r="L36" s="604">
        <v>0.92336463885301112</v>
      </c>
    </row>
    <row r="37" spans="1:12" x14ac:dyDescent="0.25">
      <c r="A37" s="604" t="s">
        <v>3496</v>
      </c>
      <c r="B37" s="604" t="s">
        <v>11</v>
      </c>
      <c r="C37" s="604" t="s">
        <v>2328</v>
      </c>
      <c r="D37" s="604" t="s">
        <v>3085</v>
      </c>
      <c r="E37" s="604" t="s">
        <v>3086</v>
      </c>
      <c r="F37" s="604" t="s">
        <v>3246</v>
      </c>
      <c r="G37" s="604" t="s">
        <v>3247</v>
      </c>
      <c r="H37" s="604" t="s">
        <v>3470</v>
      </c>
      <c r="I37" s="604">
        <v>444</v>
      </c>
      <c r="J37" s="607">
        <f>I37/SUMIF(B:B,B37,I:I)</f>
        <v>0.5</v>
      </c>
      <c r="K37" s="606">
        <f>VLOOKUP($H$37,'PCT data'!B$1:K$159,10,FALSE)</f>
        <v>1.0747179773663313</v>
      </c>
      <c r="L37" s="606">
        <f>K37*J37</f>
        <v>0.53735898868316567</v>
      </c>
    </row>
    <row r="38" spans="1:12" x14ac:dyDescent="0.25">
      <c r="K38" s="606"/>
    </row>
    <row r="39" spans="1:12" x14ac:dyDescent="0.25">
      <c r="A39" s="602" t="s">
        <v>2735</v>
      </c>
    </row>
    <row r="40" spans="1:12" x14ac:dyDescent="0.25">
      <c r="A40" s="604" t="s">
        <v>3572</v>
      </c>
      <c r="B40" s="604" t="s">
        <v>3368</v>
      </c>
      <c r="C40" s="604" t="s">
        <v>3369</v>
      </c>
      <c r="D40" s="604" t="s">
        <v>2735</v>
      </c>
      <c r="E40" s="604" t="s">
        <v>2751</v>
      </c>
      <c r="F40" s="604" t="s">
        <v>2750</v>
      </c>
    </row>
    <row r="41" spans="1:12" x14ac:dyDescent="0.25">
      <c r="A41" s="604" t="s">
        <v>1167</v>
      </c>
      <c r="B41" s="604" t="s">
        <v>552</v>
      </c>
      <c r="C41" s="604" t="s">
        <v>553</v>
      </c>
      <c r="D41" s="604">
        <v>1.0223877088548716</v>
      </c>
      <c r="E41" s="604">
        <v>1454</v>
      </c>
      <c r="F41" s="604">
        <v>1.0185025427599708</v>
      </c>
    </row>
    <row r="42" spans="1:12" x14ac:dyDescent="0.25">
      <c r="A42" s="604" t="s">
        <v>1167</v>
      </c>
      <c r="B42" s="604" t="s">
        <v>3688</v>
      </c>
      <c r="C42" s="604" t="s">
        <v>3689</v>
      </c>
      <c r="D42" s="604">
        <v>1.0223877088548716</v>
      </c>
      <c r="E42" s="604">
        <v>496</v>
      </c>
      <c r="F42" s="604">
        <v>1.0185025427599708</v>
      </c>
    </row>
    <row r="43" spans="1:12" x14ac:dyDescent="0.25">
      <c r="A43" s="604" t="s">
        <v>1167</v>
      </c>
      <c r="B43" s="604" t="s">
        <v>600</v>
      </c>
      <c r="C43" s="604" t="s">
        <v>601</v>
      </c>
      <c r="D43" s="604">
        <v>1.0223877088548716</v>
      </c>
      <c r="E43" s="604">
        <v>459</v>
      </c>
      <c r="F43" s="604">
        <v>1.0185025427599708</v>
      </c>
    </row>
    <row r="44" spans="1:12" x14ac:dyDescent="0.25">
      <c r="A44" s="604" t="s">
        <v>1167</v>
      </c>
      <c r="B44" s="604" t="s">
        <v>353</v>
      </c>
      <c r="C44" s="604" t="s">
        <v>354</v>
      </c>
      <c r="D44" s="604">
        <v>1.0223877088548716</v>
      </c>
      <c r="E44" s="604">
        <v>953</v>
      </c>
      <c r="F44" s="604">
        <v>1.0185025427599708</v>
      </c>
    </row>
    <row r="45" spans="1:12" x14ac:dyDescent="0.25">
      <c r="A45" s="604" t="s">
        <v>1167</v>
      </c>
      <c r="B45" s="604" t="s">
        <v>2381</v>
      </c>
      <c r="C45" s="604" t="s">
        <v>2382</v>
      </c>
      <c r="D45" s="604">
        <v>1.0223877088548716</v>
      </c>
      <c r="E45" s="604">
        <v>1111</v>
      </c>
      <c r="F45" s="604">
        <v>1.0185025427599708</v>
      </c>
    </row>
    <row r="46" spans="1:12" x14ac:dyDescent="0.25">
      <c r="A46" s="604" t="s">
        <v>3496</v>
      </c>
      <c r="B46" s="604" t="s">
        <v>11</v>
      </c>
      <c r="C46" s="604" t="s">
        <v>2328</v>
      </c>
      <c r="D46" s="604">
        <v>1</v>
      </c>
      <c r="E46" s="604">
        <v>444</v>
      </c>
      <c r="F46" s="604">
        <v>0.99619990923086066</v>
      </c>
    </row>
    <row r="53" spans="1:7" x14ac:dyDescent="0.25">
      <c r="A53" s="602" t="s">
        <v>2733</v>
      </c>
    </row>
    <row r="54" spans="1:7" x14ac:dyDescent="0.25">
      <c r="A54" s="604" t="s">
        <v>3370</v>
      </c>
      <c r="B54" s="604" t="s">
        <v>2725</v>
      </c>
      <c r="C54" s="604" t="s">
        <v>2755</v>
      </c>
      <c r="D54" s="604" t="s">
        <v>2726</v>
      </c>
      <c r="E54" s="604" t="s">
        <v>523</v>
      </c>
      <c r="F54" s="604" t="s">
        <v>524</v>
      </c>
      <c r="G54" s="604" t="s">
        <v>3812</v>
      </c>
    </row>
    <row r="55" spans="1:7" x14ac:dyDescent="0.25">
      <c r="A55" s="604" t="s">
        <v>707</v>
      </c>
      <c r="B55" s="604" t="s">
        <v>552</v>
      </c>
      <c r="C55" s="604" t="s">
        <v>4198</v>
      </c>
      <c r="D55" s="604">
        <v>38</v>
      </c>
      <c r="E55" s="604">
        <v>17264</v>
      </c>
      <c r="F55" s="604">
        <f>E55/D55</f>
        <v>454.31578947368422</v>
      </c>
      <c r="G55" s="604">
        <f t="shared" ref="G55:G61" si="0">F55/$F$64</f>
        <v>0.40051059115263538</v>
      </c>
    </row>
    <row r="56" spans="1:7" x14ac:dyDescent="0.25">
      <c r="A56" s="604" t="s">
        <v>707</v>
      </c>
      <c r="B56" s="604" t="s">
        <v>552</v>
      </c>
      <c r="C56" s="604" t="s">
        <v>4197</v>
      </c>
      <c r="D56" s="604">
        <v>18</v>
      </c>
      <c r="E56" s="604">
        <v>55174</v>
      </c>
      <c r="F56" s="604">
        <f>E56/D56</f>
        <v>3065.2222222222222</v>
      </c>
      <c r="G56" s="604">
        <f t="shared" si="0"/>
        <v>2.702204045469407</v>
      </c>
    </row>
    <row r="57" spans="1:7" x14ac:dyDescent="0.25">
      <c r="A57" s="604" t="s">
        <v>707</v>
      </c>
      <c r="B57" s="604" t="s">
        <v>552</v>
      </c>
      <c r="C57" s="604" t="s">
        <v>4196</v>
      </c>
      <c r="D57" s="604">
        <v>8.9499999999999993</v>
      </c>
      <c r="E57" s="604">
        <v>41051</v>
      </c>
      <c r="F57" s="604">
        <f>E57/D57</f>
        <v>4586.7039106145257</v>
      </c>
      <c r="G57" s="604">
        <f t="shared" si="0"/>
        <v>4.0434947172108711</v>
      </c>
    </row>
    <row r="58" spans="1:7" x14ac:dyDescent="0.25">
      <c r="A58" s="604" t="s">
        <v>707</v>
      </c>
      <c r="B58" s="604" t="s">
        <v>552</v>
      </c>
      <c r="C58" s="604" t="s">
        <v>3829</v>
      </c>
      <c r="D58" s="604">
        <v>64.95</v>
      </c>
      <c r="E58" s="604">
        <v>113489</v>
      </c>
      <c r="F58" s="604">
        <v>1747.3287143956888</v>
      </c>
      <c r="G58" s="604">
        <f t="shared" si="0"/>
        <v>1.5403903464401347</v>
      </c>
    </row>
    <row r="59" spans="1:7" x14ac:dyDescent="0.25">
      <c r="A59" s="604" t="s">
        <v>707</v>
      </c>
      <c r="B59" s="604" t="s">
        <v>3688</v>
      </c>
      <c r="C59" s="604" t="s">
        <v>3469</v>
      </c>
      <c r="D59" s="604">
        <v>31.14</v>
      </c>
      <c r="E59" s="604">
        <v>32315</v>
      </c>
      <c r="F59" s="604">
        <v>1037.7328195247271</v>
      </c>
      <c r="G59" s="604">
        <f t="shared" si="0"/>
        <v>0.91483279832257314</v>
      </c>
    </row>
    <row r="60" spans="1:7" x14ac:dyDescent="0.25">
      <c r="A60" s="604" t="s">
        <v>707</v>
      </c>
      <c r="B60" s="604" t="s">
        <v>600</v>
      </c>
      <c r="C60" s="604" t="s">
        <v>3481</v>
      </c>
      <c r="D60" s="604">
        <v>5.84</v>
      </c>
      <c r="E60" s="604">
        <v>31742</v>
      </c>
      <c r="F60" s="604">
        <v>5435.2739726027403</v>
      </c>
      <c r="G60" s="604">
        <f t="shared" si="0"/>
        <v>4.7915675446048969</v>
      </c>
    </row>
    <row r="61" spans="1:7" x14ac:dyDescent="0.25">
      <c r="A61" s="604" t="s">
        <v>707</v>
      </c>
      <c r="B61" s="604" t="s">
        <v>353</v>
      </c>
      <c r="C61" s="604" t="s">
        <v>3452</v>
      </c>
      <c r="D61" s="604">
        <v>6.93</v>
      </c>
      <c r="E61" s="604">
        <v>48390</v>
      </c>
      <c r="F61" s="604">
        <v>6982.6839826839832</v>
      </c>
      <c r="G61" s="604">
        <f t="shared" si="0"/>
        <v>6.1557158138321606</v>
      </c>
    </row>
    <row r="62" spans="1:7" x14ac:dyDescent="0.25">
      <c r="A62" s="604" t="s">
        <v>707</v>
      </c>
      <c r="B62" s="604" t="s">
        <v>2381</v>
      </c>
      <c r="C62" s="604" t="s">
        <v>3446</v>
      </c>
      <c r="D62" s="604">
        <v>9.36</v>
      </c>
      <c r="E62" s="604">
        <v>166950</v>
      </c>
      <c r="F62" s="604">
        <v>17836.538461538461</v>
      </c>
      <c r="G62" s="604">
        <v>15.724134465199519</v>
      </c>
    </row>
    <row r="63" spans="1:7" x14ac:dyDescent="0.25">
      <c r="A63" s="604" t="s">
        <v>707</v>
      </c>
      <c r="B63" s="604" t="s">
        <v>11</v>
      </c>
      <c r="C63" s="604" t="s">
        <v>3501</v>
      </c>
      <c r="D63" s="604">
        <v>24</v>
      </c>
      <c r="E63" s="604">
        <v>434</v>
      </c>
      <c r="F63" s="604">
        <v>18.083333333333332</v>
      </c>
      <c r="G63" s="604">
        <v>1.5941701105598505E-2</v>
      </c>
    </row>
    <row r="64" spans="1:7" x14ac:dyDescent="0.25">
      <c r="E64" s="449" t="s">
        <v>4195</v>
      </c>
      <c r="F64" s="449">
        <v>1134.3415118341866</v>
      </c>
    </row>
  </sheetData>
  <pageMargins left="0.7" right="0.7" top="0.75" bottom="0.75" header="0.3" footer="0.3"/>
  <pageSetup paperSize="9" scale="36"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theme="1"/>
  </sheetPr>
  <dimension ref="A1"/>
  <sheetViews>
    <sheetView workbookViewId="0"/>
  </sheetViews>
  <sheetFormatPr defaultRowHeight="12.75" x14ac:dyDescent="0.2"/>
  <cols>
    <col min="1" max="16384" width="9.140625" style="382"/>
  </cols>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rgb="FF00B050"/>
  </sheetPr>
  <dimension ref="A1:I61"/>
  <sheetViews>
    <sheetView workbookViewId="0"/>
  </sheetViews>
  <sheetFormatPr defaultRowHeight="12.75" x14ac:dyDescent="0.2"/>
  <cols>
    <col min="1" max="1" width="54.28515625" style="227" bestFit="1" customWidth="1"/>
    <col min="2" max="2" width="17" style="227" customWidth="1"/>
    <col min="3" max="3" width="21.85546875" style="227" bestFit="1" customWidth="1"/>
    <col min="4" max="4" width="38.5703125" style="227" bestFit="1" customWidth="1"/>
    <col min="5" max="5" width="13.28515625" style="227" customWidth="1"/>
    <col min="6" max="6" width="20.5703125" style="227" customWidth="1"/>
    <col min="7" max="7" width="13.7109375" style="227" customWidth="1"/>
    <col min="8" max="8" width="13.5703125" style="227" customWidth="1"/>
    <col min="9" max="9" width="12" style="227" customWidth="1"/>
    <col min="10" max="10" width="19.28515625" style="227" customWidth="1"/>
    <col min="11" max="11" width="13.7109375" style="227" bestFit="1" customWidth="1"/>
    <col min="12" max="256" width="9.140625" style="227"/>
    <col min="257" max="257" width="54.28515625" style="227" bestFit="1" customWidth="1"/>
    <col min="258" max="258" width="19.140625" style="227" customWidth="1"/>
    <col min="259" max="259" width="21.85546875" style="227" bestFit="1" customWidth="1"/>
    <col min="260" max="260" width="38.5703125" style="227" bestFit="1" customWidth="1"/>
    <col min="261" max="261" width="13.28515625" style="227" customWidth="1"/>
    <col min="262" max="262" width="20.5703125" style="227" customWidth="1"/>
    <col min="263" max="263" width="13.7109375" style="227" customWidth="1"/>
    <col min="264" max="264" width="13.5703125" style="227" customWidth="1"/>
    <col min="265" max="512" width="9.140625" style="227"/>
    <col min="513" max="513" width="54.28515625" style="227" bestFit="1" customWidth="1"/>
    <col min="514" max="514" width="19.140625" style="227" customWidth="1"/>
    <col min="515" max="515" width="21.85546875" style="227" bestFit="1" customWidth="1"/>
    <col min="516" max="516" width="38.5703125" style="227" bestFit="1" customWidth="1"/>
    <col min="517" max="517" width="13.28515625" style="227" customWidth="1"/>
    <col min="518" max="518" width="20.5703125" style="227" customWidth="1"/>
    <col min="519" max="519" width="13.7109375" style="227" customWidth="1"/>
    <col min="520" max="520" width="13.5703125" style="227" customWidth="1"/>
    <col min="521" max="768" width="9.140625" style="227"/>
    <col min="769" max="769" width="54.28515625" style="227" bestFit="1" customWidth="1"/>
    <col min="770" max="770" width="19.140625" style="227" customWidth="1"/>
    <col min="771" max="771" width="21.85546875" style="227" bestFit="1" customWidth="1"/>
    <col min="772" max="772" width="38.5703125" style="227" bestFit="1" customWidth="1"/>
    <col min="773" max="773" width="13.28515625" style="227" customWidth="1"/>
    <col min="774" max="774" width="20.5703125" style="227" customWidth="1"/>
    <col min="775" max="775" width="13.7109375" style="227" customWidth="1"/>
    <col min="776" max="776" width="13.5703125" style="227" customWidth="1"/>
    <col min="777" max="1024" width="9.140625" style="227"/>
    <col min="1025" max="1025" width="54.28515625" style="227" bestFit="1" customWidth="1"/>
    <col min="1026" max="1026" width="19.140625" style="227" customWidth="1"/>
    <col min="1027" max="1027" width="21.85546875" style="227" bestFit="1" customWidth="1"/>
    <col min="1028" max="1028" width="38.5703125" style="227" bestFit="1" customWidth="1"/>
    <col min="1029" max="1029" width="13.28515625" style="227" customWidth="1"/>
    <col min="1030" max="1030" width="20.5703125" style="227" customWidth="1"/>
    <col min="1031" max="1031" width="13.7109375" style="227" customWidth="1"/>
    <col min="1032" max="1032" width="13.5703125" style="227" customWidth="1"/>
    <col min="1033" max="1280" width="9.140625" style="227"/>
    <col min="1281" max="1281" width="54.28515625" style="227" bestFit="1" customWidth="1"/>
    <col min="1282" max="1282" width="19.140625" style="227" customWidth="1"/>
    <col min="1283" max="1283" width="21.85546875" style="227" bestFit="1" customWidth="1"/>
    <col min="1284" max="1284" width="38.5703125" style="227" bestFit="1" customWidth="1"/>
    <col min="1285" max="1285" width="13.28515625" style="227" customWidth="1"/>
    <col min="1286" max="1286" width="20.5703125" style="227" customWidth="1"/>
    <col min="1287" max="1287" width="13.7109375" style="227" customWidth="1"/>
    <col min="1288" max="1288" width="13.5703125" style="227" customWidth="1"/>
    <col min="1289" max="1536" width="9.140625" style="227"/>
    <col min="1537" max="1537" width="54.28515625" style="227" bestFit="1" customWidth="1"/>
    <col min="1538" max="1538" width="19.140625" style="227" customWidth="1"/>
    <col min="1539" max="1539" width="21.85546875" style="227" bestFit="1" customWidth="1"/>
    <col min="1540" max="1540" width="38.5703125" style="227" bestFit="1" customWidth="1"/>
    <col min="1541" max="1541" width="13.28515625" style="227" customWidth="1"/>
    <col min="1542" max="1542" width="20.5703125" style="227" customWidth="1"/>
    <col min="1543" max="1543" width="13.7109375" style="227" customWidth="1"/>
    <col min="1544" max="1544" width="13.5703125" style="227" customWidth="1"/>
    <col min="1545" max="1792" width="9.140625" style="227"/>
    <col min="1793" max="1793" width="54.28515625" style="227" bestFit="1" customWidth="1"/>
    <col min="1794" max="1794" width="19.140625" style="227" customWidth="1"/>
    <col min="1795" max="1795" width="21.85546875" style="227" bestFit="1" customWidth="1"/>
    <col min="1796" max="1796" width="38.5703125" style="227" bestFit="1" customWidth="1"/>
    <col min="1797" max="1797" width="13.28515625" style="227" customWidth="1"/>
    <col min="1798" max="1798" width="20.5703125" style="227" customWidth="1"/>
    <col min="1799" max="1799" width="13.7109375" style="227" customWidth="1"/>
    <col min="1800" max="1800" width="13.5703125" style="227" customWidth="1"/>
    <col min="1801" max="2048" width="9.140625" style="227"/>
    <col min="2049" max="2049" width="54.28515625" style="227" bestFit="1" customWidth="1"/>
    <col min="2050" max="2050" width="19.140625" style="227" customWidth="1"/>
    <col min="2051" max="2051" width="21.85546875" style="227" bestFit="1" customWidth="1"/>
    <col min="2052" max="2052" width="38.5703125" style="227" bestFit="1" customWidth="1"/>
    <col min="2053" max="2053" width="13.28515625" style="227" customWidth="1"/>
    <col min="2054" max="2054" width="20.5703125" style="227" customWidth="1"/>
    <col min="2055" max="2055" width="13.7109375" style="227" customWidth="1"/>
    <col min="2056" max="2056" width="13.5703125" style="227" customWidth="1"/>
    <col min="2057" max="2304" width="9.140625" style="227"/>
    <col min="2305" max="2305" width="54.28515625" style="227" bestFit="1" customWidth="1"/>
    <col min="2306" max="2306" width="19.140625" style="227" customWidth="1"/>
    <col min="2307" max="2307" width="21.85546875" style="227" bestFit="1" customWidth="1"/>
    <col min="2308" max="2308" width="38.5703125" style="227" bestFit="1" customWidth="1"/>
    <col min="2309" max="2309" width="13.28515625" style="227" customWidth="1"/>
    <col min="2310" max="2310" width="20.5703125" style="227" customWidth="1"/>
    <col min="2311" max="2311" width="13.7109375" style="227" customWidth="1"/>
    <col min="2312" max="2312" width="13.5703125" style="227" customWidth="1"/>
    <col min="2313" max="2560" width="9.140625" style="227"/>
    <col min="2561" max="2561" width="54.28515625" style="227" bestFit="1" customWidth="1"/>
    <col min="2562" max="2562" width="19.140625" style="227" customWidth="1"/>
    <col min="2563" max="2563" width="21.85546875" style="227" bestFit="1" customWidth="1"/>
    <col min="2564" max="2564" width="38.5703125" style="227" bestFit="1" customWidth="1"/>
    <col min="2565" max="2565" width="13.28515625" style="227" customWidth="1"/>
    <col min="2566" max="2566" width="20.5703125" style="227" customWidth="1"/>
    <col min="2567" max="2567" width="13.7109375" style="227" customWidth="1"/>
    <col min="2568" max="2568" width="13.5703125" style="227" customWidth="1"/>
    <col min="2569" max="2816" width="9.140625" style="227"/>
    <col min="2817" max="2817" width="54.28515625" style="227" bestFit="1" customWidth="1"/>
    <col min="2818" max="2818" width="19.140625" style="227" customWidth="1"/>
    <col min="2819" max="2819" width="21.85546875" style="227" bestFit="1" customWidth="1"/>
    <col min="2820" max="2820" width="38.5703125" style="227" bestFit="1" customWidth="1"/>
    <col min="2821" max="2821" width="13.28515625" style="227" customWidth="1"/>
    <col min="2822" max="2822" width="20.5703125" style="227" customWidth="1"/>
    <col min="2823" max="2823" width="13.7109375" style="227" customWidth="1"/>
    <col min="2824" max="2824" width="13.5703125" style="227" customWidth="1"/>
    <col min="2825" max="3072" width="9.140625" style="227"/>
    <col min="3073" max="3073" width="54.28515625" style="227" bestFit="1" customWidth="1"/>
    <col min="3074" max="3074" width="19.140625" style="227" customWidth="1"/>
    <col min="3075" max="3075" width="21.85546875" style="227" bestFit="1" customWidth="1"/>
    <col min="3076" max="3076" width="38.5703125" style="227" bestFit="1" customWidth="1"/>
    <col min="3077" max="3077" width="13.28515625" style="227" customWidth="1"/>
    <col min="3078" max="3078" width="20.5703125" style="227" customWidth="1"/>
    <col min="3079" max="3079" width="13.7109375" style="227" customWidth="1"/>
    <col min="3080" max="3080" width="13.5703125" style="227" customWidth="1"/>
    <col min="3081" max="3328" width="9.140625" style="227"/>
    <col min="3329" max="3329" width="54.28515625" style="227" bestFit="1" customWidth="1"/>
    <col min="3330" max="3330" width="19.140625" style="227" customWidth="1"/>
    <col min="3331" max="3331" width="21.85546875" style="227" bestFit="1" customWidth="1"/>
    <col min="3332" max="3332" width="38.5703125" style="227" bestFit="1" customWidth="1"/>
    <col min="3333" max="3333" width="13.28515625" style="227" customWidth="1"/>
    <col min="3334" max="3334" width="20.5703125" style="227" customWidth="1"/>
    <col min="3335" max="3335" width="13.7109375" style="227" customWidth="1"/>
    <col min="3336" max="3336" width="13.5703125" style="227" customWidth="1"/>
    <col min="3337" max="3584" width="9.140625" style="227"/>
    <col min="3585" max="3585" width="54.28515625" style="227" bestFit="1" customWidth="1"/>
    <col min="3586" max="3586" width="19.140625" style="227" customWidth="1"/>
    <col min="3587" max="3587" width="21.85546875" style="227" bestFit="1" customWidth="1"/>
    <col min="3588" max="3588" width="38.5703125" style="227" bestFit="1" customWidth="1"/>
    <col min="3589" max="3589" width="13.28515625" style="227" customWidth="1"/>
    <col min="3590" max="3590" width="20.5703125" style="227" customWidth="1"/>
    <col min="3591" max="3591" width="13.7109375" style="227" customWidth="1"/>
    <col min="3592" max="3592" width="13.5703125" style="227" customWidth="1"/>
    <col min="3593" max="3840" width="9.140625" style="227"/>
    <col min="3841" max="3841" width="54.28515625" style="227" bestFit="1" customWidth="1"/>
    <col min="3842" max="3842" width="19.140625" style="227" customWidth="1"/>
    <col min="3843" max="3843" width="21.85546875" style="227" bestFit="1" customWidth="1"/>
    <col min="3844" max="3844" width="38.5703125" style="227" bestFit="1" customWidth="1"/>
    <col min="3845" max="3845" width="13.28515625" style="227" customWidth="1"/>
    <col min="3846" max="3846" width="20.5703125" style="227" customWidth="1"/>
    <col min="3847" max="3847" width="13.7109375" style="227" customWidth="1"/>
    <col min="3848" max="3848" width="13.5703125" style="227" customWidth="1"/>
    <col min="3849" max="4096" width="9.140625" style="227"/>
    <col min="4097" max="4097" width="54.28515625" style="227" bestFit="1" customWidth="1"/>
    <col min="4098" max="4098" width="19.140625" style="227" customWidth="1"/>
    <col min="4099" max="4099" width="21.85546875" style="227" bestFit="1" customWidth="1"/>
    <col min="4100" max="4100" width="38.5703125" style="227" bestFit="1" customWidth="1"/>
    <col min="4101" max="4101" width="13.28515625" style="227" customWidth="1"/>
    <col min="4102" max="4102" width="20.5703125" style="227" customWidth="1"/>
    <col min="4103" max="4103" width="13.7109375" style="227" customWidth="1"/>
    <col min="4104" max="4104" width="13.5703125" style="227" customWidth="1"/>
    <col min="4105" max="4352" width="9.140625" style="227"/>
    <col min="4353" max="4353" width="54.28515625" style="227" bestFit="1" customWidth="1"/>
    <col min="4354" max="4354" width="19.140625" style="227" customWidth="1"/>
    <col min="4355" max="4355" width="21.85546875" style="227" bestFit="1" customWidth="1"/>
    <col min="4356" max="4356" width="38.5703125" style="227" bestFit="1" customWidth="1"/>
    <col min="4357" max="4357" width="13.28515625" style="227" customWidth="1"/>
    <col min="4358" max="4358" width="20.5703125" style="227" customWidth="1"/>
    <col min="4359" max="4359" width="13.7109375" style="227" customWidth="1"/>
    <col min="4360" max="4360" width="13.5703125" style="227" customWidth="1"/>
    <col min="4361" max="4608" width="9.140625" style="227"/>
    <col min="4609" max="4609" width="54.28515625" style="227" bestFit="1" customWidth="1"/>
    <col min="4610" max="4610" width="19.140625" style="227" customWidth="1"/>
    <col min="4611" max="4611" width="21.85546875" style="227" bestFit="1" customWidth="1"/>
    <col min="4612" max="4612" width="38.5703125" style="227" bestFit="1" customWidth="1"/>
    <col min="4613" max="4613" width="13.28515625" style="227" customWidth="1"/>
    <col min="4614" max="4614" width="20.5703125" style="227" customWidth="1"/>
    <col min="4615" max="4615" width="13.7109375" style="227" customWidth="1"/>
    <col min="4616" max="4616" width="13.5703125" style="227" customWidth="1"/>
    <col min="4617" max="4864" width="9.140625" style="227"/>
    <col min="4865" max="4865" width="54.28515625" style="227" bestFit="1" customWidth="1"/>
    <col min="4866" max="4866" width="19.140625" style="227" customWidth="1"/>
    <col min="4867" max="4867" width="21.85546875" style="227" bestFit="1" customWidth="1"/>
    <col min="4868" max="4868" width="38.5703125" style="227" bestFit="1" customWidth="1"/>
    <col min="4869" max="4869" width="13.28515625" style="227" customWidth="1"/>
    <col min="4870" max="4870" width="20.5703125" style="227" customWidth="1"/>
    <col min="4871" max="4871" width="13.7109375" style="227" customWidth="1"/>
    <col min="4872" max="4872" width="13.5703125" style="227" customWidth="1"/>
    <col min="4873" max="5120" width="9.140625" style="227"/>
    <col min="5121" max="5121" width="54.28515625" style="227" bestFit="1" customWidth="1"/>
    <col min="5122" max="5122" width="19.140625" style="227" customWidth="1"/>
    <col min="5123" max="5123" width="21.85546875" style="227" bestFit="1" customWidth="1"/>
    <col min="5124" max="5124" width="38.5703125" style="227" bestFit="1" customWidth="1"/>
    <col min="5125" max="5125" width="13.28515625" style="227" customWidth="1"/>
    <col min="5126" max="5126" width="20.5703125" style="227" customWidth="1"/>
    <col min="5127" max="5127" width="13.7109375" style="227" customWidth="1"/>
    <col min="5128" max="5128" width="13.5703125" style="227" customWidth="1"/>
    <col min="5129" max="5376" width="9.140625" style="227"/>
    <col min="5377" max="5377" width="54.28515625" style="227" bestFit="1" customWidth="1"/>
    <col min="5378" max="5378" width="19.140625" style="227" customWidth="1"/>
    <col min="5379" max="5379" width="21.85546875" style="227" bestFit="1" customWidth="1"/>
    <col min="5380" max="5380" width="38.5703125" style="227" bestFit="1" customWidth="1"/>
    <col min="5381" max="5381" width="13.28515625" style="227" customWidth="1"/>
    <col min="5382" max="5382" width="20.5703125" style="227" customWidth="1"/>
    <col min="5383" max="5383" width="13.7109375" style="227" customWidth="1"/>
    <col min="5384" max="5384" width="13.5703125" style="227" customWidth="1"/>
    <col min="5385" max="5632" width="9.140625" style="227"/>
    <col min="5633" max="5633" width="54.28515625" style="227" bestFit="1" customWidth="1"/>
    <col min="5634" max="5634" width="19.140625" style="227" customWidth="1"/>
    <col min="5635" max="5635" width="21.85546875" style="227" bestFit="1" customWidth="1"/>
    <col min="5636" max="5636" width="38.5703125" style="227" bestFit="1" customWidth="1"/>
    <col min="5637" max="5637" width="13.28515625" style="227" customWidth="1"/>
    <col min="5638" max="5638" width="20.5703125" style="227" customWidth="1"/>
    <col min="5639" max="5639" width="13.7109375" style="227" customWidth="1"/>
    <col min="5640" max="5640" width="13.5703125" style="227" customWidth="1"/>
    <col min="5641" max="5888" width="9.140625" style="227"/>
    <col min="5889" max="5889" width="54.28515625" style="227" bestFit="1" customWidth="1"/>
    <col min="5890" max="5890" width="19.140625" style="227" customWidth="1"/>
    <col min="5891" max="5891" width="21.85546875" style="227" bestFit="1" customWidth="1"/>
    <col min="5892" max="5892" width="38.5703125" style="227" bestFit="1" customWidth="1"/>
    <col min="5893" max="5893" width="13.28515625" style="227" customWidth="1"/>
    <col min="5894" max="5894" width="20.5703125" style="227" customWidth="1"/>
    <col min="5895" max="5895" width="13.7109375" style="227" customWidth="1"/>
    <col min="5896" max="5896" width="13.5703125" style="227" customWidth="1"/>
    <col min="5897" max="6144" width="9.140625" style="227"/>
    <col min="6145" max="6145" width="54.28515625" style="227" bestFit="1" customWidth="1"/>
    <col min="6146" max="6146" width="19.140625" style="227" customWidth="1"/>
    <col min="6147" max="6147" width="21.85546875" style="227" bestFit="1" customWidth="1"/>
    <col min="6148" max="6148" width="38.5703125" style="227" bestFit="1" customWidth="1"/>
    <col min="6149" max="6149" width="13.28515625" style="227" customWidth="1"/>
    <col min="6150" max="6150" width="20.5703125" style="227" customWidth="1"/>
    <col min="6151" max="6151" width="13.7109375" style="227" customWidth="1"/>
    <col min="6152" max="6152" width="13.5703125" style="227" customWidth="1"/>
    <col min="6153" max="6400" width="9.140625" style="227"/>
    <col min="6401" max="6401" width="54.28515625" style="227" bestFit="1" customWidth="1"/>
    <col min="6402" max="6402" width="19.140625" style="227" customWidth="1"/>
    <col min="6403" max="6403" width="21.85546875" style="227" bestFit="1" customWidth="1"/>
    <col min="6404" max="6404" width="38.5703125" style="227" bestFit="1" customWidth="1"/>
    <col min="6405" max="6405" width="13.28515625" style="227" customWidth="1"/>
    <col min="6406" max="6406" width="20.5703125" style="227" customWidth="1"/>
    <col min="6407" max="6407" width="13.7109375" style="227" customWidth="1"/>
    <col min="6408" max="6408" width="13.5703125" style="227" customWidth="1"/>
    <col min="6409" max="6656" width="9.140625" style="227"/>
    <col min="6657" max="6657" width="54.28515625" style="227" bestFit="1" customWidth="1"/>
    <col min="6658" max="6658" width="19.140625" style="227" customWidth="1"/>
    <col min="6659" max="6659" width="21.85546875" style="227" bestFit="1" customWidth="1"/>
    <col min="6660" max="6660" width="38.5703125" style="227" bestFit="1" customWidth="1"/>
    <col min="6661" max="6661" width="13.28515625" style="227" customWidth="1"/>
    <col min="6662" max="6662" width="20.5703125" style="227" customWidth="1"/>
    <col min="6663" max="6663" width="13.7109375" style="227" customWidth="1"/>
    <col min="6664" max="6664" width="13.5703125" style="227" customWidth="1"/>
    <col min="6665" max="6912" width="9.140625" style="227"/>
    <col min="6913" max="6913" width="54.28515625" style="227" bestFit="1" customWidth="1"/>
    <col min="6914" max="6914" width="19.140625" style="227" customWidth="1"/>
    <col min="6915" max="6915" width="21.85546875" style="227" bestFit="1" customWidth="1"/>
    <col min="6916" max="6916" width="38.5703125" style="227" bestFit="1" customWidth="1"/>
    <col min="6917" max="6917" width="13.28515625" style="227" customWidth="1"/>
    <col min="6918" max="6918" width="20.5703125" style="227" customWidth="1"/>
    <col min="6919" max="6919" width="13.7109375" style="227" customWidth="1"/>
    <col min="6920" max="6920" width="13.5703125" style="227" customWidth="1"/>
    <col min="6921" max="7168" width="9.140625" style="227"/>
    <col min="7169" max="7169" width="54.28515625" style="227" bestFit="1" customWidth="1"/>
    <col min="7170" max="7170" width="19.140625" style="227" customWidth="1"/>
    <col min="7171" max="7171" width="21.85546875" style="227" bestFit="1" customWidth="1"/>
    <col min="7172" max="7172" width="38.5703125" style="227" bestFit="1" customWidth="1"/>
    <col min="7173" max="7173" width="13.28515625" style="227" customWidth="1"/>
    <col min="7174" max="7174" width="20.5703125" style="227" customWidth="1"/>
    <col min="7175" max="7175" width="13.7109375" style="227" customWidth="1"/>
    <col min="7176" max="7176" width="13.5703125" style="227" customWidth="1"/>
    <col min="7177" max="7424" width="9.140625" style="227"/>
    <col min="7425" max="7425" width="54.28515625" style="227" bestFit="1" customWidth="1"/>
    <col min="7426" max="7426" width="19.140625" style="227" customWidth="1"/>
    <col min="7427" max="7427" width="21.85546875" style="227" bestFit="1" customWidth="1"/>
    <col min="7428" max="7428" width="38.5703125" style="227" bestFit="1" customWidth="1"/>
    <col min="7429" max="7429" width="13.28515625" style="227" customWidth="1"/>
    <col min="7430" max="7430" width="20.5703125" style="227" customWidth="1"/>
    <col min="7431" max="7431" width="13.7109375" style="227" customWidth="1"/>
    <col min="7432" max="7432" width="13.5703125" style="227" customWidth="1"/>
    <col min="7433" max="7680" width="9.140625" style="227"/>
    <col min="7681" max="7681" width="54.28515625" style="227" bestFit="1" customWidth="1"/>
    <col min="7682" max="7682" width="19.140625" style="227" customWidth="1"/>
    <col min="7683" max="7683" width="21.85546875" style="227" bestFit="1" customWidth="1"/>
    <col min="7684" max="7684" width="38.5703125" style="227" bestFit="1" customWidth="1"/>
    <col min="7685" max="7685" width="13.28515625" style="227" customWidth="1"/>
    <col min="7686" max="7686" width="20.5703125" style="227" customWidth="1"/>
    <col min="7687" max="7687" width="13.7109375" style="227" customWidth="1"/>
    <col min="7688" max="7688" width="13.5703125" style="227" customWidth="1"/>
    <col min="7689" max="7936" width="9.140625" style="227"/>
    <col min="7937" max="7937" width="54.28515625" style="227" bestFit="1" customWidth="1"/>
    <col min="7938" max="7938" width="19.140625" style="227" customWidth="1"/>
    <col min="7939" max="7939" width="21.85546875" style="227" bestFit="1" customWidth="1"/>
    <col min="7940" max="7940" width="38.5703125" style="227" bestFit="1" customWidth="1"/>
    <col min="7941" max="7941" width="13.28515625" style="227" customWidth="1"/>
    <col min="7942" max="7942" width="20.5703125" style="227" customWidth="1"/>
    <col min="7943" max="7943" width="13.7109375" style="227" customWidth="1"/>
    <col min="7944" max="7944" width="13.5703125" style="227" customWidth="1"/>
    <col min="7945" max="8192" width="9.140625" style="227"/>
    <col min="8193" max="8193" width="54.28515625" style="227" bestFit="1" customWidth="1"/>
    <col min="8194" max="8194" width="19.140625" style="227" customWidth="1"/>
    <col min="8195" max="8195" width="21.85546875" style="227" bestFit="1" customWidth="1"/>
    <col min="8196" max="8196" width="38.5703125" style="227" bestFit="1" customWidth="1"/>
    <col min="8197" max="8197" width="13.28515625" style="227" customWidth="1"/>
    <col min="8198" max="8198" width="20.5703125" style="227" customWidth="1"/>
    <col min="8199" max="8199" width="13.7109375" style="227" customWidth="1"/>
    <col min="8200" max="8200" width="13.5703125" style="227" customWidth="1"/>
    <col min="8201" max="8448" width="9.140625" style="227"/>
    <col min="8449" max="8449" width="54.28515625" style="227" bestFit="1" customWidth="1"/>
    <col min="8450" max="8450" width="19.140625" style="227" customWidth="1"/>
    <col min="8451" max="8451" width="21.85546875" style="227" bestFit="1" customWidth="1"/>
    <col min="8452" max="8452" width="38.5703125" style="227" bestFit="1" customWidth="1"/>
    <col min="8453" max="8453" width="13.28515625" style="227" customWidth="1"/>
    <col min="8454" max="8454" width="20.5703125" style="227" customWidth="1"/>
    <col min="8455" max="8455" width="13.7109375" style="227" customWidth="1"/>
    <col min="8456" max="8456" width="13.5703125" style="227" customWidth="1"/>
    <col min="8457" max="8704" width="9.140625" style="227"/>
    <col min="8705" max="8705" width="54.28515625" style="227" bestFit="1" customWidth="1"/>
    <col min="8706" max="8706" width="19.140625" style="227" customWidth="1"/>
    <col min="8707" max="8707" width="21.85546875" style="227" bestFit="1" customWidth="1"/>
    <col min="8708" max="8708" width="38.5703125" style="227" bestFit="1" customWidth="1"/>
    <col min="8709" max="8709" width="13.28515625" style="227" customWidth="1"/>
    <col min="8710" max="8710" width="20.5703125" style="227" customWidth="1"/>
    <col min="8711" max="8711" width="13.7109375" style="227" customWidth="1"/>
    <col min="8712" max="8712" width="13.5703125" style="227" customWidth="1"/>
    <col min="8713" max="8960" width="9.140625" style="227"/>
    <col min="8961" max="8961" width="54.28515625" style="227" bestFit="1" customWidth="1"/>
    <col min="8962" max="8962" width="19.140625" style="227" customWidth="1"/>
    <col min="8963" max="8963" width="21.85546875" style="227" bestFit="1" customWidth="1"/>
    <col min="8964" max="8964" width="38.5703125" style="227" bestFit="1" customWidth="1"/>
    <col min="8965" max="8965" width="13.28515625" style="227" customWidth="1"/>
    <col min="8966" max="8966" width="20.5703125" style="227" customWidth="1"/>
    <col min="8967" max="8967" width="13.7109375" style="227" customWidth="1"/>
    <col min="8968" max="8968" width="13.5703125" style="227" customWidth="1"/>
    <col min="8969" max="9216" width="9.140625" style="227"/>
    <col min="9217" max="9217" width="54.28515625" style="227" bestFit="1" customWidth="1"/>
    <col min="9218" max="9218" width="19.140625" style="227" customWidth="1"/>
    <col min="9219" max="9219" width="21.85546875" style="227" bestFit="1" customWidth="1"/>
    <col min="9220" max="9220" width="38.5703125" style="227" bestFit="1" customWidth="1"/>
    <col min="9221" max="9221" width="13.28515625" style="227" customWidth="1"/>
    <col min="9222" max="9222" width="20.5703125" style="227" customWidth="1"/>
    <col min="9223" max="9223" width="13.7109375" style="227" customWidth="1"/>
    <col min="9224" max="9224" width="13.5703125" style="227" customWidth="1"/>
    <col min="9225" max="9472" width="9.140625" style="227"/>
    <col min="9473" max="9473" width="54.28515625" style="227" bestFit="1" customWidth="1"/>
    <col min="9474" max="9474" width="19.140625" style="227" customWidth="1"/>
    <col min="9475" max="9475" width="21.85546875" style="227" bestFit="1" customWidth="1"/>
    <col min="9476" max="9476" width="38.5703125" style="227" bestFit="1" customWidth="1"/>
    <col min="9477" max="9477" width="13.28515625" style="227" customWidth="1"/>
    <col min="9478" max="9478" width="20.5703125" style="227" customWidth="1"/>
    <col min="9479" max="9479" width="13.7109375" style="227" customWidth="1"/>
    <col min="9480" max="9480" width="13.5703125" style="227" customWidth="1"/>
    <col min="9481" max="9728" width="9.140625" style="227"/>
    <col min="9729" max="9729" width="54.28515625" style="227" bestFit="1" customWidth="1"/>
    <col min="9730" max="9730" width="19.140625" style="227" customWidth="1"/>
    <col min="9731" max="9731" width="21.85546875" style="227" bestFit="1" customWidth="1"/>
    <col min="9732" max="9732" width="38.5703125" style="227" bestFit="1" customWidth="1"/>
    <col min="9733" max="9733" width="13.28515625" style="227" customWidth="1"/>
    <col min="9734" max="9734" width="20.5703125" style="227" customWidth="1"/>
    <col min="9735" max="9735" width="13.7109375" style="227" customWidth="1"/>
    <col min="9736" max="9736" width="13.5703125" style="227" customWidth="1"/>
    <col min="9737" max="9984" width="9.140625" style="227"/>
    <col min="9985" max="9985" width="54.28515625" style="227" bestFit="1" customWidth="1"/>
    <col min="9986" max="9986" width="19.140625" style="227" customWidth="1"/>
    <col min="9987" max="9987" width="21.85546875" style="227" bestFit="1" customWidth="1"/>
    <col min="9988" max="9988" width="38.5703125" style="227" bestFit="1" customWidth="1"/>
    <col min="9989" max="9989" width="13.28515625" style="227" customWidth="1"/>
    <col min="9990" max="9990" width="20.5703125" style="227" customWidth="1"/>
    <col min="9991" max="9991" width="13.7109375" style="227" customWidth="1"/>
    <col min="9992" max="9992" width="13.5703125" style="227" customWidth="1"/>
    <col min="9993" max="10240" width="9.140625" style="227"/>
    <col min="10241" max="10241" width="54.28515625" style="227" bestFit="1" customWidth="1"/>
    <col min="10242" max="10242" width="19.140625" style="227" customWidth="1"/>
    <col min="10243" max="10243" width="21.85546875" style="227" bestFit="1" customWidth="1"/>
    <col min="10244" max="10244" width="38.5703125" style="227" bestFit="1" customWidth="1"/>
    <col min="10245" max="10245" width="13.28515625" style="227" customWidth="1"/>
    <col min="10246" max="10246" width="20.5703125" style="227" customWidth="1"/>
    <col min="10247" max="10247" width="13.7109375" style="227" customWidth="1"/>
    <col min="10248" max="10248" width="13.5703125" style="227" customWidth="1"/>
    <col min="10249" max="10496" width="9.140625" style="227"/>
    <col min="10497" max="10497" width="54.28515625" style="227" bestFit="1" customWidth="1"/>
    <col min="10498" max="10498" width="19.140625" style="227" customWidth="1"/>
    <col min="10499" max="10499" width="21.85546875" style="227" bestFit="1" customWidth="1"/>
    <col min="10500" max="10500" width="38.5703125" style="227" bestFit="1" customWidth="1"/>
    <col min="10501" max="10501" width="13.28515625" style="227" customWidth="1"/>
    <col min="10502" max="10502" width="20.5703125" style="227" customWidth="1"/>
    <col min="10503" max="10503" width="13.7109375" style="227" customWidth="1"/>
    <col min="10504" max="10504" width="13.5703125" style="227" customWidth="1"/>
    <col min="10505" max="10752" width="9.140625" style="227"/>
    <col min="10753" max="10753" width="54.28515625" style="227" bestFit="1" customWidth="1"/>
    <col min="10754" max="10754" width="19.140625" style="227" customWidth="1"/>
    <col min="10755" max="10755" width="21.85546875" style="227" bestFit="1" customWidth="1"/>
    <col min="10756" max="10756" width="38.5703125" style="227" bestFit="1" customWidth="1"/>
    <col min="10757" max="10757" width="13.28515625" style="227" customWidth="1"/>
    <col min="10758" max="10758" width="20.5703125" style="227" customWidth="1"/>
    <col min="10759" max="10759" width="13.7109375" style="227" customWidth="1"/>
    <col min="10760" max="10760" width="13.5703125" style="227" customWidth="1"/>
    <col min="10761" max="11008" width="9.140625" style="227"/>
    <col min="11009" max="11009" width="54.28515625" style="227" bestFit="1" customWidth="1"/>
    <col min="11010" max="11010" width="19.140625" style="227" customWidth="1"/>
    <col min="11011" max="11011" width="21.85546875" style="227" bestFit="1" customWidth="1"/>
    <col min="11012" max="11012" width="38.5703125" style="227" bestFit="1" customWidth="1"/>
    <col min="11013" max="11013" width="13.28515625" style="227" customWidth="1"/>
    <col min="11014" max="11014" width="20.5703125" style="227" customWidth="1"/>
    <col min="11015" max="11015" width="13.7109375" style="227" customWidth="1"/>
    <col min="11016" max="11016" width="13.5703125" style="227" customWidth="1"/>
    <col min="11017" max="11264" width="9.140625" style="227"/>
    <col min="11265" max="11265" width="54.28515625" style="227" bestFit="1" customWidth="1"/>
    <col min="11266" max="11266" width="19.140625" style="227" customWidth="1"/>
    <col min="11267" max="11267" width="21.85546875" style="227" bestFit="1" customWidth="1"/>
    <col min="11268" max="11268" width="38.5703125" style="227" bestFit="1" customWidth="1"/>
    <col min="11269" max="11269" width="13.28515625" style="227" customWidth="1"/>
    <col min="11270" max="11270" width="20.5703125" style="227" customWidth="1"/>
    <col min="11271" max="11271" width="13.7109375" style="227" customWidth="1"/>
    <col min="11272" max="11272" width="13.5703125" style="227" customWidth="1"/>
    <col min="11273" max="11520" width="9.140625" style="227"/>
    <col min="11521" max="11521" width="54.28515625" style="227" bestFit="1" customWidth="1"/>
    <col min="11522" max="11522" width="19.140625" style="227" customWidth="1"/>
    <col min="11523" max="11523" width="21.85546875" style="227" bestFit="1" customWidth="1"/>
    <col min="11524" max="11524" width="38.5703125" style="227" bestFit="1" customWidth="1"/>
    <col min="11525" max="11525" width="13.28515625" style="227" customWidth="1"/>
    <col min="11526" max="11526" width="20.5703125" style="227" customWidth="1"/>
    <col min="11527" max="11527" width="13.7109375" style="227" customWidth="1"/>
    <col min="11528" max="11528" width="13.5703125" style="227" customWidth="1"/>
    <col min="11529" max="11776" width="9.140625" style="227"/>
    <col min="11777" max="11777" width="54.28515625" style="227" bestFit="1" customWidth="1"/>
    <col min="11778" max="11778" width="19.140625" style="227" customWidth="1"/>
    <col min="11779" max="11779" width="21.85546875" style="227" bestFit="1" customWidth="1"/>
    <col min="11780" max="11780" width="38.5703125" style="227" bestFit="1" customWidth="1"/>
    <col min="11781" max="11781" width="13.28515625" style="227" customWidth="1"/>
    <col min="11782" max="11782" width="20.5703125" style="227" customWidth="1"/>
    <col min="11783" max="11783" width="13.7109375" style="227" customWidth="1"/>
    <col min="11784" max="11784" width="13.5703125" style="227" customWidth="1"/>
    <col min="11785" max="12032" width="9.140625" style="227"/>
    <col min="12033" max="12033" width="54.28515625" style="227" bestFit="1" customWidth="1"/>
    <col min="12034" max="12034" width="19.140625" style="227" customWidth="1"/>
    <col min="12035" max="12035" width="21.85546875" style="227" bestFit="1" customWidth="1"/>
    <col min="12036" max="12036" width="38.5703125" style="227" bestFit="1" customWidth="1"/>
    <col min="12037" max="12037" width="13.28515625" style="227" customWidth="1"/>
    <col min="12038" max="12038" width="20.5703125" style="227" customWidth="1"/>
    <col min="12039" max="12039" width="13.7109375" style="227" customWidth="1"/>
    <col min="12040" max="12040" width="13.5703125" style="227" customWidth="1"/>
    <col min="12041" max="12288" width="9.140625" style="227"/>
    <col min="12289" max="12289" width="54.28515625" style="227" bestFit="1" customWidth="1"/>
    <col min="12290" max="12290" width="19.140625" style="227" customWidth="1"/>
    <col min="12291" max="12291" width="21.85546875" style="227" bestFit="1" customWidth="1"/>
    <col min="12292" max="12292" width="38.5703125" style="227" bestFit="1" customWidth="1"/>
    <col min="12293" max="12293" width="13.28515625" style="227" customWidth="1"/>
    <col min="12294" max="12294" width="20.5703125" style="227" customWidth="1"/>
    <col min="12295" max="12295" width="13.7109375" style="227" customWidth="1"/>
    <col min="12296" max="12296" width="13.5703125" style="227" customWidth="1"/>
    <col min="12297" max="12544" width="9.140625" style="227"/>
    <col min="12545" max="12545" width="54.28515625" style="227" bestFit="1" customWidth="1"/>
    <col min="12546" max="12546" width="19.140625" style="227" customWidth="1"/>
    <col min="12547" max="12547" width="21.85546875" style="227" bestFit="1" customWidth="1"/>
    <col min="12548" max="12548" width="38.5703125" style="227" bestFit="1" customWidth="1"/>
    <col min="12549" max="12549" width="13.28515625" style="227" customWidth="1"/>
    <col min="12550" max="12550" width="20.5703125" style="227" customWidth="1"/>
    <col min="12551" max="12551" width="13.7109375" style="227" customWidth="1"/>
    <col min="12552" max="12552" width="13.5703125" style="227" customWidth="1"/>
    <col min="12553" max="12800" width="9.140625" style="227"/>
    <col min="12801" max="12801" width="54.28515625" style="227" bestFit="1" customWidth="1"/>
    <col min="12802" max="12802" width="19.140625" style="227" customWidth="1"/>
    <col min="12803" max="12803" width="21.85546875" style="227" bestFit="1" customWidth="1"/>
    <col min="12804" max="12804" width="38.5703125" style="227" bestFit="1" customWidth="1"/>
    <col min="12805" max="12805" width="13.28515625" style="227" customWidth="1"/>
    <col min="12806" max="12806" width="20.5703125" style="227" customWidth="1"/>
    <col min="12807" max="12807" width="13.7109375" style="227" customWidth="1"/>
    <col min="12808" max="12808" width="13.5703125" style="227" customWidth="1"/>
    <col min="12809" max="13056" width="9.140625" style="227"/>
    <col min="13057" max="13057" width="54.28515625" style="227" bestFit="1" customWidth="1"/>
    <col min="13058" max="13058" width="19.140625" style="227" customWidth="1"/>
    <col min="13059" max="13059" width="21.85546875" style="227" bestFit="1" customWidth="1"/>
    <col min="13060" max="13060" width="38.5703125" style="227" bestFit="1" customWidth="1"/>
    <col min="13061" max="13061" width="13.28515625" style="227" customWidth="1"/>
    <col min="13062" max="13062" width="20.5703125" style="227" customWidth="1"/>
    <col min="13063" max="13063" width="13.7109375" style="227" customWidth="1"/>
    <col min="13064" max="13064" width="13.5703125" style="227" customWidth="1"/>
    <col min="13065" max="13312" width="9.140625" style="227"/>
    <col min="13313" max="13313" width="54.28515625" style="227" bestFit="1" customWidth="1"/>
    <col min="13314" max="13314" width="19.140625" style="227" customWidth="1"/>
    <col min="13315" max="13315" width="21.85546875" style="227" bestFit="1" customWidth="1"/>
    <col min="13316" max="13316" width="38.5703125" style="227" bestFit="1" customWidth="1"/>
    <col min="13317" max="13317" width="13.28515625" style="227" customWidth="1"/>
    <col min="13318" max="13318" width="20.5703125" style="227" customWidth="1"/>
    <col min="13319" max="13319" width="13.7109375" style="227" customWidth="1"/>
    <col min="13320" max="13320" width="13.5703125" style="227" customWidth="1"/>
    <col min="13321" max="13568" width="9.140625" style="227"/>
    <col min="13569" max="13569" width="54.28515625" style="227" bestFit="1" customWidth="1"/>
    <col min="13570" max="13570" width="19.140625" style="227" customWidth="1"/>
    <col min="13571" max="13571" width="21.85546875" style="227" bestFit="1" customWidth="1"/>
    <col min="13572" max="13572" width="38.5703125" style="227" bestFit="1" customWidth="1"/>
    <col min="13573" max="13573" width="13.28515625" style="227" customWidth="1"/>
    <col min="13574" max="13574" width="20.5703125" style="227" customWidth="1"/>
    <col min="13575" max="13575" width="13.7109375" style="227" customWidth="1"/>
    <col min="13576" max="13576" width="13.5703125" style="227" customWidth="1"/>
    <col min="13577" max="13824" width="9.140625" style="227"/>
    <col min="13825" max="13825" width="54.28515625" style="227" bestFit="1" customWidth="1"/>
    <col min="13826" max="13826" width="19.140625" style="227" customWidth="1"/>
    <col min="13827" max="13827" width="21.85546875" style="227" bestFit="1" customWidth="1"/>
    <col min="13828" max="13828" width="38.5703125" style="227" bestFit="1" customWidth="1"/>
    <col min="13829" max="13829" width="13.28515625" style="227" customWidth="1"/>
    <col min="13830" max="13830" width="20.5703125" style="227" customWidth="1"/>
    <col min="13831" max="13831" width="13.7109375" style="227" customWidth="1"/>
    <col min="13832" max="13832" width="13.5703125" style="227" customWidth="1"/>
    <col min="13833" max="14080" width="9.140625" style="227"/>
    <col min="14081" max="14081" width="54.28515625" style="227" bestFit="1" customWidth="1"/>
    <col min="14082" max="14082" width="19.140625" style="227" customWidth="1"/>
    <col min="14083" max="14083" width="21.85546875" style="227" bestFit="1" customWidth="1"/>
    <col min="14084" max="14084" width="38.5703125" style="227" bestFit="1" customWidth="1"/>
    <col min="14085" max="14085" width="13.28515625" style="227" customWidth="1"/>
    <col min="14086" max="14086" width="20.5703125" style="227" customWidth="1"/>
    <col min="14087" max="14087" width="13.7109375" style="227" customWidth="1"/>
    <col min="14088" max="14088" width="13.5703125" style="227" customWidth="1"/>
    <col min="14089" max="14336" width="9.140625" style="227"/>
    <col min="14337" max="14337" width="54.28515625" style="227" bestFit="1" customWidth="1"/>
    <col min="14338" max="14338" width="19.140625" style="227" customWidth="1"/>
    <col min="14339" max="14339" width="21.85546875" style="227" bestFit="1" customWidth="1"/>
    <col min="14340" max="14340" width="38.5703125" style="227" bestFit="1" customWidth="1"/>
    <col min="14341" max="14341" width="13.28515625" style="227" customWidth="1"/>
    <col min="14342" max="14342" width="20.5703125" style="227" customWidth="1"/>
    <col min="14343" max="14343" width="13.7109375" style="227" customWidth="1"/>
    <col min="14344" max="14344" width="13.5703125" style="227" customWidth="1"/>
    <col min="14345" max="14592" width="9.140625" style="227"/>
    <col min="14593" max="14593" width="54.28515625" style="227" bestFit="1" customWidth="1"/>
    <col min="14594" max="14594" width="19.140625" style="227" customWidth="1"/>
    <col min="14595" max="14595" width="21.85546875" style="227" bestFit="1" customWidth="1"/>
    <col min="14596" max="14596" width="38.5703125" style="227" bestFit="1" customWidth="1"/>
    <col min="14597" max="14597" width="13.28515625" style="227" customWidth="1"/>
    <col min="14598" max="14598" width="20.5703125" style="227" customWidth="1"/>
    <col min="14599" max="14599" width="13.7109375" style="227" customWidth="1"/>
    <col min="14600" max="14600" width="13.5703125" style="227" customWidth="1"/>
    <col min="14601" max="14848" width="9.140625" style="227"/>
    <col min="14849" max="14849" width="54.28515625" style="227" bestFit="1" customWidth="1"/>
    <col min="14850" max="14850" width="19.140625" style="227" customWidth="1"/>
    <col min="14851" max="14851" width="21.85546875" style="227" bestFit="1" customWidth="1"/>
    <col min="14852" max="14852" width="38.5703125" style="227" bestFit="1" customWidth="1"/>
    <col min="14853" max="14853" width="13.28515625" style="227" customWidth="1"/>
    <col min="14854" max="14854" width="20.5703125" style="227" customWidth="1"/>
    <col min="14855" max="14855" width="13.7109375" style="227" customWidth="1"/>
    <col min="14856" max="14856" width="13.5703125" style="227" customWidth="1"/>
    <col min="14857" max="15104" width="9.140625" style="227"/>
    <col min="15105" max="15105" width="54.28515625" style="227" bestFit="1" customWidth="1"/>
    <col min="15106" max="15106" width="19.140625" style="227" customWidth="1"/>
    <col min="15107" max="15107" width="21.85546875" style="227" bestFit="1" customWidth="1"/>
    <col min="15108" max="15108" width="38.5703125" style="227" bestFit="1" customWidth="1"/>
    <col min="15109" max="15109" width="13.28515625" style="227" customWidth="1"/>
    <col min="15110" max="15110" width="20.5703125" style="227" customWidth="1"/>
    <col min="15111" max="15111" width="13.7109375" style="227" customWidth="1"/>
    <col min="15112" max="15112" width="13.5703125" style="227" customWidth="1"/>
    <col min="15113" max="15360" width="9.140625" style="227"/>
    <col min="15361" max="15361" width="54.28515625" style="227" bestFit="1" customWidth="1"/>
    <col min="15362" max="15362" width="19.140625" style="227" customWidth="1"/>
    <col min="15363" max="15363" width="21.85546875" style="227" bestFit="1" customWidth="1"/>
    <col min="15364" max="15364" width="38.5703125" style="227" bestFit="1" customWidth="1"/>
    <col min="15365" max="15365" width="13.28515625" style="227" customWidth="1"/>
    <col min="15366" max="15366" width="20.5703125" style="227" customWidth="1"/>
    <col min="15367" max="15367" width="13.7109375" style="227" customWidth="1"/>
    <col min="15368" max="15368" width="13.5703125" style="227" customWidth="1"/>
    <col min="15369" max="15616" width="9.140625" style="227"/>
    <col min="15617" max="15617" width="54.28515625" style="227" bestFit="1" customWidth="1"/>
    <col min="15618" max="15618" width="19.140625" style="227" customWidth="1"/>
    <col min="15619" max="15619" width="21.85546875" style="227" bestFit="1" customWidth="1"/>
    <col min="15620" max="15620" width="38.5703125" style="227" bestFit="1" customWidth="1"/>
    <col min="15621" max="15621" width="13.28515625" style="227" customWidth="1"/>
    <col min="15622" max="15622" width="20.5703125" style="227" customWidth="1"/>
    <col min="15623" max="15623" width="13.7109375" style="227" customWidth="1"/>
    <col min="15624" max="15624" width="13.5703125" style="227" customWidth="1"/>
    <col min="15625" max="15872" width="9.140625" style="227"/>
    <col min="15873" max="15873" width="54.28515625" style="227" bestFit="1" customWidth="1"/>
    <col min="15874" max="15874" width="19.140625" style="227" customWidth="1"/>
    <col min="15875" max="15875" width="21.85546875" style="227" bestFit="1" customWidth="1"/>
    <col min="15876" max="15876" width="38.5703125" style="227" bestFit="1" customWidth="1"/>
    <col min="15877" max="15877" width="13.28515625" style="227" customWidth="1"/>
    <col min="15878" max="15878" width="20.5703125" style="227" customWidth="1"/>
    <col min="15879" max="15879" width="13.7109375" style="227" customWidth="1"/>
    <col min="15880" max="15880" width="13.5703125" style="227" customWidth="1"/>
    <col min="15881" max="16128" width="9.140625" style="227"/>
    <col min="16129" max="16129" width="54.28515625" style="227" bestFit="1" customWidth="1"/>
    <col min="16130" max="16130" width="19.140625" style="227" customWidth="1"/>
    <col min="16131" max="16131" width="21.85546875" style="227" bestFit="1" customWidth="1"/>
    <col min="16132" max="16132" width="38.5703125" style="227" bestFit="1" customWidth="1"/>
    <col min="16133" max="16133" width="13.28515625" style="227" customWidth="1"/>
    <col min="16134" max="16134" width="20.5703125" style="227" customWidth="1"/>
    <col min="16135" max="16135" width="13.7109375" style="227" customWidth="1"/>
    <col min="16136" max="16136" width="13.5703125" style="227" customWidth="1"/>
    <col min="16137" max="16384" width="9.140625" style="227"/>
  </cols>
  <sheetData>
    <row r="1" spans="1:6" ht="18" x14ac:dyDescent="0.25">
      <c r="A1" s="290" t="s">
        <v>3958</v>
      </c>
    </row>
    <row r="2" spans="1:6" ht="18" x14ac:dyDescent="0.25">
      <c r="A2" s="290"/>
    </row>
    <row r="3" spans="1:6" x14ac:dyDescent="0.2">
      <c r="A3" s="278" t="s">
        <v>3957</v>
      </c>
    </row>
    <row r="4" spans="1:6" ht="25.5" customHeight="1" x14ac:dyDescent="0.2">
      <c r="A4" s="261" t="s">
        <v>3886</v>
      </c>
      <c r="B4" s="261" t="s">
        <v>3573</v>
      </c>
      <c r="C4" s="261" t="s">
        <v>3956</v>
      </c>
      <c r="D4" s="261" t="s">
        <v>3945</v>
      </c>
      <c r="E4" s="261" t="s">
        <v>3944</v>
      </c>
      <c r="F4" s="260" t="s">
        <v>3955</v>
      </c>
    </row>
    <row r="5" spans="1:6" x14ac:dyDescent="0.2">
      <c r="A5" s="257" t="s">
        <v>3521</v>
      </c>
      <c r="B5" s="267" t="s">
        <v>3720</v>
      </c>
      <c r="C5" s="289">
        <f>SUMIF('Staff data'!$B:$B,$B5,'Staff data'!$O:$O)</f>
        <v>1.1949361928415665</v>
      </c>
      <c r="D5" s="270">
        <f>SUM($H$57:$H$58)</f>
        <v>738</v>
      </c>
      <c r="E5" s="275">
        <f>D5/D7</f>
        <v>0.45415384615384613</v>
      </c>
      <c r="F5" s="254">
        <f>C5*E5</f>
        <v>0.54268486788743142</v>
      </c>
    </row>
    <row r="6" spans="1:6" x14ac:dyDescent="0.2">
      <c r="A6" s="257" t="s">
        <v>2262</v>
      </c>
      <c r="B6" s="267" t="s">
        <v>3224</v>
      </c>
      <c r="C6" s="289">
        <f>SUMIF('Staff data'!$B:$B,$B6,'Staff data'!$O:$O)</f>
        <v>1.1680875191350411</v>
      </c>
      <c r="D6" s="276">
        <f>SUM($H$55:$H$56)</f>
        <v>887</v>
      </c>
      <c r="E6" s="275">
        <f>D6/D7</f>
        <v>0.54584615384615387</v>
      </c>
      <c r="F6" s="254">
        <f>C6*E6</f>
        <v>0.63759607967555787</v>
      </c>
    </row>
    <row r="7" spans="1:6" x14ac:dyDescent="0.2">
      <c r="A7" s="232" t="s">
        <v>3926</v>
      </c>
      <c r="B7" s="267"/>
      <c r="C7" s="254"/>
      <c r="D7" s="270">
        <f>SUM(D5:D6)</f>
        <v>1625</v>
      </c>
      <c r="E7" s="284">
        <f>SUM(E5:E6)</f>
        <v>1</v>
      </c>
      <c r="F7" s="271">
        <f>SUM(F5:F6)</f>
        <v>1.1802809475629892</v>
      </c>
    </row>
    <row r="8" spans="1:6" x14ac:dyDescent="0.2">
      <c r="A8" s="282"/>
      <c r="B8" s="283"/>
      <c r="C8" s="287"/>
      <c r="D8" s="282"/>
      <c r="E8" s="282"/>
      <c r="F8" s="281"/>
    </row>
    <row r="9" spans="1:6" x14ac:dyDescent="0.2">
      <c r="B9" s="262"/>
      <c r="C9" s="245"/>
      <c r="F9" s="245"/>
    </row>
    <row r="10" spans="1:6" x14ac:dyDescent="0.2">
      <c r="A10" s="278" t="s">
        <v>3954</v>
      </c>
      <c r="B10" s="262"/>
      <c r="C10" s="245"/>
      <c r="F10" s="245"/>
    </row>
    <row r="11" spans="1:6" ht="25.5" customHeight="1" x14ac:dyDescent="0.2">
      <c r="A11" s="261" t="s">
        <v>3886</v>
      </c>
      <c r="B11" s="261" t="s">
        <v>3573</v>
      </c>
      <c r="C11" s="286" t="s">
        <v>3953</v>
      </c>
      <c r="D11" s="261" t="s">
        <v>3945</v>
      </c>
      <c r="E11" s="261" t="s">
        <v>3944</v>
      </c>
      <c r="F11" s="288" t="s">
        <v>3952</v>
      </c>
    </row>
    <row r="12" spans="1:6" x14ac:dyDescent="0.2">
      <c r="A12" s="257" t="s">
        <v>3521</v>
      </c>
      <c r="B12" s="267" t="s">
        <v>3720</v>
      </c>
      <c r="C12" s="254">
        <f>SUMIF('Buildings data'!$B$2:$B$755,$B12,'Buildings data'!$L$2:$L$755)</f>
        <v>1.2637887326437416</v>
      </c>
      <c r="D12" s="270">
        <f>SUM($H$57:$H$58)</f>
        <v>738</v>
      </c>
      <c r="E12" s="275">
        <f>D12/D14</f>
        <v>0.45415384615384613</v>
      </c>
      <c r="F12" s="254">
        <f>C12*E12</f>
        <v>0.57395451365604999</v>
      </c>
    </row>
    <row r="13" spans="1:6" x14ac:dyDescent="0.2">
      <c r="A13" s="257" t="s">
        <v>2262</v>
      </c>
      <c r="B13" s="267" t="s">
        <v>3224</v>
      </c>
      <c r="C13" s="254">
        <f>SUMIF('Buildings data'!$B$2:$B$755,$B13,'Buildings data'!$L$2:$L$755)</f>
        <v>1.1190435309236237</v>
      </c>
      <c r="D13" s="276">
        <f>SUM($H$55:$H$56)</f>
        <v>887</v>
      </c>
      <c r="E13" s="275">
        <f>D13/D14</f>
        <v>0.54584615384615387</v>
      </c>
      <c r="F13" s="254">
        <f>C13*E13</f>
        <v>0.6108256073410796</v>
      </c>
    </row>
    <row r="14" spans="1:6" x14ac:dyDescent="0.2">
      <c r="A14" s="232" t="s">
        <v>3926</v>
      </c>
      <c r="B14" s="267"/>
      <c r="C14" s="254"/>
      <c r="D14" s="270">
        <f>SUM(D12:D13)</f>
        <v>1625</v>
      </c>
      <c r="E14" s="284">
        <f>SUM(E12:E13)</f>
        <v>1</v>
      </c>
      <c r="F14" s="271">
        <f>SUM(F12:F13)</f>
        <v>1.1847801209971296</v>
      </c>
    </row>
    <row r="15" spans="1:6" x14ac:dyDescent="0.2">
      <c r="A15" s="282"/>
      <c r="B15" s="283"/>
      <c r="C15" s="287"/>
      <c r="D15" s="282"/>
      <c r="E15" s="282"/>
      <c r="F15" s="281"/>
    </row>
    <row r="16" spans="1:6" x14ac:dyDescent="0.2">
      <c r="B16" s="262"/>
      <c r="C16" s="245"/>
    </row>
    <row r="17" spans="1:9" x14ac:dyDescent="0.2">
      <c r="A17" s="278" t="s">
        <v>2735</v>
      </c>
      <c r="B17" s="262"/>
      <c r="C17" s="245"/>
    </row>
    <row r="18" spans="1:9" ht="25.5" x14ac:dyDescent="0.2">
      <c r="A18" s="261" t="s">
        <v>3886</v>
      </c>
      <c r="B18" s="261" t="s">
        <v>3573</v>
      </c>
      <c r="C18" s="286" t="s">
        <v>3951</v>
      </c>
      <c r="D18" s="261" t="s">
        <v>3945</v>
      </c>
      <c r="E18" s="261" t="s">
        <v>3944</v>
      </c>
      <c r="F18" s="260" t="s">
        <v>3950</v>
      </c>
    </row>
    <row r="19" spans="1:9" x14ac:dyDescent="0.2">
      <c r="A19" s="257" t="s">
        <v>3521</v>
      </c>
      <c r="B19" s="267" t="s">
        <v>3720</v>
      </c>
      <c r="C19" s="254">
        <f>VLOOKUP($B19,'M&amp;D data'!$C$13:$G$234,5,FALSE)</f>
        <v>1.0185025427599708</v>
      </c>
      <c r="D19" s="270">
        <f>SUM($H$57:$H$58)</f>
        <v>738</v>
      </c>
      <c r="E19" s="275">
        <f>D19/D21</f>
        <v>0.45415384615384613</v>
      </c>
      <c r="F19" s="254">
        <f>+C19*E19</f>
        <v>0.46255684711191286</v>
      </c>
    </row>
    <row r="20" spans="1:9" x14ac:dyDescent="0.2">
      <c r="A20" s="257" t="s">
        <v>2262</v>
      </c>
      <c r="B20" s="267" t="s">
        <v>3224</v>
      </c>
      <c r="C20" s="254">
        <f>VLOOKUP($B20,'M&amp;D data'!$C$13:$G$234,5,FALSE)</f>
        <v>1.0185025427599708</v>
      </c>
      <c r="D20" s="276">
        <f>SUM($H$55:$H$56)</f>
        <v>887</v>
      </c>
      <c r="E20" s="275">
        <f>D20/D21</f>
        <v>0.54584615384615387</v>
      </c>
      <c r="F20" s="254">
        <f>+C20*E20</f>
        <v>0.55594569564805796</v>
      </c>
    </row>
    <row r="21" spans="1:9" x14ac:dyDescent="0.2">
      <c r="A21" s="232" t="s">
        <v>3926</v>
      </c>
      <c r="B21" s="267"/>
      <c r="C21" s="232"/>
      <c r="D21" s="270">
        <f>SUM(D19:D20)</f>
        <v>1625</v>
      </c>
      <c r="E21" s="284">
        <f>SUM(E19:E20)</f>
        <v>1</v>
      </c>
      <c r="F21" s="271">
        <f>SUM(F19:F20)</f>
        <v>1.0185025427599708</v>
      </c>
    </row>
    <row r="22" spans="1:9" x14ac:dyDescent="0.2">
      <c r="A22" s="282"/>
      <c r="B22" s="283"/>
      <c r="C22" s="282"/>
      <c r="D22" s="281"/>
      <c r="E22" s="280" t="s">
        <v>3931</v>
      </c>
      <c r="F22" s="279">
        <f>SUMPRODUCT(C19:C20,E19:E20)-F21</f>
        <v>0</v>
      </c>
    </row>
    <row r="23" spans="1:9" x14ac:dyDescent="0.2">
      <c r="B23" s="262"/>
    </row>
    <row r="24" spans="1:9" x14ac:dyDescent="0.2">
      <c r="A24" s="278" t="s">
        <v>2733</v>
      </c>
      <c r="B24" s="262"/>
    </row>
    <row r="25" spans="1:9" ht="38.25" x14ac:dyDescent="0.2">
      <c r="A25" s="260" t="s">
        <v>3886</v>
      </c>
      <c r="B25" s="260" t="s">
        <v>3573</v>
      </c>
      <c r="C25" s="260" t="s">
        <v>3949</v>
      </c>
      <c r="D25" s="260" t="s">
        <v>3948</v>
      </c>
      <c r="E25" s="260" t="s">
        <v>3947</v>
      </c>
      <c r="F25" s="244" t="s">
        <v>3946</v>
      </c>
      <c r="G25" s="244" t="s">
        <v>3945</v>
      </c>
      <c r="H25" s="277" t="s">
        <v>3944</v>
      </c>
      <c r="I25" s="244" t="s">
        <v>3943</v>
      </c>
    </row>
    <row r="26" spans="1:9" x14ac:dyDescent="0.2">
      <c r="A26" s="257" t="s">
        <v>3521</v>
      </c>
      <c r="B26" s="267" t="s">
        <v>3720</v>
      </c>
      <c r="C26" s="292">
        <f>VLOOKUP($B26,'Land data'!$B$2:$D$234,3,FALSE)</f>
        <v>8.911999999999999</v>
      </c>
      <c r="D26" s="322">
        <f>VLOOKUP($B26,'Land data'!$B$2:$E$234,4,FALSE)</f>
        <v>95804</v>
      </c>
      <c r="E26" s="322">
        <f>D26/C26</f>
        <v>10750.000000000002</v>
      </c>
      <c r="F26" s="232"/>
      <c r="G26" s="270">
        <f>SUM($H$57:$H$58)</f>
        <v>738</v>
      </c>
      <c r="H26" s="275">
        <f>G26/G28</f>
        <v>0.45415384615384613</v>
      </c>
      <c r="I26" s="274">
        <f>E26/E29</f>
        <v>9.4768637908857531</v>
      </c>
    </row>
    <row r="27" spans="1:9" x14ac:dyDescent="0.2">
      <c r="A27" s="257" t="s">
        <v>2262</v>
      </c>
      <c r="B27" s="267" t="s">
        <v>3224</v>
      </c>
      <c r="C27" s="292">
        <f>VLOOKUP($B27,'Land data'!$B$2:$D$234,3,FALSE)</f>
        <v>25.45</v>
      </c>
      <c r="D27" s="322">
        <f>VLOOKUP($B27,'Land data'!$B$2:$E$234,4,FALSE)</f>
        <v>99875</v>
      </c>
      <c r="E27" s="322">
        <f>D27/C27</f>
        <v>3924.3614931237721</v>
      </c>
      <c r="F27" s="232"/>
      <c r="G27" s="276">
        <f>SUM($H$55:$H$56)</f>
        <v>887</v>
      </c>
      <c r="H27" s="275">
        <f>G27/G28</f>
        <v>0.54584615384615387</v>
      </c>
      <c r="I27" s="274">
        <f>E27/E29</f>
        <v>3.4595943568866065</v>
      </c>
    </row>
    <row r="28" spans="1:9" x14ac:dyDescent="0.2">
      <c r="A28" s="257" t="s">
        <v>3926</v>
      </c>
      <c r="B28" s="273"/>
      <c r="C28" s="266">
        <f>SUM(C26:C27)</f>
        <v>34.361999999999995</v>
      </c>
      <c r="D28" s="322">
        <f>SUM(D26:D27)</f>
        <v>195679</v>
      </c>
      <c r="E28" s="322">
        <f>D28/C28</f>
        <v>5694.6336068913342</v>
      </c>
      <c r="F28" s="271">
        <f>+E28/E29</f>
        <v>5.0202108866520572</v>
      </c>
      <c r="G28" s="270">
        <f>SUM(G26:G27)</f>
        <v>1625</v>
      </c>
      <c r="H28" s="269">
        <f>SUM(H26:H27)</f>
        <v>1</v>
      </c>
      <c r="I28" s="268">
        <f>SUMPRODUCT(H26:H27,I26:I27)</f>
        <v>6.1923604136812962</v>
      </c>
    </row>
    <row r="29" spans="1:9" x14ac:dyDescent="0.2">
      <c r="A29" s="233" t="s">
        <v>3942</v>
      </c>
      <c r="B29" s="240"/>
      <c r="C29" s="373">
        <f>SUM('PCT data'!$M$3:$M$154)+SUM('Land data'!$D$2:$D$234)</f>
        <v>7611.3175000000019</v>
      </c>
      <c r="D29" s="322">
        <f>SUM('PCT data'!$N$3:$N$154)+SUM('Land data'!$E$2:$E$234)</f>
        <v>8633833.4000000004</v>
      </c>
      <c r="E29" s="322">
        <f>D29/C29</f>
        <v>1134.3415118341861</v>
      </c>
      <c r="F29" s="232"/>
      <c r="G29" s="233"/>
      <c r="H29" s="233"/>
      <c r="I29" s="233"/>
    </row>
    <row r="30" spans="1:9" x14ac:dyDescent="0.2">
      <c r="A30" s="228" t="s">
        <v>3941</v>
      </c>
      <c r="B30" s="262"/>
      <c r="F30" s="264"/>
      <c r="G30" s="263"/>
    </row>
    <row r="31" spans="1:9" x14ac:dyDescent="0.2">
      <c r="A31" s="228" t="s">
        <v>3940</v>
      </c>
      <c r="B31" s="262"/>
    </row>
    <row r="32" spans="1:9" x14ac:dyDescent="0.2">
      <c r="B32" s="262"/>
    </row>
    <row r="33" spans="1:8" x14ac:dyDescent="0.2">
      <c r="A33" s="229" t="s">
        <v>3933</v>
      </c>
      <c r="B33" s="391"/>
    </row>
    <row r="34" spans="1:8" ht="38.25" x14ac:dyDescent="0.2">
      <c r="A34" s="261" t="s">
        <v>3939</v>
      </c>
      <c r="B34" s="260" t="s">
        <v>3938</v>
      </c>
      <c r="C34" s="260" t="s">
        <v>3937</v>
      </c>
      <c r="D34" s="260" t="s">
        <v>3936</v>
      </c>
      <c r="E34" s="260" t="s">
        <v>3927</v>
      </c>
    </row>
    <row r="35" spans="1:8" x14ac:dyDescent="0.2">
      <c r="A35" s="392" t="s">
        <v>2734</v>
      </c>
      <c r="B35" s="393">
        <f>F7</f>
        <v>1.1802809475629892</v>
      </c>
      <c r="C35" s="370">
        <f>Staff_Weight</f>
        <v>0.54914759484508857</v>
      </c>
      <c r="D35" s="254">
        <f>B35*C35</f>
        <v>0.64814844359569757</v>
      </c>
      <c r="E35" s="232"/>
    </row>
    <row r="36" spans="1:8" x14ac:dyDescent="0.2">
      <c r="A36" s="394" t="s">
        <v>3935</v>
      </c>
      <c r="B36" s="390">
        <f>F14</f>
        <v>1.1847801209971296</v>
      </c>
      <c r="C36" s="370">
        <f>Building_Weight</f>
        <v>2.6635675286214532E-2</v>
      </c>
      <c r="D36" s="254">
        <f>B36*C36</f>
        <v>3.1557418588441508E-2</v>
      </c>
      <c r="E36" s="232"/>
    </row>
    <row r="37" spans="1:8" x14ac:dyDescent="0.2">
      <c r="A37" s="394" t="s">
        <v>2735</v>
      </c>
      <c r="B37" s="390">
        <f>F21</f>
        <v>1.0185025427599708</v>
      </c>
      <c r="C37" s="370">
        <f>MnD_Weight</f>
        <v>0.13904710383678176</v>
      </c>
      <c r="D37" s="254">
        <f>B37*C37</f>
        <v>0.14161982882117191</v>
      </c>
      <c r="E37" s="232"/>
    </row>
    <row r="38" spans="1:8" x14ac:dyDescent="0.2">
      <c r="A38" s="389" t="s">
        <v>3934</v>
      </c>
      <c r="B38" s="390">
        <f>I28</f>
        <v>6.1923604136812962</v>
      </c>
      <c r="C38" s="370">
        <f>Land_Weight</f>
        <v>4.4820020140147153E-3</v>
      </c>
      <c r="D38" s="254">
        <f>B38*C38</f>
        <v>2.7754171845624565E-2</v>
      </c>
      <c r="E38" s="232"/>
    </row>
    <row r="39" spans="1:8" ht="13.5" thickBot="1" x14ac:dyDescent="0.25">
      <c r="A39" s="395" t="s">
        <v>632</v>
      </c>
      <c r="B39" s="396">
        <v>1</v>
      </c>
      <c r="C39" s="371">
        <f>Other_Weight</f>
        <v>0.28068762401790043</v>
      </c>
      <c r="D39" s="253">
        <f>B39*C39</f>
        <v>0.28068762401790043</v>
      </c>
      <c r="E39" s="252"/>
    </row>
    <row r="40" spans="1:8" ht="16.5" thickBot="1" x14ac:dyDescent="0.3">
      <c r="A40" s="251" t="s">
        <v>3933</v>
      </c>
      <c r="B40" s="250"/>
      <c r="C40" s="372">
        <f>SUM(C35:C39)</f>
        <v>1</v>
      </c>
      <c r="D40" s="248">
        <f>SUMPRODUCT(B35:B39,C35:C39)</f>
        <v>1.1297674868688361</v>
      </c>
      <c r="E40" s="247">
        <f ca="1">D40/B42</f>
        <v>1.2196238749024033</v>
      </c>
    </row>
    <row r="42" spans="1:8" x14ac:dyDescent="0.2">
      <c r="A42" s="246" t="s">
        <v>3932</v>
      </c>
      <c r="B42" s="245">
        <f ca="1">Lowest_Underlying_MFF</f>
        <v>0.92632450882387185</v>
      </c>
    </row>
    <row r="43" spans="1:8" x14ac:dyDescent="0.2">
      <c r="A43" s="229"/>
    </row>
    <row r="44" spans="1:8" x14ac:dyDescent="0.2">
      <c r="A44" s="229" t="s">
        <v>3931</v>
      </c>
    </row>
    <row r="45" spans="1:8" ht="51" x14ac:dyDescent="0.2">
      <c r="A45" s="244" t="s">
        <v>3886</v>
      </c>
      <c r="B45" s="244" t="s">
        <v>3573</v>
      </c>
      <c r="C45" s="244" t="s">
        <v>3930</v>
      </c>
      <c r="D45" s="244" t="s">
        <v>3929</v>
      </c>
      <c r="E45" s="244" t="s">
        <v>3928</v>
      </c>
      <c r="F45" s="244" t="s">
        <v>3927</v>
      </c>
      <c r="H45" s="243"/>
    </row>
    <row r="46" spans="1:8" ht="15" x14ac:dyDescent="0.25">
      <c r="A46" s="235" t="s">
        <v>3521</v>
      </c>
      <c r="B46" s="240" t="s">
        <v>3720</v>
      </c>
      <c r="C46" s="239">
        <f ca="1">($C$35*C5+$C$36*C12+$C$37*C19+$C$38*I26+$C$39*$B$39)/$B$42</f>
        <v>1.2464756864824285</v>
      </c>
      <c r="D46" s="238">
        <f ca="1">+VLOOKUP(B46,MFF_2014_15,4,FALSE)-ROUND(C46,6)</f>
        <v>0</v>
      </c>
      <c r="E46" s="242">
        <f ca="1">INDEX('All Trusts'!$E$6:$E$261,MATCH($B46,'All Trusts'!$B$6:$B$261,0),1)-C46</f>
        <v>0</v>
      </c>
      <c r="F46" s="237"/>
      <c r="H46" s="241"/>
    </row>
    <row r="47" spans="1:8" ht="15" x14ac:dyDescent="0.25">
      <c r="A47" s="235" t="s">
        <v>2262</v>
      </c>
      <c r="B47" s="240" t="s">
        <v>3224</v>
      </c>
      <c r="C47" s="239">
        <f ca="1">($C$35*C6+$C$36*C13+$C$37*C20+$C$38*I27+$C$39*$B$39)/$B$42</f>
        <v>1.1972826833059451</v>
      </c>
      <c r="D47" s="238">
        <f ca="1">+VLOOKUP(B47,MFF_2014_15,4,FALSE)-ROUND(C47,6)</f>
        <v>0</v>
      </c>
      <c r="E47" s="242">
        <f ca="1">INDEX('All Trusts'!$E$6:$E$261,MATCH($B47,'All Trusts'!$B$6:$B$261,0),1)-C47</f>
        <v>0</v>
      </c>
      <c r="F47" s="237"/>
      <c r="H47" s="236"/>
    </row>
    <row r="48" spans="1:8" x14ac:dyDescent="0.2">
      <c r="A48" s="235" t="s">
        <v>3926</v>
      </c>
      <c r="B48" s="234" t="s">
        <v>3224</v>
      </c>
      <c r="C48" s="233"/>
      <c r="D48" s="233"/>
      <c r="E48" s="232"/>
      <c r="F48" s="231">
        <f ca="1">ROUND(E40,6)</f>
        <v>1.219624</v>
      </c>
    </row>
    <row r="50" spans="1:8" x14ac:dyDescent="0.2">
      <c r="C50" s="230"/>
    </row>
    <row r="51" spans="1:8" x14ac:dyDescent="0.2">
      <c r="A51" s="229" t="s">
        <v>3925</v>
      </c>
    </row>
    <row r="52" spans="1:8" x14ac:dyDescent="0.2">
      <c r="A52" s="228" t="s">
        <v>3924</v>
      </c>
    </row>
    <row r="53" spans="1:8" ht="13.5" thickBot="1" x14ac:dyDescent="0.25">
      <c r="A53" s="227" t="s">
        <v>4154</v>
      </c>
      <c r="C53" s="368">
        <v>1</v>
      </c>
      <c r="D53" s="368">
        <f>C53+1</f>
        <v>2</v>
      </c>
      <c r="E53" s="368">
        <f t="shared" ref="E53:H53" si="0">D53+1</f>
        <v>3</v>
      </c>
      <c r="F53" s="368">
        <f t="shared" si="0"/>
        <v>4</v>
      </c>
      <c r="G53" s="368">
        <f t="shared" si="0"/>
        <v>5</v>
      </c>
      <c r="H53" s="368">
        <f t="shared" si="0"/>
        <v>6</v>
      </c>
    </row>
    <row r="54" spans="1:8" ht="26.25" thickBot="1" x14ac:dyDescent="0.25">
      <c r="A54" s="85" t="s">
        <v>3573</v>
      </c>
      <c r="B54" s="85" t="s">
        <v>2755</v>
      </c>
      <c r="C54" s="85" t="s">
        <v>2756</v>
      </c>
      <c r="D54" s="85" t="s">
        <v>2757</v>
      </c>
      <c r="E54" s="85" t="s">
        <v>2758</v>
      </c>
      <c r="F54" s="85" t="s">
        <v>2759</v>
      </c>
      <c r="G54" s="85" t="s">
        <v>2760</v>
      </c>
      <c r="H54" s="85" t="s">
        <v>3945</v>
      </c>
    </row>
    <row r="55" spans="1:8" x14ac:dyDescent="0.2">
      <c r="A55" s="21" t="s">
        <v>3224</v>
      </c>
      <c r="B55" s="21" t="s">
        <v>2262</v>
      </c>
      <c r="C55" s="21" t="s">
        <v>1179</v>
      </c>
      <c r="D55" s="21" t="str">
        <f>VLOOKUP($C55,'Buildings data'!$D:$I,D$53,FALSE)</f>
        <v>BARNET GENERAL HOSPITAL</v>
      </c>
      <c r="E55" s="21" t="str">
        <f>VLOOKUP($C55,'Buildings data'!$D:$I,E$53,FALSE)</f>
        <v>EN5 3DJ</v>
      </c>
      <c r="F55" s="21" t="str">
        <f>VLOOKUP($C55,'Buildings data'!$D:$I,F$53,FALSE)</f>
        <v>EN53</v>
      </c>
      <c r="G55" s="21" t="str">
        <f>VLOOKUP($C55,'Buildings data'!$D:$I,G$53,FALSE)</f>
        <v>5A9</v>
      </c>
      <c r="H55" s="21">
        <f>VLOOKUP($C55,'Buildings data'!$D:$I,H$53,FALSE)</f>
        <v>430</v>
      </c>
    </row>
    <row r="56" spans="1:8" ht="13.5" thickBot="1" x14ac:dyDescent="0.25">
      <c r="A56" s="49" t="s">
        <v>3224</v>
      </c>
      <c r="B56" s="49" t="s">
        <v>2262</v>
      </c>
      <c r="C56" s="49" t="s">
        <v>1181</v>
      </c>
      <c r="D56" s="49" t="str">
        <f>VLOOKUP($C56,'Buildings data'!$D:$I,D$53,FALSE)</f>
        <v>CHASE FARM HOSPITAL</v>
      </c>
      <c r="E56" s="49" t="str">
        <f>VLOOKUP($C56,'Buildings data'!$D:$I,E$53,FALSE)</f>
        <v>EN2 8JL</v>
      </c>
      <c r="F56" s="49" t="str">
        <f>VLOOKUP($C56,'Buildings data'!$D:$I,F$53,FALSE)</f>
        <v>EN28</v>
      </c>
      <c r="G56" s="49" t="str">
        <f>VLOOKUP($C56,'Buildings data'!$D:$I,G$53,FALSE)</f>
        <v>5C1</v>
      </c>
      <c r="H56" s="49">
        <f>VLOOKUP($C56,'Buildings data'!$D:$I,H$53,FALSE)</f>
        <v>457</v>
      </c>
    </row>
    <row r="57" spans="1:8" x14ac:dyDescent="0.2">
      <c r="A57" s="21" t="s">
        <v>3720</v>
      </c>
      <c r="B57" s="21" t="s">
        <v>3721</v>
      </c>
      <c r="C57" s="21" t="s">
        <v>1785</v>
      </c>
      <c r="D57" s="21" t="str">
        <f>VLOOKUP($C57,'Buildings data'!$D:$I,D$53,FALSE)</f>
        <v>ROYAL NATIONAL THROAT, NOSE &amp; EAR HOSPITAL</v>
      </c>
      <c r="E57" s="21" t="str">
        <f>VLOOKUP($C57,'Buildings data'!$D:$I,E$53,FALSE)</f>
        <v>WC1X 8DA</v>
      </c>
      <c r="F57" s="21" t="str">
        <f>VLOOKUP($C57,'Buildings data'!$D:$I,F$53,FALSE)</f>
        <v>WC1X8</v>
      </c>
      <c r="G57" s="21" t="str">
        <f>VLOOKUP($C57,'Buildings data'!$D:$I,G$53,FALSE)</f>
        <v>5K7</v>
      </c>
      <c r="H57" s="21">
        <f>VLOOKUP($C57,'Buildings data'!$D:$I,H$53,FALSE)</f>
        <v>50</v>
      </c>
    </row>
    <row r="58" spans="1:8" ht="13.5" thickBot="1" x14ac:dyDescent="0.25">
      <c r="A58" s="49" t="s">
        <v>3720</v>
      </c>
      <c r="B58" s="49" t="s">
        <v>3721</v>
      </c>
      <c r="C58" s="49" t="s">
        <v>1787</v>
      </c>
      <c r="D58" s="49" t="str">
        <f>VLOOKUP($C58,'Buildings data'!$D:$I,D$53,FALSE)</f>
        <v>ROYAL FREE HOSPITAL</v>
      </c>
      <c r="E58" s="49" t="str">
        <f>VLOOKUP($C58,'Buildings data'!$D:$I,E$53,FALSE)</f>
        <v>NW3 2QG</v>
      </c>
      <c r="F58" s="49" t="str">
        <f>VLOOKUP($C58,'Buildings data'!$D:$I,F$53,FALSE)</f>
        <v>NW32</v>
      </c>
      <c r="G58" s="49" t="str">
        <f>VLOOKUP($C58,'Buildings data'!$D:$I,G$53,FALSE)</f>
        <v>5K7</v>
      </c>
      <c r="H58" s="49">
        <f>VLOOKUP($C58,'Buildings data'!$D:$I,H$53,FALSE)</f>
        <v>688</v>
      </c>
    </row>
    <row r="60" spans="1:8" x14ac:dyDescent="0.2">
      <c r="A60" s="228" t="s">
        <v>3920</v>
      </c>
    </row>
    <row r="61" spans="1:8" x14ac:dyDescent="0.2">
      <c r="A61" s="227" t="s">
        <v>3919</v>
      </c>
    </row>
  </sheetData>
  <conditionalFormatting sqref="C46:C47">
    <cfRule type="cellIs" dxfId="16" priority="1" operator="lessThan">
      <formula>$F$48</formula>
    </cfRule>
    <cfRule type="cellIs" dxfId="15" priority="2" operator="greaterThan">
      <formula>$F$48</formula>
    </cfRule>
  </conditionalFormatting>
  <pageMargins left="0.7" right="0.7" top="0.75" bottom="0.75" header="0.3" footer="0.3"/>
  <pageSetup paperSize="2058" orientation="portrait" horizontalDpi="300" verticalDpi="30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rgb="FF00B050"/>
  </sheetPr>
  <dimension ref="A1:I80"/>
  <sheetViews>
    <sheetView workbookViewId="0"/>
  </sheetViews>
  <sheetFormatPr defaultRowHeight="12.75" x14ac:dyDescent="0.2"/>
  <cols>
    <col min="1" max="1" width="54.28515625" style="227" bestFit="1" customWidth="1"/>
    <col min="2" max="2" width="17" style="227" customWidth="1"/>
    <col min="3" max="3" width="21.85546875" style="227" bestFit="1" customWidth="1"/>
    <col min="4" max="4" width="38.5703125" style="227" bestFit="1" customWidth="1"/>
    <col min="5" max="5" width="13.28515625" style="227" customWidth="1"/>
    <col min="6" max="6" width="20.5703125" style="227" customWidth="1"/>
    <col min="7" max="7" width="13.7109375" style="227" customWidth="1"/>
    <col min="8" max="8" width="13.5703125" style="227" customWidth="1"/>
    <col min="9" max="9" width="12" style="227" customWidth="1"/>
    <col min="10" max="10" width="9.140625" style="227"/>
    <col min="11" max="11" width="9.140625" style="227" customWidth="1"/>
    <col min="12" max="12" width="16.28515625" style="227" bestFit="1" customWidth="1"/>
    <col min="13" max="13" width="11.7109375" style="227" customWidth="1"/>
    <col min="14" max="246" width="9.140625" style="227"/>
    <col min="247" max="247" width="54.28515625" style="227" bestFit="1" customWidth="1"/>
    <col min="248" max="248" width="19.140625" style="227" customWidth="1"/>
    <col min="249" max="249" width="21.85546875" style="227" bestFit="1" customWidth="1"/>
    <col min="250" max="250" width="38.5703125" style="227" bestFit="1" customWidth="1"/>
    <col min="251" max="251" width="13.28515625" style="227" customWidth="1"/>
    <col min="252" max="252" width="20.5703125" style="227" customWidth="1"/>
    <col min="253" max="253" width="13.7109375" style="227" customWidth="1"/>
    <col min="254" max="254" width="13.5703125" style="227" customWidth="1"/>
    <col min="255" max="502" width="9.140625" style="227"/>
    <col min="503" max="503" width="54.28515625" style="227" bestFit="1" customWidth="1"/>
    <col min="504" max="504" width="19.140625" style="227" customWidth="1"/>
    <col min="505" max="505" width="21.85546875" style="227" bestFit="1" customWidth="1"/>
    <col min="506" max="506" width="38.5703125" style="227" bestFit="1" customWidth="1"/>
    <col min="507" max="507" width="13.28515625" style="227" customWidth="1"/>
    <col min="508" max="508" width="20.5703125" style="227" customWidth="1"/>
    <col min="509" max="509" width="13.7109375" style="227" customWidth="1"/>
    <col min="510" max="510" width="13.5703125" style="227" customWidth="1"/>
    <col min="511" max="758" width="9.140625" style="227"/>
    <col min="759" max="759" width="54.28515625" style="227" bestFit="1" customWidth="1"/>
    <col min="760" max="760" width="19.140625" style="227" customWidth="1"/>
    <col min="761" max="761" width="21.85546875" style="227" bestFit="1" customWidth="1"/>
    <col min="762" max="762" width="38.5703125" style="227" bestFit="1" customWidth="1"/>
    <col min="763" max="763" width="13.28515625" style="227" customWidth="1"/>
    <col min="764" max="764" width="20.5703125" style="227" customWidth="1"/>
    <col min="765" max="765" width="13.7109375" style="227" customWidth="1"/>
    <col min="766" max="766" width="13.5703125" style="227" customWidth="1"/>
    <col min="767" max="1014" width="9.140625" style="227"/>
    <col min="1015" max="1015" width="54.28515625" style="227" bestFit="1" customWidth="1"/>
    <col min="1016" max="1016" width="19.140625" style="227" customWidth="1"/>
    <col min="1017" max="1017" width="21.85546875" style="227" bestFit="1" customWidth="1"/>
    <col min="1018" max="1018" width="38.5703125" style="227" bestFit="1" customWidth="1"/>
    <col min="1019" max="1019" width="13.28515625" style="227" customWidth="1"/>
    <col min="1020" max="1020" width="20.5703125" style="227" customWidth="1"/>
    <col min="1021" max="1021" width="13.7109375" style="227" customWidth="1"/>
    <col min="1022" max="1022" width="13.5703125" style="227" customWidth="1"/>
    <col min="1023" max="1270" width="9.140625" style="227"/>
    <col min="1271" max="1271" width="54.28515625" style="227" bestFit="1" customWidth="1"/>
    <col min="1272" max="1272" width="19.140625" style="227" customWidth="1"/>
    <col min="1273" max="1273" width="21.85546875" style="227" bestFit="1" customWidth="1"/>
    <col min="1274" max="1274" width="38.5703125" style="227" bestFit="1" customWidth="1"/>
    <col min="1275" max="1275" width="13.28515625" style="227" customWidth="1"/>
    <col min="1276" max="1276" width="20.5703125" style="227" customWidth="1"/>
    <col min="1277" max="1277" width="13.7109375" style="227" customWidth="1"/>
    <col min="1278" max="1278" width="13.5703125" style="227" customWidth="1"/>
    <col min="1279" max="1526" width="9.140625" style="227"/>
    <col min="1527" max="1527" width="54.28515625" style="227" bestFit="1" customWidth="1"/>
    <col min="1528" max="1528" width="19.140625" style="227" customWidth="1"/>
    <col min="1529" max="1529" width="21.85546875" style="227" bestFit="1" customWidth="1"/>
    <col min="1530" max="1530" width="38.5703125" style="227" bestFit="1" customWidth="1"/>
    <col min="1531" max="1531" width="13.28515625" style="227" customWidth="1"/>
    <col min="1532" max="1532" width="20.5703125" style="227" customWidth="1"/>
    <col min="1533" max="1533" width="13.7109375" style="227" customWidth="1"/>
    <col min="1534" max="1534" width="13.5703125" style="227" customWidth="1"/>
    <col min="1535" max="1782" width="9.140625" style="227"/>
    <col min="1783" max="1783" width="54.28515625" style="227" bestFit="1" customWidth="1"/>
    <col min="1784" max="1784" width="19.140625" style="227" customWidth="1"/>
    <col min="1785" max="1785" width="21.85546875" style="227" bestFit="1" customWidth="1"/>
    <col min="1786" max="1786" width="38.5703125" style="227" bestFit="1" customWidth="1"/>
    <col min="1787" max="1787" width="13.28515625" style="227" customWidth="1"/>
    <col min="1788" max="1788" width="20.5703125" style="227" customWidth="1"/>
    <col min="1789" max="1789" width="13.7109375" style="227" customWidth="1"/>
    <col min="1790" max="1790" width="13.5703125" style="227" customWidth="1"/>
    <col min="1791" max="2038" width="9.140625" style="227"/>
    <col min="2039" max="2039" width="54.28515625" style="227" bestFit="1" customWidth="1"/>
    <col min="2040" max="2040" width="19.140625" style="227" customWidth="1"/>
    <col min="2041" max="2041" width="21.85546875" style="227" bestFit="1" customWidth="1"/>
    <col min="2042" max="2042" width="38.5703125" style="227" bestFit="1" customWidth="1"/>
    <col min="2043" max="2043" width="13.28515625" style="227" customWidth="1"/>
    <col min="2044" max="2044" width="20.5703125" style="227" customWidth="1"/>
    <col min="2045" max="2045" width="13.7109375" style="227" customWidth="1"/>
    <col min="2046" max="2046" width="13.5703125" style="227" customWidth="1"/>
    <col min="2047" max="2294" width="9.140625" style="227"/>
    <col min="2295" max="2295" width="54.28515625" style="227" bestFit="1" customWidth="1"/>
    <col min="2296" max="2296" width="19.140625" style="227" customWidth="1"/>
    <col min="2297" max="2297" width="21.85546875" style="227" bestFit="1" customWidth="1"/>
    <col min="2298" max="2298" width="38.5703125" style="227" bestFit="1" customWidth="1"/>
    <col min="2299" max="2299" width="13.28515625" style="227" customWidth="1"/>
    <col min="2300" max="2300" width="20.5703125" style="227" customWidth="1"/>
    <col min="2301" max="2301" width="13.7109375" style="227" customWidth="1"/>
    <col min="2302" max="2302" width="13.5703125" style="227" customWidth="1"/>
    <col min="2303" max="2550" width="9.140625" style="227"/>
    <col min="2551" max="2551" width="54.28515625" style="227" bestFit="1" customWidth="1"/>
    <col min="2552" max="2552" width="19.140625" style="227" customWidth="1"/>
    <col min="2553" max="2553" width="21.85546875" style="227" bestFit="1" customWidth="1"/>
    <col min="2554" max="2554" width="38.5703125" style="227" bestFit="1" customWidth="1"/>
    <col min="2555" max="2555" width="13.28515625" style="227" customWidth="1"/>
    <col min="2556" max="2556" width="20.5703125" style="227" customWidth="1"/>
    <col min="2557" max="2557" width="13.7109375" style="227" customWidth="1"/>
    <col min="2558" max="2558" width="13.5703125" style="227" customWidth="1"/>
    <col min="2559" max="2806" width="9.140625" style="227"/>
    <col min="2807" max="2807" width="54.28515625" style="227" bestFit="1" customWidth="1"/>
    <col min="2808" max="2808" width="19.140625" style="227" customWidth="1"/>
    <col min="2809" max="2809" width="21.85546875" style="227" bestFit="1" customWidth="1"/>
    <col min="2810" max="2810" width="38.5703125" style="227" bestFit="1" customWidth="1"/>
    <col min="2811" max="2811" width="13.28515625" style="227" customWidth="1"/>
    <col min="2812" max="2812" width="20.5703125" style="227" customWidth="1"/>
    <col min="2813" max="2813" width="13.7109375" style="227" customWidth="1"/>
    <col min="2814" max="2814" width="13.5703125" style="227" customWidth="1"/>
    <col min="2815" max="3062" width="9.140625" style="227"/>
    <col min="3063" max="3063" width="54.28515625" style="227" bestFit="1" customWidth="1"/>
    <col min="3064" max="3064" width="19.140625" style="227" customWidth="1"/>
    <col min="3065" max="3065" width="21.85546875" style="227" bestFit="1" customWidth="1"/>
    <col min="3066" max="3066" width="38.5703125" style="227" bestFit="1" customWidth="1"/>
    <col min="3067" max="3067" width="13.28515625" style="227" customWidth="1"/>
    <col min="3068" max="3068" width="20.5703125" style="227" customWidth="1"/>
    <col min="3069" max="3069" width="13.7109375" style="227" customWidth="1"/>
    <col min="3070" max="3070" width="13.5703125" style="227" customWidth="1"/>
    <col min="3071" max="3318" width="9.140625" style="227"/>
    <col min="3319" max="3319" width="54.28515625" style="227" bestFit="1" customWidth="1"/>
    <col min="3320" max="3320" width="19.140625" style="227" customWidth="1"/>
    <col min="3321" max="3321" width="21.85546875" style="227" bestFit="1" customWidth="1"/>
    <col min="3322" max="3322" width="38.5703125" style="227" bestFit="1" customWidth="1"/>
    <col min="3323" max="3323" width="13.28515625" style="227" customWidth="1"/>
    <col min="3324" max="3324" width="20.5703125" style="227" customWidth="1"/>
    <col min="3325" max="3325" width="13.7109375" style="227" customWidth="1"/>
    <col min="3326" max="3326" width="13.5703125" style="227" customWidth="1"/>
    <col min="3327" max="3574" width="9.140625" style="227"/>
    <col min="3575" max="3575" width="54.28515625" style="227" bestFit="1" customWidth="1"/>
    <col min="3576" max="3576" width="19.140625" style="227" customWidth="1"/>
    <col min="3577" max="3577" width="21.85546875" style="227" bestFit="1" customWidth="1"/>
    <col min="3578" max="3578" width="38.5703125" style="227" bestFit="1" customWidth="1"/>
    <col min="3579" max="3579" width="13.28515625" style="227" customWidth="1"/>
    <col min="3580" max="3580" width="20.5703125" style="227" customWidth="1"/>
    <col min="3581" max="3581" width="13.7109375" style="227" customWidth="1"/>
    <col min="3582" max="3582" width="13.5703125" style="227" customWidth="1"/>
    <col min="3583" max="3830" width="9.140625" style="227"/>
    <col min="3831" max="3831" width="54.28515625" style="227" bestFit="1" customWidth="1"/>
    <col min="3832" max="3832" width="19.140625" style="227" customWidth="1"/>
    <col min="3833" max="3833" width="21.85546875" style="227" bestFit="1" customWidth="1"/>
    <col min="3834" max="3834" width="38.5703125" style="227" bestFit="1" customWidth="1"/>
    <col min="3835" max="3835" width="13.28515625" style="227" customWidth="1"/>
    <col min="3836" max="3836" width="20.5703125" style="227" customWidth="1"/>
    <col min="3837" max="3837" width="13.7109375" style="227" customWidth="1"/>
    <col min="3838" max="3838" width="13.5703125" style="227" customWidth="1"/>
    <col min="3839" max="4086" width="9.140625" style="227"/>
    <col min="4087" max="4087" width="54.28515625" style="227" bestFit="1" customWidth="1"/>
    <col min="4088" max="4088" width="19.140625" style="227" customWidth="1"/>
    <col min="4089" max="4089" width="21.85546875" style="227" bestFit="1" customWidth="1"/>
    <col min="4090" max="4090" width="38.5703125" style="227" bestFit="1" customWidth="1"/>
    <col min="4091" max="4091" width="13.28515625" style="227" customWidth="1"/>
    <col min="4092" max="4092" width="20.5703125" style="227" customWidth="1"/>
    <col min="4093" max="4093" width="13.7109375" style="227" customWidth="1"/>
    <col min="4094" max="4094" width="13.5703125" style="227" customWidth="1"/>
    <col min="4095" max="4342" width="9.140625" style="227"/>
    <col min="4343" max="4343" width="54.28515625" style="227" bestFit="1" customWidth="1"/>
    <col min="4344" max="4344" width="19.140625" style="227" customWidth="1"/>
    <col min="4345" max="4345" width="21.85546875" style="227" bestFit="1" customWidth="1"/>
    <col min="4346" max="4346" width="38.5703125" style="227" bestFit="1" customWidth="1"/>
    <col min="4347" max="4347" width="13.28515625" style="227" customWidth="1"/>
    <col min="4348" max="4348" width="20.5703125" style="227" customWidth="1"/>
    <col min="4349" max="4349" width="13.7109375" style="227" customWidth="1"/>
    <col min="4350" max="4350" width="13.5703125" style="227" customWidth="1"/>
    <col min="4351" max="4598" width="9.140625" style="227"/>
    <col min="4599" max="4599" width="54.28515625" style="227" bestFit="1" customWidth="1"/>
    <col min="4600" max="4600" width="19.140625" style="227" customWidth="1"/>
    <col min="4601" max="4601" width="21.85546875" style="227" bestFit="1" customWidth="1"/>
    <col min="4602" max="4602" width="38.5703125" style="227" bestFit="1" customWidth="1"/>
    <col min="4603" max="4603" width="13.28515625" style="227" customWidth="1"/>
    <col min="4604" max="4604" width="20.5703125" style="227" customWidth="1"/>
    <col min="4605" max="4605" width="13.7109375" style="227" customWidth="1"/>
    <col min="4606" max="4606" width="13.5703125" style="227" customWidth="1"/>
    <col min="4607" max="4854" width="9.140625" style="227"/>
    <col min="4855" max="4855" width="54.28515625" style="227" bestFit="1" customWidth="1"/>
    <col min="4856" max="4856" width="19.140625" style="227" customWidth="1"/>
    <col min="4857" max="4857" width="21.85546875" style="227" bestFit="1" customWidth="1"/>
    <col min="4858" max="4858" width="38.5703125" style="227" bestFit="1" customWidth="1"/>
    <col min="4859" max="4859" width="13.28515625" style="227" customWidth="1"/>
    <col min="4860" max="4860" width="20.5703125" style="227" customWidth="1"/>
    <col min="4861" max="4861" width="13.7109375" style="227" customWidth="1"/>
    <col min="4862" max="4862" width="13.5703125" style="227" customWidth="1"/>
    <col min="4863" max="5110" width="9.140625" style="227"/>
    <col min="5111" max="5111" width="54.28515625" style="227" bestFit="1" customWidth="1"/>
    <col min="5112" max="5112" width="19.140625" style="227" customWidth="1"/>
    <col min="5113" max="5113" width="21.85546875" style="227" bestFit="1" customWidth="1"/>
    <col min="5114" max="5114" width="38.5703125" style="227" bestFit="1" customWidth="1"/>
    <col min="5115" max="5115" width="13.28515625" style="227" customWidth="1"/>
    <col min="5116" max="5116" width="20.5703125" style="227" customWidth="1"/>
    <col min="5117" max="5117" width="13.7109375" style="227" customWidth="1"/>
    <col min="5118" max="5118" width="13.5703125" style="227" customWidth="1"/>
    <col min="5119" max="5366" width="9.140625" style="227"/>
    <col min="5367" max="5367" width="54.28515625" style="227" bestFit="1" customWidth="1"/>
    <col min="5368" max="5368" width="19.140625" style="227" customWidth="1"/>
    <col min="5369" max="5369" width="21.85546875" style="227" bestFit="1" customWidth="1"/>
    <col min="5370" max="5370" width="38.5703125" style="227" bestFit="1" customWidth="1"/>
    <col min="5371" max="5371" width="13.28515625" style="227" customWidth="1"/>
    <col min="5372" max="5372" width="20.5703125" style="227" customWidth="1"/>
    <col min="5373" max="5373" width="13.7109375" style="227" customWidth="1"/>
    <col min="5374" max="5374" width="13.5703125" style="227" customWidth="1"/>
    <col min="5375" max="5622" width="9.140625" style="227"/>
    <col min="5623" max="5623" width="54.28515625" style="227" bestFit="1" customWidth="1"/>
    <col min="5624" max="5624" width="19.140625" style="227" customWidth="1"/>
    <col min="5625" max="5625" width="21.85546875" style="227" bestFit="1" customWidth="1"/>
    <col min="5626" max="5626" width="38.5703125" style="227" bestFit="1" customWidth="1"/>
    <col min="5627" max="5627" width="13.28515625" style="227" customWidth="1"/>
    <col min="5628" max="5628" width="20.5703125" style="227" customWidth="1"/>
    <col min="5629" max="5629" width="13.7109375" style="227" customWidth="1"/>
    <col min="5630" max="5630" width="13.5703125" style="227" customWidth="1"/>
    <col min="5631" max="5878" width="9.140625" style="227"/>
    <col min="5879" max="5879" width="54.28515625" style="227" bestFit="1" customWidth="1"/>
    <col min="5880" max="5880" width="19.140625" style="227" customWidth="1"/>
    <col min="5881" max="5881" width="21.85546875" style="227" bestFit="1" customWidth="1"/>
    <col min="5882" max="5882" width="38.5703125" style="227" bestFit="1" customWidth="1"/>
    <col min="5883" max="5883" width="13.28515625" style="227" customWidth="1"/>
    <col min="5884" max="5884" width="20.5703125" style="227" customWidth="1"/>
    <col min="5885" max="5885" width="13.7109375" style="227" customWidth="1"/>
    <col min="5886" max="5886" width="13.5703125" style="227" customWidth="1"/>
    <col min="5887" max="6134" width="9.140625" style="227"/>
    <col min="6135" max="6135" width="54.28515625" style="227" bestFit="1" customWidth="1"/>
    <col min="6136" max="6136" width="19.140625" style="227" customWidth="1"/>
    <col min="6137" max="6137" width="21.85546875" style="227" bestFit="1" customWidth="1"/>
    <col min="6138" max="6138" width="38.5703125" style="227" bestFit="1" customWidth="1"/>
    <col min="6139" max="6139" width="13.28515625" style="227" customWidth="1"/>
    <col min="6140" max="6140" width="20.5703125" style="227" customWidth="1"/>
    <col min="6141" max="6141" width="13.7109375" style="227" customWidth="1"/>
    <col min="6142" max="6142" width="13.5703125" style="227" customWidth="1"/>
    <col min="6143" max="6390" width="9.140625" style="227"/>
    <col min="6391" max="6391" width="54.28515625" style="227" bestFit="1" customWidth="1"/>
    <col min="6392" max="6392" width="19.140625" style="227" customWidth="1"/>
    <col min="6393" max="6393" width="21.85546875" style="227" bestFit="1" customWidth="1"/>
    <col min="6394" max="6394" width="38.5703125" style="227" bestFit="1" customWidth="1"/>
    <col min="6395" max="6395" width="13.28515625" style="227" customWidth="1"/>
    <col min="6396" max="6396" width="20.5703125" style="227" customWidth="1"/>
    <col min="6397" max="6397" width="13.7109375" style="227" customWidth="1"/>
    <col min="6398" max="6398" width="13.5703125" style="227" customWidth="1"/>
    <col min="6399" max="6646" width="9.140625" style="227"/>
    <col min="6647" max="6647" width="54.28515625" style="227" bestFit="1" customWidth="1"/>
    <col min="6648" max="6648" width="19.140625" style="227" customWidth="1"/>
    <col min="6649" max="6649" width="21.85546875" style="227" bestFit="1" customWidth="1"/>
    <col min="6650" max="6650" width="38.5703125" style="227" bestFit="1" customWidth="1"/>
    <col min="6651" max="6651" width="13.28515625" style="227" customWidth="1"/>
    <col min="6652" max="6652" width="20.5703125" style="227" customWidth="1"/>
    <col min="6653" max="6653" width="13.7109375" style="227" customWidth="1"/>
    <col min="6654" max="6654" width="13.5703125" style="227" customWidth="1"/>
    <col min="6655" max="6902" width="9.140625" style="227"/>
    <col min="6903" max="6903" width="54.28515625" style="227" bestFit="1" customWidth="1"/>
    <col min="6904" max="6904" width="19.140625" style="227" customWidth="1"/>
    <col min="6905" max="6905" width="21.85546875" style="227" bestFit="1" customWidth="1"/>
    <col min="6906" max="6906" width="38.5703125" style="227" bestFit="1" customWidth="1"/>
    <col min="6907" max="6907" width="13.28515625" style="227" customWidth="1"/>
    <col min="6908" max="6908" width="20.5703125" style="227" customWidth="1"/>
    <col min="6909" max="6909" width="13.7109375" style="227" customWidth="1"/>
    <col min="6910" max="6910" width="13.5703125" style="227" customWidth="1"/>
    <col min="6911" max="7158" width="9.140625" style="227"/>
    <col min="7159" max="7159" width="54.28515625" style="227" bestFit="1" customWidth="1"/>
    <col min="7160" max="7160" width="19.140625" style="227" customWidth="1"/>
    <col min="7161" max="7161" width="21.85546875" style="227" bestFit="1" customWidth="1"/>
    <col min="7162" max="7162" width="38.5703125" style="227" bestFit="1" customWidth="1"/>
    <col min="7163" max="7163" width="13.28515625" style="227" customWidth="1"/>
    <col min="7164" max="7164" width="20.5703125" style="227" customWidth="1"/>
    <col min="7165" max="7165" width="13.7109375" style="227" customWidth="1"/>
    <col min="7166" max="7166" width="13.5703125" style="227" customWidth="1"/>
    <col min="7167" max="7414" width="9.140625" style="227"/>
    <col min="7415" max="7415" width="54.28515625" style="227" bestFit="1" customWidth="1"/>
    <col min="7416" max="7416" width="19.140625" style="227" customWidth="1"/>
    <col min="7417" max="7417" width="21.85546875" style="227" bestFit="1" customWidth="1"/>
    <col min="7418" max="7418" width="38.5703125" style="227" bestFit="1" customWidth="1"/>
    <col min="7419" max="7419" width="13.28515625" style="227" customWidth="1"/>
    <col min="7420" max="7420" width="20.5703125" style="227" customWidth="1"/>
    <col min="7421" max="7421" width="13.7109375" style="227" customWidth="1"/>
    <col min="7422" max="7422" width="13.5703125" style="227" customWidth="1"/>
    <col min="7423" max="7670" width="9.140625" style="227"/>
    <col min="7671" max="7671" width="54.28515625" style="227" bestFit="1" customWidth="1"/>
    <col min="7672" max="7672" width="19.140625" style="227" customWidth="1"/>
    <col min="7673" max="7673" width="21.85546875" style="227" bestFit="1" customWidth="1"/>
    <col min="7674" max="7674" width="38.5703125" style="227" bestFit="1" customWidth="1"/>
    <col min="7675" max="7675" width="13.28515625" style="227" customWidth="1"/>
    <col min="7676" max="7676" width="20.5703125" style="227" customWidth="1"/>
    <col min="7677" max="7677" width="13.7109375" style="227" customWidth="1"/>
    <col min="7678" max="7678" width="13.5703125" style="227" customWidth="1"/>
    <col min="7679" max="7926" width="9.140625" style="227"/>
    <col min="7927" max="7927" width="54.28515625" style="227" bestFit="1" customWidth="1"/>
    <col min="7928" max="7928" width="19.140625" style="227" customWidth="1"/>
    <col min="7929" max="7929" width="21.85546875" style="227" bestFit="1" customWidth="1"/>
    <col min="7930" max="7930" width="38.5703125" style="227" bestFit="1" customWidth="1"/>
    <col min="7931" max="7931" width="13.28515625" style="227" customWidth="1"/>
    <col min="7932" max="7932" width="20.5703125" style="227" customWidth="1"/>
    <col min="7933" max="7933" width="13.7109375" style="227" customWidth="1"/>
    <col min="7934" max="7934" width="13.5703125" style="227" customWidth="1"/>
    <col min="7935" max="8182" width="9.140625" style="227"/>
    <col min="8183" max="8183" width="54.28515625" style="227" bestFit="1" customWidth="1"/>
    <col min="8184" max="8184" width="19.140625" style="227" customWidth="1"/>
    <col min="8185" max="8185" width="21.85546875" style="227" bestFit="1" customWidth="1"/>
    <col min="8186" max="8186" width="38.5703125" style="227" bestFit="1" customWidth="1"/>
    <col min="8187" max="8187" width="13.28515625" style="227" customWidth="1"/>
    <col min="8188" max="8188" width="20.5703125" style="227" customWidth="1"/>
    <col min="8189" max="8189" width="13.7109375" style="227" customWidth="1"/>
    <col min="8190" max="8190" width="13.5703125" style="227" customWidth="1"/>
    <col min="8191" max="8438" width="9.140625" style="227"/>
    <col min="8439" max="8439" width="54.28515625" style="227" bestFit="1" customWidth="1"/>
    <col min="8440" max="8440" width="19.140625" style="227" customWidth="1"/>
    <col min="8441" max="8441" width="21.85546875" style="227" bestFit="1" customWidth="1"/>
    <col min="8442" max="8442" width="38.5703125" style="227" bestFit="1" customWidth="1"/>
    <col min="8443" max="8443" width="13.28515625" style="227" customWidth="1"/>
    <col min="8444" max="8444" width="20.5703125" style="227" customWidth="1"/>
    <col min="8445" max="8445" width="13.7109375" style="227" customWidth="1"/>
    <col min="8446" max="8446" width="13.5703125" style="227" customWidth="1"/>
    <col min="8447" max="8694" width="9.140625" style="227"/>
    <col min="8695" max="8695" width="54.28515625" style="227" bestFit="1" customWidth="1"/>
    <col min="8696" max="8696" width="19.140625" style="227" customWidth="1"/>
    <col min="8697" max="8697" width="21.85546875" style="227" bestFit="1" customWidth="1"/>
    <col min="8698" max="8698" width="38.5703125" style="227" bestFit="1" customWidth="1"/>
    <col min="8699" max="8699" width="13.28515625" style="227" customWidth="1"/>
    <col min="8700" max="8700" width="20.5703125" style="227" customWidth="1"/>
    <col min="8701" max="8701" width="13.7109375" style="227" customWidth="1"/>
    <col min="8702" max="8702" width="13.5703125" style="227" customWidth="1"/>
    <col min="8703" max="8950" width="9.140625" style="227"/>
    <col min="8951" max="8951" width="54.28515625" style="227" bestFit="1" customWidth="1"/>
    <col min="8952" max="8952" width="19.140625" style="227" customWidth="1"/>
    <col min="8953" max="8953" width="21.85546875" style="227" bestFit="1" customWidth="1"/>
    <col min="8954" max="8954" width="38.5703125" style="227" bestFit="1" customWidth="1"/>
    <col min="8955" max="8955" width="13.28515625" style="227" customWidth="1"/>
    <col min="8956" max="8956" width="20.5703125" style="227" customWidth="1"/>
    <col min="8957" max="8957" width="13.7109375" style="227" customWidth="1"/>
    <col min="8958" max="8958" width="13.5703125" style="227" customWidth="1"/>
    <col min="8959" max="9206" width="9.140625" style="227"/>
    <col min="9207" max="9207" width="54.28515625" style="227" bestFit="1" customWidth="1"/>
    <col min="9208" max="9208" width="19.140625" style="227" customWidth="1"/>
    <col min="9209" max="9209" width="21.85546875" style="227" bestFit="1" customWidth="1"/>
    <col min="9210" max="9210" width="38.5703125" style="227" bestFit="1" customWidth="1"/>
    <col min="9211" max="9211" width="13.28515625" style="227" customWidth="1"/>
    <col min="9212" max="9212" width="20.5703125" style="227" customWidth="1"/>
    <col min="9213" max="9213" width="13.7109375" style="227" customWidth="1"/>
    <col min="9214" max="9214" width="13.5703125" style="227" customWidth="1"/>
    <col min="9215" max="9462" width="9.140625" style="227"/>
    <col min="9463" max="9463" width="54.28515625" style="227" bestFit="1" customWidth="1"/>
    <col min="9464" max="9464" width="19.140625" style="227" customWidth="1"/>
    <col min="9465" max="9465" width="21.85546875" style="227" bestFit="1" customWidth="1"/>
    <col min="9466" max="9466" width="38.5703125" style="227" bestFit="1" customWidth="1"/>
    <col min="9467" max="9467" width="13.28515625" style="227" customWidth="1"/>
    <col min="9468" max="9468" width="20.5703125" style="227" customWidth="1"/>
    <col min="9469" max="9469" width="13.7109375" style="227" customWidth="1"/>
    <col min="9470" max="9470" width="13.5703125" style="227" customWidth="1"/>
    <col min="9471" max="9718" width="9.140625" style="227"/>
    <col min="9719" max="9719" width="54.28515625" style="227" bestFit="1" customWidth="1"/>
    <col min="9720" max="9720" width="19.140625" style="227" customWidth="1"/>
    <col min="9721" max="9721" width="21.85546875" style="227" bestFit="1" customWidth="1"/>
    <col min="9722" max="9722" width="38.5703125" style="227" bestFit="1" customWidth="1"/>
    <col min="9723" max="9723" width="13.28515625" style="227" customWidth="1"/>
    <col min="9724" max="9724" width="20.5703125" style="227" customWidth="1"/>
    <col min="9725" max="9725" width="13.7109375" style="227" customWidth="1"/>
    <col min="9726" max="9726" width="13.5703125" style="227" customWidth="1"/>
    <col min="9727" max="9974" width="9.140625" style="227"/>
    <col min="9975" max="9975" width="54.28515625" style="227" bestFit="1" customWidth="1"/>
    <col min="9976" max="9976" width="19.140625" style="227" customWidth="1"/>
    <col min="9977" max="9977" width="21.85546875" style="227" bestFit="1" customWidth="1"/>
    <col min="9978" max="9978" width="38.5703125" style="227" bestFit="1" customWidth="1"/>
    <col min="9979" max="9979" width="13.28515625" style="227" customWidth="1"/>
    <col min="9980" max="9980" width="20.5703125" style="227" customWidth="1"/>
    <col min="9981" max="9981" width="13.7109375" style="227" customWidth="1"/>
    <col min="9982" max="9982" width="13.5703125" style="227" customWidth="1"/>
    <col min="9983" max="10230" width="9.140625" style="227"/>
    <col min="10231" max="10231" width="54.28515625" style="227" bestFit="1" customWidth="1"/>
    <col min="10232" max="10232" width="19.140625" style="227" customWidth="1"/>
    <col min="10233" max="10233" width="21.85546875" style="227" bestFit="1" customWidth="1"/>
    <col min="10234" max="10234" width="38.5703125" style="227" bestFit="1" customWidth="1"/>
    <col min="10235" max="10235" width="13.28515625" style="227" customWidth="1"/>
    <col min="10236" max="10236" width="20.5703125" style="227" customWidth="1"/>
    <col min="10237" max="10237" width="13.7109375" style="227" customWidth="1"/>
    <col min="10238" max="10238" width="13.5703125" style="227" customWidth="1"/>
    <col min="10239" max="10486" width="9.140625" style="227"/>
    <col min="10487" max="10487" width="54.28515625" style="227" bestFit="1" customWidth="1"/>
    <col min="10488" max="10488" width="19.140625" style="227" customWidth="1"/>
    <col min="10489" max="10489" width="21.85546875" style="227" bestFit="1" customWidth="1"/>
    <col min="10490" max="10490" width="38.5703125" style="227" bestFit="1" customWidth="1"/>
    <col min="10491" max="10491" width="13.28515625" style="227" customWidth="1"/>
    <col min="10492" max="10492" width="20.5703125" style="227" customWidth="1"/>
    <col min="10493" max="10493" width="13.7109375" style="227" customWidth="1"/>
    <col min="10494" max="10494" width="13.5703125" style="227" customWidth="1"/>
    <col min="10495" max="10742" width="9.140625" style="227"/>
    <col min="10743" max="10743" width="54.28515625" style="227" bestFit="1" customWidth="1"/>
    <col min="10744" max="10744" width="19.140625" style="227" customWidth="1"/>
    <col min="10745" max="10745" width="21.85546875" style="227" bestFit="1" customWidth="1"/>
    <col min="10746" max="10746" width="38.5703125" style="227" bestFit="1" customWidth="1"/>
    <col min="10747" max="10747" width="13.28515625" style="227" customWidth="1"/>
    <col min="10748" max="10748" width="20.5703125" style="227" customWidth="1"/>
    <col min="10749" max="10749" width="13.7109375" style="227" customWidth="1"/>
    <col min="10750" max="10750" width="13.5703125" style="227" customWidth="1"/>
    <col min="10751" max="10998" width="9.140625" style="227"/>
    <col min="10999" max="10999" width="54.28515625" style="227" bestFit="1" customWidth="1"/>
    <col min="11000" max="11000" width="19.140625" style="227" customWidth="1"/>
    <col min="11001" max="11001" width="21.85546875" style="227" bestFit="1" customWidth="1"/>
    <col min="11002" max="11002" width="38.5703125" style="227" bestFit="1" customWidth="1"/>
    <col min="11003" max="11003" width="13.28515625" style="227" customWidth="1"/>
    <col min="11004" max="11004" width="20.5703125" style="227" customWidth="1"/>
    <col min="11005" max="11005" width="13.7109375" style="227" customWidth="1"/>
    <col min="11006" max="11006" width="13.5703125" style="227" customWidth="1"/>
    <col min="11007" max="11254" width="9.140625" style="227"/>
    <col min="11255" max="11255" width="54.28515625" style="227" bestFit="1" customWidth="1"/>
    <col min="11256" max="11256" width="19.140625" style="227" customWidth="1"/>
    <col min="11257" max="11257" width="21.85546875" style="227" bestFit="1" customWidth="1"/>
    <col min="11258" max="11258" width="38.5703125" style="227" bestFit="1" customWidth="1"/>
    <col min="11259" max="11259" width="13.28515625" style="227" customWidth="1"/>
    <col min="11260" max="11260" width="20.5703125" style="227" customWidth="1"/>
    <col min="11261" max="11261" width="13.7109375" style="227" customWidth="1"/>
    <col min="11262" max="11262" width="13.5703125" style="227" customWidth="1"/>
    <col min="11263" max="11510" width="9.140625" style="227"/>
    <col min="11511" max="11511" width="54.28515625" style="227" bestFit="1" customWidth="1"/>
    <col min="11512" max="11512" width="19.140625" style="227" customWidth="1"/>
    <col min="11513" max="11513" width="21.85546875" style="227" bestFit="1" customWidth="1"/>
    <col min="11514" max="11514" width="38.5703125" style="227" bestFit="1" customWidth="1"/>
    <col min="11515" max="11515" width="13.28515625" style="227" customWidth="1"/>
    <col min="11516" max="11516" width="20.5703125" style="227" customWidth="1"/>
    <col min="11517" max="11517" width="13.7109375" style="227" customWidth="1"/>
    <col min="11518" max="11518" width="13.5703125" style="227" customWidth="1"/>
    <col min="11519" max="11766" width="9.140625" style="227"/>
    <col min="11767" max="11767" width="54.28515625" style="227" bestFit="1" customWidth="1"/>
    <col min="11768" max="11768" width="19.140625" style="227" customWidth="1"/>
    <col min="11769" max="11769" width="21.85546875" style="227" bestFit="1" customWidth="1"/>
    <col min="11770" max="11770" width="38.5703125" style="227" bestFit="1" customWidth="1"/>
    <col min="11771" max="11771" width="13.28515625" style="227" customWidth="1"/>
    <col min="11772" max="11772" width="20.5703125" style="227" customWidth="1"/>
    <col min="11773" max="11773" width="13.7109375" style="227" customWidth="1"/>
    <col min="11774" max="11774" width="13.5703125" style="227" customWidth="1"/>
    <col min="11775" max="12022" width="9.140625" style="227"/>
    <col min="12023" max="12023" width="54.28515625" style="227" bestFit="1" customWidth="1"/>
    <col min="12024" max="12024" width="19.140625" style="227" customWidth="1"/>
    <col min="12025" max="12025" width="21.85546875" style="227" bestFit="1" customWidth="1"/>
    <col min="12026" max="12026" width="38.5703125" style="227" bestFit="1" customWidth="1"/>
    <col min="12027" max="12027" width="13.28515625" style="227" customWidth="1"/>
    <col min="12028" max="12028" width="20.5703125" style="227" customWidth="1"/>
    <col min="12029" max="12029" width="13.7109375" style="227" customWidth="1"/>
    <col min="12030" max="12030" width="13.5703125" style="227" customWidth="1"/>
    <col min="12031" max="12278" width="9.140625" style="227"/>
    <col min="12279" max="12279" width="54.28515625" style="227" bestFit="1" customWidth="1"/>
    <col min="12280" max="12280" width="19.140625" style="227" customWidth="1"/>
    <col min="12281" max="12281" width="21.85546875" style="227" bestFit="1" customWidth="1"/>
    <col min="12282" max="12282" width="38.5703125" style="227" bestFit="1" customWidth="1"/>
    <col min="12283" max="12283" width="13.28515625" style="227" customWidth="1"/>
    <col min="12284" max="12284" width="20.5703125" style="227" customWidth="1"/>
    <col min="12285" max="12285" width="13.7109375" style="227" customWidth="1"/>
    <col min="12286" max="12286" width="13.5703125" style="227" customWidth="1"/>
    <col min="12287" max="12534" width="9.140625" style="227"/>
    <col min="12535" max="12535" width="54.28515625" style="227" bestFit="1" customWidth="1"/>
    <col min="12536" max="12536" width="19.140625" style="227" customWidth="1"/>
    <col min="12537" max="12537" width="21.85546875" style="227" bestFit="1" customWidth="1"/>
    <col min="12538" max="12538" width="38.5703125" style="227" bestFit="1" customWidth="1"/>
    <col min="12539" max="12539" width="13.28515625" style="227" customWidth="1"/>
    <col min="12540" max="12540" width="20.5703125" style="227" customWidth="1"/>
    <col min="12541" max="12541" width="13.7109375" style="227" customWidth="1"/>
    <col min="12542" max="12542" width="13.5703125" style="227" customWidth="1"/>
    <col min="12543" max="12790" width="9.140625" style="227"/>
    <col min="12791" max="12791" width="54.28515625" style="227" bestFit="1" customWidth="1"/>
    <col min="12792" max="12792" width="19.140625" style="227" customWidth="1"/>
    <col min="12793" max="12793" width="21.85546875" style="227" bestFit="1" customWidth="1"/>
    <col min="12794" max="12794" width="38.5703125" style="227" bestFit="1" customWidth="1"/>
    <col min="12795" max="12795" width="13.28515625" style="227" customWidth="1"/>
    <col min="12796" max="12796" width="20.5703125" style="227" customWidth="1"/>
    <col min="12797" max="12797" width="13.7109375" style="227" customWidth="1"/>
    <col min="12798" max="12798" width="13.5703125" style="227" customWidth="1"/>
    <col min="12799" max="13046" width="9.140625" style="227"/>
    <col min="13047" max="13047" width="54.28515625" style="227" bestFit="1" customWidth="1"/>
    <col min="13048" max="13048" width="19.140625" style="227" customWidth="1"/>
    <col min="13049" max="13049" width="21.85546875" style="227" bestFit="1" customWidth="1"/>
    <col min="13050" max="13050" width="38.5703125" style="227" bestFit="1" customWidth="1"/>
    <col min="13051" max="13051" width="13.28515625" style="227" customWidth="1"/>
    <col min="13052" max="13052" width="20.5703125" style="227" customWidth="1"/>
    <col min="13053" max="13053" width="13.7109375" style="227" customWidth="1"/>
    <col min="13054" max="13054" width="13.5703125" style="227" customWidth="1"/>
    <col min="13055" max="13302" width="9.140625" style="227"/>
    <col min="13303" max="13303" width="54.28515625" style="227" bestFit="1" customWidth="1"/>
    <col min="13304" max="13304" width="19.140625" style="227" customWidth="1"/>
    <col min="13305" max="13305" width="21.85546875" style="227" bestFit="1" customWidth="1"/>
    <col min="13306" max="13306" width="38.5703125" style="227" bestFit="1" customWidth="1"/>
    <col min="13307" max="13307" width="13.28515625" style="227" customWidth="1"/>
    <col min="13308" max="13308" width="20.5703125" style="227" customWidth="1"/>
    <col min="13309" max="13309" width="13.7109375" style="227" customWidth="1"/>
    <col min="13310" max="13310" width="13.5703125" style="227" customWidth="1"/>
    <col min="13311" max="13558" width="9.140625" style="227"/>
    <col min="13559" max="13559" width="54.28515625" style="227" bestFit="1" customWidth="1"/>
    <col min="13560" max="13560" width="19.140625" style="227" customWidth="1"/>
    <col min="13561" max="13561" width="21.85546875" style="227" bestFit="1" customWidth="1"/>
    <col min="13562" max="13562" width="38.5703125" style="227" bestFit="1" customWidth="1"/>
    <col min="13563" max="13563" width="13.28515625" style="227" customWidth="1"/>
    <col min="13564" max="13564" width="20.5703125" style="227" customWidth="1"/>
    <col min="13565" max="13565" width="13.7109375" style="227" customWidth="1"/>
    <col min="13566" max="13566" width="13.5703125" style="227" customWidth="1"/>
    <col min="13567" max="13814" width="9.140625" style="227"/>
    <col min="13815" max="13815" width="54.28515625" style="227" bestFit="1" customWidth="1"/>
    <col min="13816" max="13816" width="19.140625" style="227" customWidth="1"/>
    <col min="13817" max="13817" width="21.85546875" style="227" bestFit="1" customWidth="1"/>
    <col min="13818" max="13818" width="38.5703125" style="227" bestFit="1" customWidth="1"/>
    <col min="13819" max="13819" width="13.28515625" style="227" customWidth="1"/>
    <col min="13820" max="13820" width="20.5703125" style="227" customWidth="1"/>
    <col min="13821" max="13821" width="13.7109375" style="227" customWidth="1"/>
    <col min="13822" max="13822" width="13.5703125" style="227" customWidth="1"/>
    <col min="13823" max="14070" width="9.140625" style="227"/>
    <col min="14071" max="14071" width="54.28515625" style="227" bestFit="1" customWidth="1"/>
    <col min="14072" max="14072" width="19.140625" style="227" customWidth="1"/>
    <col min="14073" max="14073" width="21.85546875" style="227" bestFit="1" customWidth="1"/>
    <col min="14074" max="14074" width="38.5703125" style="227" bestFit="1" customWidth="1"/>
    <col min="14075" max="14075" width="13.28515625" style="227" customWidth="1"/>
    <col min="14076" max="14076" width="20.5703125" style="227" customWidth="1"/>
    <col min="14077" max="14077" width="13.7109375" style="227" customWidth="1"/>
    <col min="14078" max="14078" width="13.5703125" style="227" customWidth="1"/>
    <col min="14079" max="14326" width="9.140625" style="227"/>
    <col min="14327" max="14327" width="54.28515625" style="227" bestFit="1" customWidth="1"/>
    <col min="14328" max="14328" width="19.140625" style="227" customWidth="1"/>
    <col min="14329" max="14329" width="21.85546875" style="227" bestFit="1" customWidth="1"/>
    <col min="14330" max="14330" width="38.5703125" style="227" bestFit="1" customWidth="1"/>
    <col min="14331" max="14331" width="13.28515625" style="227" customWidth="1"/>
    <col min="14332" max="14332" width="20.5703125" style="227" customWidth="1"/>
    <col min="14333" max="14333" width="13.7109375" style="227" customWidth="1"/>
    <col min="14334" max="14334" width="13.5703125" style="227" customWidth="1"/>
    <col min="14335" max="14582" width="9.140625" style="227"/>
    <col min="14583" max="14583" width="54.28515625" style="227" bestFit="1" customWidth="1"/>
    <col min="14584" max="14584" width="19.140625" style="227" customWidth="1"/>
    <col min="14585" max="14585" width="21.85546875" style="227" bestFit="1" customWidth="1"/>
    <col min="14586" max="14586" width="38.5703125" style="227" bestFit="1" customWidth="1"/>
    <col min="14587" max="14587" width="13.28515625" style="227" customWidth="1"/>
    <col min="14588" max="14588" width="20.5703125" style="227" customWidth="1"/>
    <col min="14589" max="14589" width="13.7109375" style="227" customWidth="1"/>
    <col min="14590" max="14590" width="13.5703125" style="227" customWidth="1"/>
    <col min="14591" max="14838" width="9.140625" style="227"/>
    <col min="14839" max="14839" width="54.28515625" style="227" bestFit="1" customWidth="1"/>
    <col min="14840" max="14840" width="19.140625" style="227" customWidth="1"/>
    <col min="14841" max="14841" width="21.85546875" style="227" bestFit="1" customWidth="1"/>
    <col min="14842" max="14842" width="38.5703125" style="227" bestFit="1" customWidth="1"/>
    <col min="14843" max="14843" width="13.28515625" style="227" customWidth="1"/>
    <col min="14844" max="14844" width="20.5703125" style="227" customWidth="1"/>
    <col min="14845" max="14845" width="13.7109375" style="227" customWidth="1"/>
    <col min="14846" max="14846" width="13.5703125" style="227" customWidth="1"/>
    <col min="14847" max="15094" width="9.140625" style="227"/>
    <col min="15095" max="15095" width="54.28515625" style="227" bestFit="1" customWidth="1"/>
    <col min="15096" max="15096" width="19.140625" style="227" customWidth="1"/>
    <col min="15097" max="15097" width="21.85546875" style="227" bestFit="1" customWidth="1"/>
    <col min="15098" max="15098" width="38.5703125" style="227" bestFit="1" customWidth="1"/>
    <col min="15099" max="15099" width="13.28515625" style="227" customWidth="1"/>
    <col min="15100" max="15100" width="20.5703125" style="227" customWidth="1"/>
    <col min="15101" max="15101" width="13.7109375" style="227" customWidth="1"/>
    <col min="15102" max="15102" width="13.5703125" style="227" customWidth="1"/>
    <col min="15103" max="15350" width="9.140625" style="227"/>
    <col min="15351" max="15351" width="54.28515625" style="227" bestFit="1" customWidth="1"/>
    <col min="15352" max="15352" width="19.140625" style="227" customWidth="1"/>
    <col min="15353" max="15353" width="21.85546875" style="227" bestFit="1" customWidth="1"/>
    <col min="15354" max="15354" width="38.5703125" style="227" bestFit="1" customWidth="1"/>
    <col min="15355" max="15355" width="13.28515625" style="227" customWidth="1"/>
    <col min="15356" max="15356" width="20.5703125" style="227" customWidth="1"/>
    <col min="15357" max="15357" width="13.7109375" style="227" customWidth="1"/>
    <col min="15358" max="15358" width="13.5703125" style="227" customWidth="1"/>
    <col min="15359" max="15606" width="9.140625" style="227"/>
    <col min="15607" max="15607" width="54.28515625" style="227" bestFit="1" customWidth="1"/>
    <col min="15608" max="15608" width="19.140625" style="227" customWidth="1"/>
    <col min="15609" max="15609" width="21.85546875" style="227" bestFit="1" customWidth="1"/>
    <col min="15610" max="15610" width="38.5703125" style="227" bestFit="1" customWidth="1"/>
    <col min="15611" max="15611" width="13.28515625" style="227" customWidth="1"/>
    <col min="15612" max="15612" width="20.5703125" style="227" customWidth="1"/>
    <col min="15613" max="15613" width="13.7109375" style="227" customWidth="1"/>
    <col min="15614" max="15614" width="13.5703125" style="227" customWidth="1"/>
    <col min="15615" max="15862" width="9.140625" style="227"/>
    <col min="15863" max="15863" width="54.28515625" style="227" bestFit="1" customWidth="1"/>
    <col min="15864" max="15864" width="19.140625" style="227" customWidth="1"/>
    <col min="15865" max="15865" width="21.85546875" style="227" bestFit="1" customWidth="1"/>
    <col min="15866" max="15866" width="38.5703125" style="227" bestFit="1" customWidth="1"/>
    <col min="15867" max="15867" width="13.28515625" style="227" customWidth="1"/>
    <col min="15868" max="15868" width="20.5703125" style="227" customWidth="1"/>
    <col min="15869" max="15869" width="13.7109375" style="227" customWidth="1"/>
    <col min="15870" max="15870" width="13.5703125" style="227" customWidth="1"/>
    <col min="15871" max="16118" width="9.140625" style="227"/>
    <col min="16119" max="16119" width="54.28515625" style="227" bestFit="1" customWidth="1"/>
    <col min="16120" max="16120" width="19.140625" style="227" customWidth="1"/>
    <col min="16121" max="16121" width="21.85546875" style="227" bestFit="1" customWidth="1"/>
    <col min="16122" max="16122" width="38.5703125" style="227" bestFit="1" customWidth="1"/>
    <col min="16123" max="16123" width="13.28515625" style="227" customWidth="1"/>
    <col min="16124" max="16124" width="20.5703125" style="227" customWidth="1"/>
    <col min="16125" max="16125" width="13.7109375" style="227" customWidth="1"/>
    <col min="16126" max="16126" width="13.5703125" style="227" customWidth="1"/>
    <col min="16127" max="16384" width="9.140625" style="227"/>
  </cols>
  <sheetData>
    <row r="1" spans="1:7" ht="18" x14ac:dyDescent="0.25">
      <c r="A1" s="290" t="s">
        <v>3971</v>
      </c>
    </row>
    <row r="2" spans="1:7" ht="20.25" thickBot="1" x14ac:dyDescent="0.35">
      <c r="A2" s="332" t="s">
        <v>3970</v>
      </c>
      <c r="C2" s="290"/>
    </row>
    <row r="3" spans="1:7" ht="13.5" thickTop="1" x14ac:dyDescent="0.2">
      <c r="A3" s="278" t="s">
        <v>3957</v>
      </c>
    </row>
    <row r="4" spans="1:7" ht="38.25" x14ac:dyDescent="0.2">
      <c r="A4" s="261" t="s">
        <v>3960</v>
      </c>
      <c r="B4" s="261" t="s">
        <v>2756</v>
      </c>
      <c r="C4" s="298" t="s">
        <v>2766</v>
      </c>
      <c r="D4" s="261" t="s">
        <v>3945</v>
      </c>
      <c r="E4" s="261" t="s">
        <v>3944</v>
      </c>
      <c r="F4" s="260" t="s">
        <v>3955</v>
      </c>
      <c r="G4" s="260" t="s">
        <v>3961</v>
      </c>
    </row>
    <row r="5" spans="1:7" x14ac:dyDescent="0.2">
      <c r="A5" s="296" t="s">
        <v>737</v>
      </c>
      <c r="B5" s="295" t="s">
        <v>736</v>
      </c>
      <c r="C5" s="254">
        <f>SUMIF('Staff data'!$D:$D,$B5,'Staff data'!$N:$N)</f>
        <v>0.93174995609801214</v>
      </c>
      <c r="D5" s="270">
        <f>+$H$55</f>
        <v>76</v>
      </c>
      <c r="E5" s="325">
        <f>D5/D7</f>
        <v>9.7435897435897437E-2</v>
      </c>
      <c r="F5" s="254">
        <f>C5*E5</f>
        <v>9.078589315826785E-2</v>
      </c>
      <c r="G5" s="254">
        <f>+C5*(D5/($D$5+$D$73))</f>
        <v>0.16583839968020825</v>
      </c>
    </row>
    <row r="6" spans="1:7" x14ac:dyDescent="0.2">
      <c r="A6" s="296" t="s">
        <v>779</v>
      </c>
      <c r="B6" s="295" t="s">
        <v>778</v>
      </c>
      <c r="C6" s="254">
        <f>SUMIF('Staff data'!$D:$D,$B6,'Staff data'!$N:$N)</f>
        <v>0.93048911087473352</v>
      </c>
      <c r="D6" s="276">
        <f>+$H$59</f>
        <v>704</v>
      </c>
      <c r="E6" s="325">
        <f>D6/D7</f>
        <v>0.90256410256410258</v>
      </c>
      <c r="F6" s="254">
        <f>C6*E6</f>
        <v>0.83982606930232362</v>
      </c>
      <c r="G6" s="254">
        <f>+C6</f>
        <v>0.93048911087473352</v>
      </c>
    </row>
    <row r="7" spans="1:7" x14ac:dyDescent="0.2">
      <c r="A7" s="232" t="s">
        <v>3926</v>
      </c>
      <c r="B7" s="267"/>
      <c r="C7" s="254"/>
      <c r="D7" s="270">
        <f>SUM(D5:D6)</f>
        <v>780</v>
      </c>
      <c r="E7" s="284">
        <f>SUM(E5:E6)</f>
        <v>1</v>
      </c>
      <c r="F7" s="271">
        <f>SUM(F5:F6)</f>
        <v>0.93061196246059152</v>
      </c>
      <c r="G7" s="232"/>
    </row>
    <row r="8" spans="1:7" x14ac:dyDescent="0.2">
      <c r="A8" s="282"/>
      <c r="B8" s="283"/>
      <c r="C8" s="287"/>
      <c r="D8" s="282"/>
      <c r="E8" s="283"/>
      <c r="F8" s="281"/>
    </row>
    <row r="9" spans="1:7" x14ac:dyDescent="0.2">
      <c r="B9" s="262"/>
      <c r="C9" s="245"/>
      <c r="E9" s="262"/>
      <c r="F9" s="245"/>
    </row>
    <row r="10" spans="1:7" x14ac:dyDescent="0.2">
      <c r="A10" s="278" t="s">
        <v>3954</v>
      </c>
      <c r="B10" s="262"/>
      <c r="C10" s="245"/>
      <c r="E10" s="262"/>
      <c r="F10" s="245"/>
    </row>
    <row r="11" spans="1:7" ht="51" x14ac:dyDescent="0.2">
      <c r="A11" s="261" t="s">
        <v>3960</v>
      </c>
      <c r="B11" s="261" t="s">
        <v>2756</v>
      </c>
      <c r="C11" s="298" t="s">
        <v>527</v>
      </c>
      <c r="D11" s="261" t="s">
        <v>3945</v>
      </c>
      <c r="E11" s="261" t="s">
        <v>3944</v>
      </c>
      <c r="F11" s="288" t="s">
        <v>3952</v>
      </c>
      <c r="G11" s="288" t="s">
        <v>3959</v>
      </c>
    </row>
    <row r="12" spans="1:7" ht="25.5" customHeight="1" x14ac:dyDescent="0.2">
      <c r="A12" s="296" t="s">
        <v>737</v>
      </c>
      <c r="B12" s="295" t="s">
        <v>736</v>
      </c>
      <c r="C12" s="254">
        <f>VLOOKUP($B12,'Buildings data'!$D$2:$K$755,8,FALSE)</f>
        <v>0.91550049923798604</v>
      </c>
      <c r="D12" s="270">
        <f>+$H$55</f>
        <v>76</v>
      </c>
      <c r="E12" s="325">
        <f>D12/D14</f>
        <v>9.7435897435897437E-2</v>
      </c>
      <c r="F12" s="254">
        <f>C12*E12</f>
        <v>8.9202612746265314E-2</v>
      </c>
      <c r="G12" s="254">
        <f>+C12*(D12/($D$12+$D$76))</f>
        <v>0.16294622468872819</v>
      </c>
    </row>
    <row r="13" spans="1:7" x14ac:dyDescent="0.2">
      <c r="A13" s="296" t="s">
        <v>779</v>
      </c>
      <c r="B13" s="295" t="s">
        <v>778</v>
      </c>
      <c r="C13" s="254">
        <f>VLOOKUP($B13,'Buildings data'!$D$2:$K$755,8,FALSE)</f>
        <v>0.92545159162100765</v>
      </c>
      <c r="D13" s="276">
        <f>+$H$59</f>
        <v>704</v>
      </c>
      <c r="E13" s="325">
        <f>D13/D14</f>
        <v>0.90256410256410258</v>
      </c>
      <c r="F13" s="254">
        <f>C13*E13</f>
        <v>0.8352793852579351</v>
      </c>
      <c r="G13" s="254">
        <f>+C13</f>
        <v>0.92545159162100765</v>
      </c>
    </row>
    <row r="14" spans="1:7" x14ac:dyDescent="0.2">
      <c r="A14" s="232" t="s">
        <v>3926</v>
      </c>
      <c r="B14" s="267"/>
      <c r="C14" s="254"/>
      <c r="D14" s="270">
        <f>SUM(D12:D13)</f>
        <v>780</v>
      </c>
      <c r="E14" s="284">
        <f>SUM(E12:E13)</f>
        <v>1</v>
      </c>
      <c r="F14" s="271">
        <f>SUM(F12:F13)</f>
        <v>0.92448199800420039</v>
      </c>
      <c r="G14" s="232"/>
    </row>
    <row r="15" spans="1:7" x14ac:dyDescent="0.2">
      <c r="A15" s="282"/>
      <c r="B15" s="283"/>
      <c r="C15" s="287"/>
      <c r="D15" s="282"/>
      <c r="E15" s="282"/>
      <c r="F15" s="281"/>
    </row>
    <row r="16" spans="1:7" x14ac:dyDescent="0.2">
      <c r="B16" s="262"/>
      <c r="C16" s="245"/>
    </row>
    <row r="17" spans="1:9" x14ac:dyDescent="0.2">
      <c r="A17" s="278" t="s">
        <v>2735</v>
      </c>
      <c r="B17" s="262"/>
      <c r="C17" s="245"/>
    </row>
    <row r="18" spans="1:9" ht="25.5" x14ac:dyDescent="0.2">
      <c r="A18" s="261" t="s">
        <v>3886</v>
      </c>
      <c r="B18" s="261" t="s">
        <v>3573</v>
      </c>
      <c r="C18" s="286" t="s">
        <v>3951</v>
      </c>
      <c r="D18" s="261" t="s">
        <v>3945</v>
      </c>
      <c r="E18" s="261" t="s">
        <v>3944</v>
      </c>
      <c r="F18" s="260" t="s">
        <v>3950</v>
      </c>
    </row>
    <row r="19" spans="1:9" x14ac:dyDescent="0.2">
      <c r="A19" s="331" t="s">
        <v>396</v>
      </c>
      <c r="B19" s="330" t="s">
        <v>395</v>
      </c>
      <c r="C19" s="254">
        <f>VLOOKUP($B19,'M&amp;D data'!$C$13:$G$234,5,FALSE)</f>
        <v>0.99619990923086066</v>
      </c>
      <c r="D19" s="270">
        <f>+$H$55</f>
        <v>76</v>
      </c>
      <c r="E19" s="325">
        <f>D19/D21</f>
        <v>9.7435897435897437E-2</v>
      </c>
      <c r="F19" s="254">
        <f>+E19*C19</f>
        <v>9.7065632181468478E-2</v>
      </c>
    </row>
    <row r="20" spans="1:9" x14ac:dyDescent="0.2">
      <c r="A20" s="331" t="s">
        <v>3871</v>
      </c>
      <c r="B20" s="330" t="s">
        <v>3870</v>
      </c>
      <c r="C20" s="254">
        <f>VLOOKUP($B20,'M&amp;D data'!$C$13:$G$234,5,FALSE)</f>
        <v>0.99619990923086066</v>
      </c>
      <c r="D20" s="276">
        <f>+$H$59</f>
        <v>704</v>
      </c>
      <c r="E20" s="325">
        <f>D20/D21</f>
        <v>0.90256410256410258</v>
      </c>
      <c r="F20" s="254">
        <f>+E20*C20</f>
        <v>0.89913427704939219</v>
      </c>
    </row>
    <row r="21" spans="1:9" x14ac:dyDescent="0.2">
      <c r="A21" s="232" t="s">
        <v>3926</v>
      </c>
      <c r="B21" s="267"/>
      <c r="C21" s="232"/>
      <c r="D21" s="270">
        <f>SUM(D19:D20)</f>
        <v>780</v>
      </c>
      <c r="E21" s="284">
        <f>SUM(E19:E20)</f>
        <v>1</v>
      </c>
      <c r="F21" s="271">
        <f>SUM(F19:F20)</f>
        <v>0.99619990923086066</v>
      </c>
    </row>
    <row r="22" spans="1:9" x14ac:dyDescent="0.2">
      <c r="A22" s="282"/>
      <c r="B22" s="283"/>
      <c r="C22" s="282"/>
      <c r="D22" s="281"/>
      <c r="E22" s="280" t="s">
        <v>3931</v>
      </c>
      <c r="F22" s="329">
        <f>SUMPRODUCT(E19:E20,C19:C20)-F21</f>
        <v>0</v>
      </c>
    </row>
    <row r="23" spans="1:9" x14ac:dyDescent="0.2">
      <c r="B23" s="262"/>
    </row>
    <row r="24" spans="1:9" x14ac:dyDescent="0.2">
      <c r="A24" s="278" t="s">
        <v>2733</v>
      </c>
      <c r="B24" s="262"/>
    </row>
    <row r="25" spans="1:9" ht="38.25" x14ac:dyDescent="0.2">
      <c r="A25" s="261" t="s">
        <v>3960</v>
      </c>
      <c r="B25" s="261" t="s">
        <v>2756</v>
      </c>
      <c r="C25" s="260" t="s">
        <v>3949</v>
      </c>
      <c r="D25" s="260" t="s">
        <v>3948</v>
      </c>
      <c r="E25" s="260" t="s">
        <v>3947</v>
      </c>
      <c r="F25" s="244" t="s">
        <v>3946</v>
      </c>
      <c r="G25" s="244" t="s">
        <v>3945</v>
      </c>
      <c r="H25" s="277" t="s">
        <v>3944</v>
      </c>
      <c r="I25" s="244" t="s">
        <v>3943</v>
      </c>
    </row>
    <row r="26" spans="1:9" x14ac:dyDescent="0.2">
      <c r="A26" s="292" t="s">
        <v>737</v>
      </c>
      <c r="B26" s="293" t="s">
        <v>736</v>
      </c>
      <c r="C26" s="328">
        <f>+'RJD ERIC 2008|09'!E81</f>
        <v>3.5</v>
      </c>
      <c r="D26" s="322">
        <f>+B66/1000</f>
        <v>4000</v>
      </c>
      <c r="E26" s="270">
        <f>D26/C26</f>
        <v>1142.8571428571429</v>
      </c>
      <c r="F26" s="232"/>
      <c r="G26" s="322">
        <f>+H55</f>
        <v>76</v>
      </c>
      <c r="H26" s="325">
        <f>G26/G28</f>
        <v>9.7435897435897437E-2</v>
      </c>
      <c r="I26" s="274">
        <f>E26/E29</f>
        <v>1.0075071139812095</v>
      </c>
    </row>
    <row r="27" spans="1:9" x14ac:dyDescent="0.2">
      <c r="A27" s="296" t="s">
        <v>2156</v>
      </c>
      <c r="B27" s="295" t="s">
        <v>3870</v>
      </c>
      <c r="C27" s="327">
        <f>VLOOKUP($B27,'Land data'!$B$2:$D$234,3,FALSE)</f>
        <v>23.6</v>
      </c>
      <c r="D27" s="270">
        <f>VLOOKUP($B27,'Land data'!$B$2:$E$234,4,FALSE)</f>
        <v>18469</v>
      </c>
      <c r="E27" s="270">
        <f>D27/C27</f>
        <v>782.5847457627118</v>
      </c>
      <c r="F27" s="232"/>
      <c r="G27" s="326">
        <f>+H59</f>
        <v>704</v>
      </c>
      <c r="H27" s="325">
        <f>G27/G28</f>
        <v>0.90256410256410258</v>
      </c>
      <c r="I27" s="274">
        <f>E27/E29</f>
        <v>0.68990223631796976</v>
      </c>
    </row>
    <row r="28" spans="1:9" x14ac:dyDescent="0.2">
      <c r="A28" s="257" t="s">
        <v>3926</v>
      </c>
      <c r="B28" s="273"/>
      <c r="C28" s="272">
        <f>SUM(C26:C27)</f>
        <v>27.1</v>
      </c>
      <c r="D28" s="270">
        <f>SUM(D26:D27)</f>
        <v>22469</v>
      </c>
      <c r="E28" s="270">
        <f>D28/C28</f>
        <v>829.11439114391135</v>
      </c>
      <c r="F28" s="324">
        <f>+E28/E29</f>
        <v>0.73092131645897862</v>
      </c>
      <c r="G28" s="322">
        <f>SUM(G26:G27)</f>
        <v>780</v>
      </c>
      <c r="H28" s="323">
        <f>SUM(H26:H27)</f>
        <v>1</v>
      </c>
      <c r="I28" s="268">
        <f>SUMPRODUCT(H26:H27,I26:I27)</f>
        <v>0.72084835260310598</v>
      </c>
    </row>
    <row r="29" spans="1:9" x14ac:dyDescent="0.2">
      <c r="A29" s="233" t="s">
        <v>3942</v>
      </c>
      <c r="B29" s="240"/>
      <c r="C29" s="373">
        <f>SUM('PCT data'!$M$3:$M$154)+SUM('Land data'!$D$2:$D$234)</f>
        <v>7611.3175000000019</v>
      </c>
      <c r="D29" s="322">
        <f>SUM('PCT data'!$N$3:$N$154)+SUM('Land data'!$E$2:$E$234)</f>
        <v>8633833.4000000004</v>
      </c>
      <c r="E29" s="322">
        <f>D29/C29</f>
        <v>1134.3415118341861</v>
      </c>
      <c r="F29" s="232"/>
      <c r="G29" s="233"/>
      <c r="H29" s="233"/>
      <c r="I29" s="233"/>
    </row>
    <row r="30" spans="1:9" x14ac:dyDescent="0.2">
      <c r="A30" s="228" t="s">
        <v>3941</v>
      </c>
      <c r="F30" s="264"/>
      <c r="G30" s="263"/>
    </row>
    <row r="31" spans="1:9" x14ac:dyDescent="0.2">
      <c r="A31" s="228" t="s">
        <v>3940</v>
      </c>
    </row>
    <row r="32" spans="1:9" x14ac:dyDescent="0.2">
      <c r="A32" s="228"/>
    </row>
    <row r="33" spans="1:8" x14ac:dyDescent="0.2">
      <c r="A33" s="229" t="s">
        <v>3933</v>
      </c>
    </row>
    <row r="34" spans="1:8" ht="25.5" x14ac:dyDescent="0.2">
      <c r="A34" s="261" t="s">
        <v>3939</v>
      </c>
      <c r="B34" s="260" t="s">
        <v>3938</v>
      </c>
      <c r="C34" s="260" t="s">
        <v>3937</v>
      </c>
      <c r="D34" s="260" t="s">
        <v>3936</v>
      </c>
      <c r="E34" s="260" t="s">
        <v>3927</v>
      </c>
    </row>
    <row r="35" spans="1:8" x14ac:dyDescent="0.2">
      <c r="A35" s="259" t="s">
        <v>2734</v>
      </c>
      <c r="B35" s="258">
        <f>F7</f>
        <v>0.93061196246059152</v>
      </c>
      <c r="C35" s="255">
        <f>Staff_Weight</f>
        <v>0.54914759484508857</v>
      </c>
      <c r="D35" s="254">
        <f>B35*C35</f>
        <v>0.51104332091930171</v>
      </c>
      <c r="E35" s="232"/>
    </row>
    <row r="36" spans="1:8" x14ac:dyDescent="0.2">
      <c r="A36" s="257" t="s">
        <v>3935</v>
      </c>
      <c r="B36" s="256">
        <f>F14</f>
        <v>0.92448199800420039</v>
      </c>
      <c r="C36" s="255">
        <f>Building_Weight</f>
        <v>2.6635675286214532E-2</v>
      </c>
      <c r="D36" s="254">
        <f>B36*C36</f>
        <v>2.4624202306790712E-2</v>
      </c>
      <c r="E36" s="232"/>
    </row>
    <row r="37" spans="1:8" x14ac:dyDescent="0.2">
      <c r="A37" s="257" t="s">
        <v>2735</v>
      </c>
      <c r="B37" s="256">
        <f>F21</f>
        <v>0.99619990923086066</v>
      </c>
      <c r="C37" s="255">
        <f>MnD_Weight</f>
        <v>0.13904710383678176</v>
      </c>
      <c r="D37" s="254">
        <f>B37*C37</f>
        <v>0.13851871222101605</v>
      </c>
      <c r="E37" s="232"/>
    </row>
    <row r="38" spans="1:8" x14ac:dyDescent="0.2">
      <c r="A38" s="232" t="s">
        <v>3969</v>
      </c>
      <c r="B38" s="256">
        <f>F28</f>
        <v>0.73092131645897862</v>
      </c>
      <c r="C38" s="255">
        <f>Land_Weight</f>
        <v>4.4820020140147153E-3</v>
      </c>
      <c r="D38" s="254">
        <f>B38*C38</f>
        <v>3.2759908124554292E-3</v>
      </c>
      <c r="E38" s="232"/>
    </row>
    <row r="39" spans="1:8" ht="13.5" thickBot="1" x14ac:dyDescent="0.25">
      <c r="A39" s="252" t="s">
        <v>632</v>
      </c>
      <c r="B39" s="253">
        <v>1</v>
      </c>
      <c r="C39" s="321">
        <f>Other_Weight</f>
        <v>0.28068762401790043</v>
      </c>
      <c r="D39" s="253">
        <f>B39*C39</f>
        <v>0.28068762401790043</v>
      </c>
      <c r="E39" s="252"/>
    </row>
    <row r="40" spans="1:8" ht="16.5" thickBot="1" x14ac:dyDescent="0.3">
      <c r="A40" s="251" t="s">
        <v>3933</v>
      </c>
      <c r="B40" s="250"/>
      <c r="C40" s="249">
        <f>SUM(C35:C39)</f>
        <v>1</v>
      </c>
      <c r="D40" s="248">
        <f>SUMPRODUCT(B35:B39,C35:C39)</f>
        <v>0.95814985027746435</v>
      </c>
      <c r="E40" s="247">
        <f ca="1">D40/B42</f>
        <v>1.0343565793093397</v>
      </c>
    </row>
    <row r="42" spans="1:8" x14ac:dyDescent="0.2">
      <c r="A42" s="246" t="s">
        <v>3932</v>
      </c>
      <c r="B42" s="245">
        <f ca="1">Lowest_Underlying_MFF</f>
        <v>0.92632450882387185</v>
      </c>
    </row>
    <row r="43" spans="1:8" x14ac:dyDescent="0.2">
      <c r="A43" s="229"/>
    </row>
    <row r="44" spans="1:8" x14ac:dyDescent="0.2">
      <c r="A44" s="229" t="s">
        <v>3931</v>
      </c>
    </row>
    <row r="45" spans="1:8" ht="51" x14ac:dyDescent="0.2">
      <c r="A45" s="244" t="s">
        <v>3886</v>
      </c>
      <c r="B45" s="244" t="s">
        <v>3573</v>
      </c>
      <c r="C45" s="244" t="s">
        <v>3930</v>
      </c>
      <c r="D45" s="244" t="s">
        <v>3968</v>
      </c>
      <c r="E45" s="244" t="s">
        <v>3928</v>
      </c>
      <c r="F45" s="244" t="s">
        <v>3927</v>
      </c>
      <c r="H45" s="243"/>
    </row>
    <row r="46" spans="1:8" x14ac:dyDescent="0.2">
      <c r="A46" s="235" t="str">
        <f>+A19</f>
        <v>MID STAFFORDSHIRE NHS FOUNDATION TRUST</v>
      </c>
      <c r="B46" s="234" t="str">
        <f>+B19</f>
        <v>RJD</v>
      </c>
      <c r="C46" s="239">
        <f ca="1">($C$35*($G$5+$E$73)+$C$36*($G$12+$E$76)+$C$37*$C$19+$C$38*(($D$26+$D$79+$D$80)/($C$26+$C$79+$C$80)/$E$29)+$C$39*$B$39)/$B$42</f>
        <v>1.0348666478319599</v>
      </c>
      <c r="D46" s="320">
        <f ca="1">+VLOOKUP(B46,MFF_2014_15,4,FALSE)-ROUND(C46,6)</f>
        <v>0</v>
      </c>
      <c r="E46" s="242">
        <f ca="1">INDEX('All Trusts'!$E$6:$E$261,MATCH($B46,'All Trusts'!$B$6:$B$261,0),1)-C46</f>
        <v>0</v>
      </c>
      <c r="F46" s="319"/>
    </row>
    <row r="47" spans="1:8" x14ac:dyDescent="0.2">
      <c r="A47" s="235" t="str">
        <f>+A20</f>
        <v>THE ROYAL WOLVERHAMPTON HOSPITALS NHS TRUST</v>
      </c>
      <c r="B47" s="234" t="str">
        <f>+B20</f>
        <v>RL4</v>
      </c>
      <c r="C47" s="239">
        <f ca="1">($C$35*C6+$C$36*C13+$C$37*C20+$C$38*I27+$C$39*$B$39)/$B$42</f>
        <v>1.0341131597843061</v>
      </c>
      <c r="D47" s="320">
        <f ca="1">+VLOOKUP(B47,MFF_2014_15,4,FALSE)-ROUND(C47,6)</f>
        <v>0</v>
      </c>
      <c r="E47" s="242">
        <f ca="1">INDEX('All Trusts'!$E$6:$E$261,MATCH($B47,'All Trusts'!$B$6:$B$261,0),1)-C47</f>
        <v>0</v>
      </c>
      <c r="F47" s="319"/>
    </row>
    <row r="48" spans="1:8" x14ac:dyDescent="0.2">
      <c r="A48" s="235" t="s">
        <v>3926</v>
      </c>
      <c r="B48" s="235"/>
      <c r="C48" s="233"/>
      <c r="D48" s="233"/>
      <c r="E48" s="232"/>
      <c r="F48" s="231">
        <f ca="1">ROUND(E40,6)</f>
        <v>1.034357</v>
      </c>
    </row>
    <row r="51" spans="1:8" x14ac:dyDescent="0.2">
      <c r="A51" s="229" t="s">
        <v>3925</v>
      </c>
    </row>
    <row r="52" spans="1:8" x14ac:dyDescent="0.2">
      <c r="A52" s="228" t="s">
        <v>3924</v>
      </c>
    </row>
    <row r="53" spans="1:8" ht="13.5" thickBot="1" x14ac:dyDescent="0.25">
      <c r="A53" s="227" t="s">
        <v>4154</v>
      </c>
      <c r="C53" s="368">
        <v>1</v>
      </c>
      <c r="D53" s="368">
        <f>C53+1</f>
        <v>2</v>
      </c>
      <c r="E53" s="368">
        <f t="shared" ref="E53:H53" si="0">D53+1</f>
        <v>3</v>
      </c>
      <c r="F53" s="368">
        <f t="shared" si="0"/>
        <v>4</v>
      </c>
      <c r="G53" s="368">
        <f t="shared" si="0"/>
        <v>5</v>
      </c>
      <c r="H53" s="368">
        <f t="shared" si="0"/>
        <v>6</v>
      </c>
    </row>
    <row r="54" spans="1:8" ht="26.25" thickBot="1" x14ac:dyDescent="0.25">
      <c r="A54" s="318" t="s">
        <v>3573</v>
      </c>
      <c r="B54" s="318" t="s">
        <v>2755</v>
      </c>
      <c r="C54" s="318" t="s">
        <v>2756</v>
      </c>
      <c r="D54" s="318" t="s">
        <v>2757</v>
      </c>
      <c r="E54" s="318" t="s">
        <v>2758</v>
      </c>
      <c r="F54" s="318" t="s">
        <v>2759</v>
      </c>
      <c r="G54" s="85" t="s">
        <v>2760</v>
      </c>
      <c r="H54" s="85" t="s">
        <v>3945</v>
      </c>
    </row>
    <row r="55" spans="1:8" x14ac:dyDescent="0.2">
      <c r="A55" s="316" t="s">
        <v>395</v>
      </c>
      <c r="B55" s="314" t="s">
        <v>396</v>
      </c>
      <c r="C55" s="315" t="s">
        <v>736</v>
      </c>
      <c r="D55" s="314" t="str">
        <f>VLOOKUP($C55,'Buildings data'!$D:$I,D$53,FALSE)</f>
        <v>CANNOCK CHASE HOSPITAL</v>
      </c>
      <c r="E55" s="314" t="str">
        <f>VLOOKUP($C55,'Buildings data'!$D:$I,E$53,FALSE)</f>
        <v>WS11 5XY</v>
      </c>
      <c r="F55" s="314" t="str">
        <f>VLOOKUP($C55,'Buildings data'!$D:$I,F$53,FALSE)</f>
        <v>WS115</v>
      </c>
      <c r="G55" s="314" t="str">
        <f>VLOOKUP($C55,'Buildings data'!$D:$I,G$53,FALSE)</f>
        <v>5PK</v>
      </c>
      <c r="H55" s="313">
        <f>VLOOKUP($C55,'Buildings data'!$D:$I,H$53,FALSE)</f>
        <v>76</v>
      </c>
    </row>
    <row r="56" spans="1:8" ht="13.5" thickBot="1" x14ac:dyDescent="0.25">
      <c r="A56" s="312" t="s">
        <v>395</v>
      </c>
      <c r="B56" s="310" t="s">
        <v>396</v>
      </c>
      <c r="C56" s="311" t="s">
        <v>738</v>
      </c>
      <c r="D56" s="310" t="str">
        <f>VLOOKUP($C56,'Buildings data'!$D:$I,D$53,FALSE)</f>
        <v>STAFFORDSHIRE GENERAL HOSPITAL</v>
      </c>
      <c r="E56" s="310" t="str">
        <f>VLOOKUP($C56,'Buildings data'!$D:$I,E$53,FALSE)</f>
        <v>ST16 3SA</v>
      </c>
      <c r="F56" s="310" t="str">
        <f>VLOOKUP($C56,'Buildings data'!$D:$I,F$53,FALSE)</f>
        <v>ST163</v>
      </c>
      <c r="G56" s="310" t="str">
        <f>VLOOKUP($C56,'Buildings data'!$D:$I,G$53,FALSE)</f>
        <v>5PK</v>
      </c>
      <c r="H56" s="309">
        <f>VLOOKUP($C56,'Buildings data'!$D:$I,H$53,FALSE)</f>
        <v>351</v>
      </c>
    </row>
    <row r="57" spans="1:8" x14ac:dyDescent="0.2">
      <c r="A57" s="316" t="s">
        <v>3882</v>
      </c>
      <c r="B57" s="314" t="s">
        <v>661</v>
      </c>
      <c r="C57" s="315" t="s">
        <v>740</v>
      </c>
      <c r="D57" s="314" t="str">
        <f>VLOOKUP($C57,'Buildings data'!$D:$I,D$53,FALSE)</f>
        <v>ROYAL INFIRMARY</v>
      </c>
      <c r="E57" s="314" t="str">
        <f>VLOOKUP($C57,'Buildings data'!$D:$I,E$53,FALSE)</f>
        <v>ST4 7LN</v>
      </c>
      <c r="F57" s="314" t="str">
        <f>VLOOKUP($C57,'Buildings data'!$D:$I,F$53,FALSE)</f>
        <v>ST47</v>
      </c>
      <c r="G57" s="314" t="str">
        <f>VLOOKUP($C57,'Buildings data'!$D:$I,G$53,FALSE)</f>
        <v>5PJ</v>
      </c>
      <c r="H57" s="313">
        <f>VLOOKUP($C57,'Buildings data'!$D:$I,H$53,FALSE)</f>
        <v>304</v>
      </c>
    </row>
    <row r="58" spans="1:8" ht="13.5" thickBot="1" x14ac:dyDescent="0.25">
      <c r="A58" s="312" t="s">
        <v>3882</v>
      </c>
      <c r="B58" s="310" t="s">
        <v>661</v>
      </c>
      <c r="C58" s="311" t="s">
        <v>742</v>
      </c>
      <c r="D58" s="310" t="str">
        <f>VLOOKUP($C58,'Buildings data'!$D:$I,D$53,FALSE)</f>
        <v>CITY GENERAL</v>
      </c>
      <c r="E58" s="310" t="str">
        <f>VLOOKUP($C58,'Buildings data'!$D:$I,E$53,FALSE)</f>
        <v>ST4 6QG</v>
      </c>
      <c r="F58" s="310" t="str">
        <f>VLOOKUP($C58,'Buildings data'!$D:$I,F$53,FALSE)</f>
        <v>ST46</v>
      </c>
      <c r="G58" s="310" t="str">
        <f>VLOOKUP($C58,'Buildings data'!$D:$I,G$53,FALSE)</f>
        <v>5PJ</v>
      </c>
      <c r="H58" s="309">
        <f>VLOOKUP($C58,'Buildings data'!$D:$I,H$53,FALSE)</f>
        <v>821</v>
      </c>
    </row>
    <row r="59" spans="1:8" ht="13.5" thickBot="1" x14ac:dyDescent="0.25">
      <c r="A59" s="308" t="s">
        <v>3870</v>
      </c>
      <c r="B59" s="306" t="s">
        <v>3871</v>
      </c>
      <c r="C59" s="307" t="s">
        <v>778</v>
      </c>
      <c r="D59" s="306" t="str">
        <f>VLOOKUP($C59,'Buildings data'!$D:$I,D$53,FALSE)</f>
        <v>NEW CROSS HOSPITAL</v>
      </c>
      <c r="E59" s="306" t="str">
        <f>VLOOKUP($C59,'Buildings data'!$D:$I,E$53,FALSE)</f>
        <v>WV10 0QP</v>
      </c>
      <c r="F59" s="306" t="str">
        <f>VLOOKUP($C59,'Buildings data'!$D:$I,F$53,FALSE)</f>
        <v>WV100</v>
      </c>
      <c r="G59" s="306" t="str">
        <f>VLOOKUP($C59,'Buildings data'!$D:$I,G$53,FALSE)</f>
        <v>5MV</v>
      </c>
      <c r="H59" s="305">
        <f>VLOOKUP($C59,'Buildings data'!$D:$I,H$53,FALSE)</f>
        <v>704</v>
      </c>
    </row>
    <row r="60" spans="1:8" x14ac:dyDescent="0.2">
      <c r="A60" s="304"/>
      <c r="B60" s="304"/>
      <c r="C60" s="304"/>
      <c r="D60" s="304"/>
      <c r="E60" s="304"/>
      <c r="F60" s="304"/>
      <c r="G60" s="304"/>
      <c r="H60" s="304"/>
    </row>
    <row r="61" spans="1:8" x14ac:dyDescent="0.2">
      <c r="A61" s="228" t="s">
        <v>3920</v>
      </c>
    </row>
    <row r="62" spans="1:8" x14ac:dyDescent="0.2">
      <c r="A62" s="227" t="s">
        <v>3919</v>
      </c>
    </row>
    <row r="63" spans="1:8" x14ac:dyDescent="0.2">
      <c r="A63" s="227" t="s">
        <v>3967</v>
      </c>
    </row>
    <row r="64" spans="1:8" x14ac:dyDescent="0.2">
      <c r="A64" s="227" t="s">
        <v>3966</v>
      </c>
    </row>
    <row r="65" spans="1:8" x14ac:dyDescent="0.2">
      <c r="A65" s="303" t="s">
        <v>3965</v>
      </c>
      <c r="B65" s="302">
        <v>17550000</v>
      </c>
    </row>
    <row r="66" spans="1:8" x14ac:dyDescent="0.2">
      <c r="A66" s="303" t="s">
        <v>3964</v>
      </c>
      <c r="B66" s="302">
        <v>4000000</v>
      </c>
    </row>
    <row r="67" spans="1:8" x14ac:dyDescent="0.2">
      <c r="A67" s="301" t="s">
        <v>3963</v>
      </c>
      <c r="B67" s="300">
        <f>SUM(B65:B66)</f>
        <v>21550000</v>
      </c>
    </row>
    <row r="68" spans="1:8" x14ac:dyDescent="0.2">
      <c r="A68" s="457" t="s">
        <v>4287</v>
      </c>
    </row>
    <row r="70" spans="1:8" x14ac:dyDescent="0.2">
      <c r="A70" s="228" t="s">
        <v>3962</v>
      </c>
    </row>
    <row r="71" spans="1:8" x14ac:dyDescent="0.2">
      <c r="A71" s="278" t="s">
        <v>3957</v>
      </c>
    </row>
    <row r="72" spans="1:8" ht="38.25" x14ac:dyDescent="0.2">
      <c r="A72" s="261" t="s">
        <v>3960</v>
      </c>
      <c r="B72" s="261" t="s">
        <v>2756</v>
      </c>
      <c r="C72" s="298" t="s">
        <v>2766</v>
      </c>
      <c r="D72" s="261" t="s">
        <v>3945</v>
      </c>
      <c r="E72" s="260" t="s">
        <v>3961</v>
      </c>
    </row>
    <row r="73" spans="1:8" x14ac:dyDescent="0.2">
      <c r="A73" s="296" t="s">
        <v>739</v>
      </c>
      <c r="B73" s="295" t="s">
        <v>738</v>
      </c>
      <c r="C73" s="299">
        <v>0.92842689905512021</v>
      </c>
      <c r="D73" s="270">
        <f>+$H$56</f>
        <v>351</v>
      </c>
      <c r="E73" s="232">
        <f>+C73*(D73/($D$5+$D$73))</f>
        <v>0.76317995683453677</v>
      </c>
    </row>
    <row r="74" spans="1:8" x14ac:dyDescent="0.2">
      <c r="A74" s="278" t="s">
        <v>3954</v>
      </c>
      <c r="B74" s="262"/>
      <c r="C74" s="245"/>
    </row>
    <row r="75" spans="1:8" ht="51" x14ac:dyDescent="0.2">
      <c r="A75" s="261" t="s">
        <v>3960</v>
      </c>
      <c r="B75" s="261" t="s">
        <v>2756</v>
      </c>
      <c r="C75" s="298" t="s">
        <v>527</v>
      </c>
      <c r="D75" s="297" t="s">
        <v>3945</v>
      </c>
      <c r="E75" s="288" t="s">
        <v>3959</v>
      </c>
    </row>
    <row r="76" spans="1:8" x14ac:dyDescent="0.2">
      <c r="A76" s="296" t="s">
        <v>739</v>
      </c>
      <c r="B76" s="295" t="s">
        <v>738</v>
      </c>
      <c r="C76" s="254">
        <v>0.91550049923798604</v>
      </c>
      <c r="D76" s="270">
        <f>+$H$56</f>
        <v>351</v>
      </c>
      <c r="E76" s="232">
        <f>+C76*(D76/($D$12+$D$76))</f>
        <v>0.75255427454925783</v>
      </c>
    </row>
    <row r="77" spans="1:8" x14ac:dyDescent="0.2">
      <c r="A77" s="278" t="s">
        <v>2733</v>
      </c>
      <c r="B77" s="262"/>
    </row>
    <row r="78" spans="1:8" ht="25.5" x14ac:dyDescent="0.2">
      <c r="A78" s="261" t="s">
        <v>3886</v>
      </c>
      <c r="B78" s="261" t="s">
        <v>3573</v>
      </c>
      <c r="C78" s="260" t="s">
        <v>3949</v>
      </c>
      <c r="D78" s="260" t="s">
        <v>3948</v>
      </c>
      <c r="E78" s="260" t="s">
        <v>3947</v>
      </c>
      <c r="F78" s="294"/>
    </row>
    <row r="79" spans="1:8" x14ac:dyDescent="0.2">
      <c r="A79" s="292" t="s">
        <v>739</v>
      </c>
      <c r="B79" s="293" t="s">
        <v>738</v>
      </c>
      <c r="C79" s="292">
        <f>+'RJD ERIC 2008|09'!D81</f>
        <v>13.26</v>
      </c>
      <c r="D79" s="291">
        <f>+B65/1000</f>
        <v>17550</v>
      </c>
      <c r="E79" s="265">
        <f>D79/C79</f>
        <v>1323.5294117647059</v>
      </c>
      <c r="G79" s="285"/>
      <c r="H79" s="285"/>
    </row>
    <row r="80" spans="1:8" x14ac:dyDescent="0.2">
      <c r="A80" s="233" t="str">
        <f>+'RJD ERIC 2008|09'!A71</f>
        <v>AGGREGATE SITE</v>
      </c>
      <c r="B80" s="240" t="str">
        <f>+'RJD ERIC 2008|09'!B71</f>
        <v>AGGRE</v>
      </c>
      <c r="C80" s="233">
        <f>+'RJD ERIC 2008|09'!C81</f>
        <v>0.75</v>
      </c>
      <c r="D80" s="374">
        <v>0</v>
      </c>
      <c r="E80" s="265">
        <f>D80/C80</f>
        <v>0</v>
      </c>
    </row>
  </sheetData>
  <conditionalFormatting sqref="C46:C47">
    <cfRule type="cellIs" dxfId="14" priority="1" operator="lessThan">
      <formula>$F$48</formula>
    </cfRule>
    <cfRule type="cellIs" dxfId="13" priority="2" operator="greaterThan">
      <formula>$F$48</formula>
    </cfRule>
  </conditionalFormatting>
  <pageMargins left="0.7" right="0.7" top="0.75" bottom="0.75" header="0.3" footer="0.3"/>
  <pageSetup paperSize="2058" orientation="portrait" horizontalDpi="300" verticalDpi="30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00B050"/>
  </sheetPr>
  <dimension ref="A1:I84"/>
  <sheetViews>
    <sheetView workbookViewId="0"/>
  </sheetViews>
  <sheetFormatPr defaultRowHeight="12.75" x14ac:dyDescent="0.2"/>
  <cols>
    <col min="1" max="1" width="54.28515625" style="227" bestFit="1" customWidth="1"/>
    <col min="2" max="2" width="17" style="227" customWidth="1"/>
    <col min="3" max="3" width="21.85546875" style="227" bestFit="1" customWidth="1"/>
    <col min="4" max="4" width="38.5703125" style="227" bestFit="1" customWidth="1"/>
    <col min="5" max="5" width="13.28515625" style="227" customWidth="1"/>
    <col min="6" max="6" width="20.5703125" style="227" customWidth="1"/>
    <col min="7" max="7" width="13.7109375" style="227" customWidth="1"/>
    <col min="8" max="8" width="13.5703125" style="227" customWidth="1"/>
    <col min="9" max="9" width="12" style="227" customWidth="1"/>
    <col min="10" max="245" width="9.140625" style="227"/>
    <col min="246" max="246" width="54.28515625" style="227" bestFit="1" customWidth="1"/>
    <col min="247" max="247" width="19.140625" style="227" customWidth="1"/>
    <col min="248" max="248" width="21.85546875" style="227" bestFit="1" customWidth="1"/>
    <col min="249" max="249" width="38.5703125" style="227" bestFit="1" customWidth="1"/>
    <col min="250" max="250" width="13.28515625" style="227" customWidth="1"/>
    <col min="251" max="251" width="20.5703125" style="227" customWidth="1"/>
    <col min="252" max="252" width="13.7109375" style="227" customWidth="1"/>
    <col min="253" max="253" width="13.5703125" style="227" customWidth="1"/>
    <col min="254" max="501" width="9.140625" style="227"/>
    <col min="502" max="502" width="54.28515625" style="227" bestFit="1" customWidth="1"/>
    <col min="503" max="503" width="19.140625" style="227" customWidth="1"/>
    <col min="504" max="504" width="21.85546875" style="227" bestFit="1" customWidth="1"/>
    <col min="505" max="505" width="38.5703125" style="227" bestFit="1" customWidth="1"/>
    <col min="506" max="506" width="13.28515625" style="227" customWidth="1"/>
    <col min="507" max="507" width="20.5703125" style="227" customWidth="1"/>
    <col min="508" max="508" width="13.7109375" style="227" customWidth="1"/>
    <col min="509" max="509" width="13.5703125" style="227" customWidth="1"/>
    <col min="510" max="757" width="9.140625" style="227"/>
    <col min="758" max="758" width="54.28515625" style="227" bestFit="1" customWidth="1"/>
    <col min="759" max="759" width="19.140625" style="227" customWidth="1"/>
    <col min="760" max="760" width="21.85546875" style="227" bestFit="1" customWidth="1"/>
    <col min="761" max="761" width="38.5703125" style="227" bestFit="1" customWidth="1"/>
    <col min="762" max="762" width="13.28515625" style="227" customWidth="1"/>
    <col min="763" max="763" width="20.5703125" style="227" customWidth="1"/>
    <col min="764" max="764" width="13.7109375" style="227" customWidth="1"/>
    <col min="765" max="765" width="13.5703125" style="227" customWidth="1"/>
    <col min="766" max="1013" width="9.140625" style="227"/>
    <col min="1014" max="1014" width="54.28515625" style="227" bestFit="1" customWidth="1"/>
    <col min="1015" max="1015" width="19.140625" style="227" customWidth="1"/>
    <col min="1016" max="1016" width="21.85546875" style="227" bestFit="1" customWidth="1"/>
    <col min="1017" max="1017" width="38.5703125" style="227" bestFit="1" customWidth="1"/>
    <col min="1018" max="1018" width="13.28515625" style="227" customWidth="1"/>
    <col min="1019" max="1019" width="20.5703125" style="227" customWidth="1"/>
    <col min="1020" max="1020" width="13.7109375" style="227" customWidth="1"/>
    <col min="1021" max="1021" width="13.5703125" style="227" customWidth="1"/>
    <col min="1022" max="1269" width="9.140625" style="227"/>
    <col min="1270" max="1270" width="54.28515625" style="227" bestFit="1" customWidth="1"/>
    <col min="1271" max="1271" width="19.140625" style="227" customWidth="1"/>
    <col min="1272" max="1272" width="21.85546875" style="227" bestFit="1" customWidth="1"/>
    <col min="1273" max="1273" width="38.5703125" style="227" bestFit="1" customWidth="1"/>
    <col min="1274" max="1274" width="13.28515625" style="227" customWidth="1"/>
    <col min="1275" max="1275" width="20.5703125" style="227" customWidth="1"/>
    <col min="1276" max="1276" width="13.7109375" style="227" customWidth="1"/>
    <col min="1277" max="1277" width="13.5703125" style="227" customWidth="1"/>
    <col min="1278" max="1525" width="9.140625" style="227"/>
    <col min="1526" max="1526" width="54.28515625" style="227" bestFit="1" customWidth="1"/>
    <col min="1527" max="1527" width="19.140625" style="227" customWidth="1"/>
    <col min="1528" max="1528" width="21.85546875" style="227" bestFit="1" customWidth="1"/>
    <col min="1529" max="1529" width="38.5703125" style="227" bestFit="1" customWidth="1"/>
    <col min="1530" max="1530" width="13.28515625" style="227" customWidth="1"/>
    <col min="1531" max="1531" width="20.5703125" style="227" customWidth="1"/>
    <col min="1532" max="1532" width="13.7109375" style="227" customWidth="1"/>
    <col min="1533" max="1533" width="13.5703125" style="227" customWidth="1"/>
    <col min="1534" max="1781" width="9.140625" style="227"/>
    <col min="1782" max="1782" width="54.28515625" style="227" bestFit="1" customWidth="1"/>
    <col min="1783" max="1783" width="19.140625" style="227" customWidth="1"/>
    <col min="1784" max="1784" width="21.85546875" style="227" bestFit="1" customWidth="1"/>
    <col min="1785" max="1785" width="38.5703125" style="227" bestFit="1" customWidth="1"/>
    <col min="1786" max="1786" width="13.28515625" style="227" customWidth="1"/>
    <col min="1787" max="1787" width="20.5703125" style="227" customWidth="1"/>
    <col min="1788" max="1788" width="13.7109375" style="227" customWidth="1"/>
    <col min="1789" max="1789" width="13.5703125" style="227" customWidth="1"/>
    <col min="1790" max="2037" width="9.140625" style="227"/>
    <col min="2038" max="2038" width="54.28515625" style="227" bestFit="1" customWidth="1"/>
    <col min="2039" max="2039" width="19.140625" style="227" customWidth="1"/>
    <col min="2040" max="2040" width="21.85546875" style="227" bestFit="1" customWidth="1"/>
    <col min="2041" max="2041" width="38.5703125" style="227" bestFit="1" customWidth="1"/>
    <col min="2042" max="2042" width="13.28515625" style="227" customWidth="1"/>
    <col min="2043" max="2043" width="20.5703125" style="227" customWidth="1"/>
    <col min="2044" max="2044" width="13.7109375" style="227" customWidth="1"/>
    <col min="2045" max="2045" width="13.5703125" style="227" customWidth="1"/>
    <col min="2046" max="2293" width="9.140625" style="227"/>
    <col min="2294" max="2294" width="54.28515625" style="227" bestFit="1" customWidth="1"/>
    <col min="2295" max="2295" width="19.140625" style="227" customWidth="1"/>
    <col min="2296" max="2296" width="21.85546875" style="227" bestFit="1" customWidth="1"/>
    <col min="2297" max="2297" width="38.5703125" style="227" bestFit="1" customWidth="1"/>
    <col min="2298" max="2298" width="13.28515625" style="227" customWidth="1"/>
    <col min="2299" max="2299" width="20.5703125" style="227" customWidth="1"/>
    <col min="2300" max="2300" width="13.7109375" style="227" customWidth="1"/>
    <col min="2301" max="2301" width="13.5703125" style="227" customWidth="1"/>
    <col min="2302" max="2549" width="9.140625" style="227"/>
    <col min="2550" max="2550" width="54.28515625" style="227" bestFit="1" customWidth="1"/>
    <col min="2551" max="2551" width="19.140625" style="227" customWidth="1"/>
    <col min="2552" max="2552" width="21.85546875" style="227" bestFit="1" customWidth="1"/>
    <col min="2553" max="2553" width="38.5703125" style="227" bestFit="1" customWidth="1"/>
    <col min="2554" max="2554" width="13.28515625" style="227" customWidth="1"/>
    <col min="2555" max="2555" width="20.5703125" style="227" customWidth="1"/>
    <col min="2556" max="2556" width="13.7109375" style="227" customWidth="1"/>
    <col min="2557" max="2557" width="13.5703125" style="227" customWidth="1"/>
    <col min="2558" max="2805" width="9.140625" style="227"/>
    <col min="2806" max="2806" width="54.28515625" style="227" bestFit="1" customWidth="1"/>
    <col min="2807" max="2807" width="19.140625" style="227" customWidth="1"/>
    <col min="2808" max="2808" width="21.85546875" style="227" bestFit="1" customWidth="1"/>
    <col min="2809" max="2809" width="38.5703125" style="227" bestFit="1" customWidth="1"/>
    <col min="2810" max="2810" width="13.28515625" style="227" customWidth="1"/>
    <col min="2811" max="2811" width="20.5703125" style="227" customWidth="1"/>
    <col min="2812" max="2812" width="13.7109375" style="227" customWidth="1"/>
    <col min="2813" max="2813" width="13.5703125" style="227" customWidth="1"/>
    <col min="2814" max="3061" width="9.140625" style="227"/>
    <col min="3062" max="3062" width="54.28515625" style="227" bestFit="1" customWidth="1"/>
    <col min="3063" max="3063" width="19.140625" style="227" customWidth="1"/>
    <col min="3064" max="3064" width="21.85546875" style="227" bestFit="1" customWidth="1"/>
    <col min="3065" max="3065" width="38.5703125" style="227" bestFit="1" customWidth="1"/>
    <col min="3066" max="3066" width="13.28515625" style="227" customWidth="1"/>
    <col min="3067" max="3067" width="20.5703125" style="227" customWidth="1"/>
    <col min="3068" max="3068" width="13.7109375" style="227" customWidth="1"/>
    <col min="3069" max="3069" width="13.5703125" style="227" customWidth="1"/>
    <col min="3070" max="3317" width="9.140625" style="227"/>
    <col min="3318" max="3318" width="54.28515625" style="227" bestFit="1" customWidth="1"/>
    <col min="3319" max="3319" width="19.140625" style="227" customWidth="1"/>
    <col min="3320" max="3320" width="21.85546875" style="227" bestFit="1" customWidth="1"/>
    <col min="3321" max="3321" width="38.5703125" style="227" bestFit="1" customWidth="1"/>
    <col min="3322" max="3322" width="13.28515625" style="227" customWidth="1"/>
    <col min="3323" max="3323" width="20.5703125" style="227" customWidth="1"/>
    <col min="3324" max="3324" width="13.7109375" style="227" customWidth="1"/>
    <col min="3325" max="3325" width="13.5703125" style="227" customWidth="1"/>
    <col min="3326" max="3573" width="9.140625" style="227"/>
    <col min="3574" max="3574" width="54.28515625" style="227" bestFit="1" customWidth="1"/>
    <col min="3575" max="3575" width="19.140625" style="227" customWidth="1"/>
    <col min="3576" max="3576" width="21.85546875" style="227" bestFit="1" customWidth="1"/>
    <col min="3577" max="3577" width="38.5703125" style="227" bestFit="1" customWidth="1"/>
    <col min="3578" max="3578" width="13.28515625" style="227" customWidth="1"/>
    <col min="3579" max="3579" width="20.5703125" style="227" customWidth="1"/>
    <col min="3580" max="3580" width="13.7109375" style="227" customWidth="1"/>
    <col min="3581" max="3581" width="13.5703125" style="227" customWidth="1"/>
    <col min="3582" max="3829" width="9.140625" style="227"/>
    <col min="3830" max="3830" width="54.28515625" style="227" bestFit="1" customWidth="1"/>
    <col min="3831" max="3831" width="19.140625" style="227" customWidth="1"/>
    <col min="3832" max="3832" width="21.85546875" style="227" bestFit="1" customWidth="1"/>
    <col min="3833" max="3833" width="38.5703125" style="227" bestFit="1" customWidth="1"/>
    <col min="3834" max="3834" width="13.28515625" style="227" customWidth="1"/>
    <col min="3835" max="3835" width="20.5703125" style="227" customWidth="1"/>
    <col min="3836" max="3836" width="13.7109375" style="227" customWidth="1"/>
    <col min="3837" max="3837" width="13.5703125" style="227" customWidth="1"/>
    <col min="3838" max="4085" width="9.140625" style="227"/>
    <col min="4086" max="4086" width="54.28515625" style="227" bestFit="1" customWidth="1"/>
    <col min="4087" max="4087" width="19.140625" style="227" customWidth="1"/>
    <col min="4088" max="4088" width="21.85546875" style="227" bestFit="1" customWidth="1"/>
    <col min="4089" max="4089" width="38.5703125" style="227" bestFit="1" customWidth="1"/>
    <col min="4090" max="4090" width="13.28515625" style="227" customWidth="1"/>
    <col min="4091" max="4091" width="20.5703125" style="227" customWidth="1"/>
    <col min="4092" max="4092" width="13.7109375" style="227" customWidth="1"/>
    <col min="4093" max="4093" width="13.5703125" style="227" customWidth="1"/>
    <col min="4094" max="4341" width="9.140625" style="227"/>
    <col min="4342" max="4342" width="54.28515625" style="227" bestFit="1" customWidth="1"/>
    <col min="4343" max="4343" width="19.140625" style="227" customWidth="1"/>
    <col min="4344" max="4344" width="21.85546875" style="227" bestFit="1" customWidth="1"/>
    <col min="4345" max="4345" width="38.5703125" style="227" bestFit="1" customWidth="1"/>
    <col min="4346" max="4346" width="13.28515625" style="227" customWidth="1"/>
    <col min="4347" max="4347" width="20.5703125" style="227" customWidth="1"/>
    <col min="4348" max="4348" width="13.7109375" style="227" customWidth="1"/>
    <col min="4349" max="4349" width="13.5703125" style="227" customWidth="1"/>
    <col min="4350" max="4597" width="9.140625" style="227"/>
    <col min="4598" max="4598" width="54.28515625" style="227" bestFit="1" customWidth="1"/>
    <col min="4599" max="4599" width="19.140625" style="227" customWidth="1"/>
    <col min="4600" max="4600" width="21.85546875" style="227" bestFit="1" customWidth="1"/>
    <col min="4601" max="4601" width="38.5703125" style="227" bestFit="1" customWidth="1"/>
    <col min="4602" max="4602" width="13.28515625" style="227" customWidth="1"/>
    <col min="4603" max="4603" width="20.5703125" style="227" customWidth="1"/>
    <col min="4604" max="4604" width="13.7109375" style="227" customWidth="1"/>
    <col min="4605" max="4605" width="13.5703125" style="227" customWidth="1"/>
    <col min="4606" max="4853" width="9.140625" style="227"/>
    <col min="4854" max="4854" width="54.28515625" style="227" bestFit="1" customWidth="1"/>
    <col min="4855" max="4855" width="19.140625" style="227" customWidth="1"/>
    <col min="4856" max="4856" width="21.85546875" style="227" bestFit="1" customWidth="1"/>
    <col min="4857" max="4857" width="38.5703125" style="227" bestFit="1" customWidth="1"/>
    <col min="4858" max="4858" width="13.28515625" style="227" customWidth="1"/>
    <col min="4859" max="4859" width="20.5703125" style="227" customWidth="1"/>
    <col min="4860" max="4860" width="13.7109375" style="227" customWidth="1"/>
    <col min="4861" max="4861" width="13.5703125" style="227" customWidth="1"/>
    <col min="4862" max="5109" width="9.140625" style="227"/>
    <col min="5110" max="5110" width="54.28515625" style="227" bestFit="1" customWidth="1"/>
    <col min="5111" max="5111" width="19.140625" style="227" customWidth="1"/>
    <col min="5112" max="5112" width="21.85546875" style="227" bestFit="1" customWidth="1"/>
    <col min="5113" max="5113" width="38.5703125" style="227" bestFit="1" customWidth="1"/>
    <col min="5114" max="5114" width="13.28515625" style="227" customWidth="1"/>
    <col min="5115" max="5115" width="20.5703125" style="227" customWidth="1"/>
    <col min="5116" max="5116" width="13.7109375" style="227" customWidth="1"/>
    <col min="5117" max="5117" width="13.5703125" style="227" customWidth="1"/>
    <col min="5118" max="5365" width="9.140625" style="227"/>
    <col min="5366" max="5366" width="54.28515625" style="227" bestFit="1" customWidth="1"/>
    <col min="5367" max="5367" width="19.140625" style="227" customWidth="1"/>
    <col min="5368" max="5368" width="21.85546875" style="227" bestFit="1" customWidth="1"/>
    <col min="5369" max="5369" width="38.5703125" style="227" bestFit="1" customWidth="1"/>
    <col min="5370" max="5370" width="13.28515625" style="227" customWidth="1"/>
    <col min="5371" max="5371" width="20.5703125" style="227" customWidth="1"/>
    <col min="5372" max="5372" width="13.7109375" style="227" customWidth="1"/>
    <col min="5373" max="5373" width="13.5703125" style="227" customWidth="1"/>
    <col min="5374" max="5621" width="9.140625" style="227"/>
    <col min="5622" max="5622" width="54.28515625" style="227" bestFit="1" customWidth="1"/>
    <col min="5623" max="5623" width="19.140625" style="227" customWidth="1"/>
    <col min="5624" max="5624" width="21.85546875" style="227" bestFit="1" customWidth="1"/>
    <col min="5625" max="5625" width="38.5703125" style="227" bestFit="1" customWidth="1"/>
    <col min="5626" max="5626" width="13.28515625" style="227" customWidth="1"/>
    <col min="5627" max="5627" width="20.5703125" style="227" customWidth="1"/>
    <col min="5628" max="5628" width="13.7109375" style="227" customWidth="1"/>
    <col min="5629" max="5629" width="13.5703125" style="227" customWidth="1"/>
    <col min="5630" max="5877" width="9.140625" style="227"/>
    <col min="5878" max="5878" width="54.28515625" style="227" bestFit="1" customWidth="1"/>
    <col min="5879" max="5879" width="19.140625" style="227" customWidth="1"/>
    <col min="5880" max="5880" width="21.85546875" style="227" bestFit="1" customWidth="1"/>
    <col min="5881" max="5881" width="38.5703125" style="227" bestFit="1" customWidth="1"/>
    <col min="5882" max="5882" width="13.28515625" style="227" customWidth="1"/>
    <col min="5883" max="5883" width="20.5703125" style="227" customWidth="1"/>
    <col min="5884" max="5884" width="13.7109375" style="227" customWidth="1"/>
    <col min="5885" max="5885" width="13.5703125" style="227" customWidth="1"/>
    <col min="5886" max="6133" width="9.140625" style="227"/>
    <col min="6134" max="6134" width="54.28515625" style="227" bestFit="1" customWidth="1"/>
    <col min="6135" max="6135" width="19.140625" style="227" customWidth="1"/>
    <col min="6136" max="6136" width="21.85546875" style="227" bestFit="1" customWidth="1"/>
    <col min="6137" max="6137" width="38.5703125" style="227" bestFit="1" customWidth="1"/>
    <col min="6138" max="6138" width="13.28515625" style="227" customWidth="1"/>
    <col min="6139" max="6139" width="20.5703125" style="227" customWidth="1"/>
    <col min="6140" max="6140" width="13.7109375" style="227" customWidth="1"/>
    <col min="6141" max="6141" width="13.5703125" style="227" customWidth="1"/>
    <col min="6142" max="6389" width="9.140625" style="227"/>
    <col min="6390" max="6390" width="54.28515625" style="227" bestFit="1" customWidth="1"/>
    <col min="6391" max="6391" width="19.140625" style="227" customWidth="1"/>
    <col min="6392" max="6392" width="21.85546875" style="227" bestFit="1" customWidth="1"/>
    <col min="6393" max="6393" width="38.5703125" style="227" bestFit="1" customWidth="1"/>
    <col min="6394" max="6394" width="13.28515625" style="227" customWidth="1"/>
    <col min="6395" max="6395" width="20.5703125" style="227" customWidth="1"/>
    <col min="6396" max="6396" width="13.7109375" style="227" customWidth="1"/>
    <col min="6397" max="6397" width="13.5703125" style="227" customWidth="1"/>
    <col min="6398" max="6645" width="9.140625" style="227"/>
    <col min="6646" max="6646" width="54.28515625" style="227" bestFit="1" customWidth="1"/>
    <col min="6647" max="6647" width="19.140625" style="227" customWidth="1"/>
    <col min="6648" max="6648" width="21.85546875" style="227" bestFit="1" customWidth="1"/>
    <col min="6649" max="6649" width="38.5703125" style="227" bestFit="1" customWidth="1"/>
    <col min="6650" max="6650" width="13.28515625" style="227" customWidth="1"/>
    <col min="6651" max="6651" width="20.5703125" style="227" customWidth="1"/>
    <col min="6652" max="6652" width="13.7109375" style="227" customWidth="1"/>
    <col min="6653" max="6653" width="13.5703125" style="227" customWidth="1"/>
    <col min="6654" max="6901" width="9.140625" style="227"/>
    <col min="6902" max="6902" width="54.28515625" style="227" bestFit="1" customWidth="1"/>
    <col min="6903" max="6903" width="19.140625" style="227" customWidth="1"/>
    <col min="6904" max="6904" width="21.85546875" style="227" bestFit="1" customWidth="1"/>
    <col min="6905" max="6905" width="38.5703125" style="227" bestFit="1" customWidth="1"/>
    <col min="6906" max="6906" width="13.28515625" style="227" customWidth="1"/>
    <col min="6907" max="6907" width="20.5703125" style="227" customWidth="1"/>
    <col min="6908" max="6908" width="13.7109375" style="227" customWidth="1"/>
    <col min="6909" max="6909" width="13.5703125" style="227" customWidth="1"/>
    <col min="6910" max="7157" width="9.140625" style="227"/>
    <col min="7158" max="7158" width="54.28515625" style="227" bestFit="1" customWidth="1"/>
    <col min="7159" max="7159" width="19.140625" style="227" customWidth="1"/>
    <col min="7160" max="7160" width="21.85546875" style="227" bestFit="1" customWidth="1"/>
    <col min="7161" max="7161" width="38.5703125" style="227" bestFit="1" customWidth="1"/>
    <col min="7162" max="7162" width="13.28515625" style="227" customWidth="1"/>
    <col min="7163" max="7163" width="20.5703125" style="227" customWidth="1"/>
    <col min="7164" max="7164" width="13.7109375" style="227" customWidth="1"/>
    <col min="7165" max="7165" width="13.5703125" style="227" customWidth="1"/>
    <col min="7166" max="7413" width="9.140625" style="227"/>
    <col min="7414" max="7414" width="54.28515625" style="227" bestFit="1" customWidth="1"/>
    <col min="7415" max="7415" width="19.140625" style="227" customWidth="1"/>
    <col min="7416" max="7416" width="21.85546875" style="227" bestFit="1" customWidth="1"/>
    <col min="7417" max="7417" width="38.5703125" style="227" bestFit="1" customWidth="1"/>
    <col min="7418" max="7418" width="13.28515625" style="227" customWidth="1"/>
    <col min="7419" max="7419" width="20.5703125" style="227" customWidth="1"/>
    <col min="7420" max="7420" width="13.7109375" style="227" customWidth="1"/>
    <col min="7421" max="7421" width="13.5703125" style="227" customWidth="1"/>
    <col min="7422" max="7669" width="9.140625" style="227"/>
    <col min="7670" max="7670" width="54.28515625" style="227" bestFit="1" customWidth="1"/>
    <col min="7671" max="7671" width="19.140625" style="227" customWidth="1"/>
    <col min="7672" max="7672" width="21.85546875" style="227" bestFit="1" customWidth="1"/>
    <col min="7673" max="7673" width="38.5703125" style="227" bestFit="1" customWidth="1"/>
    <col min="7674" max="7674" width="13.28515625" style="227" customWidth="1"/>
    <col min="7675" max="7675" width="20.5703125" style="227" customWidth="1"/>
    <col min="7676" max="7676" width="13.7109375" style="227" customWidth="1"/>
    <col min="7677" max="7677" width="13.5703125" style="227" customWidth="1"/>
    <col min="7678" max="7925" width="9.140625" style="227"/>
    <col min="7926" max="7926" width="54.28515625" style="227" bestFit="1" customWidth="1"/>
    <col min="7927" max="7927" width="19.140625" style="227" customWidth="1"/>
    <col min="7928" max="7928" width="21.85546875" style="227" bestFit="1" customWidth="1"/>
    <col min="7929" max="7929" width="38.5703125" style="227" bestFit="1" customWidth="1"/>
    <col min="7930" max="7930" width="13.28515625" style="227" customWidth="1"/>
    <col min="7931" max="7931" width="20.5703125" style="227" customWidth="1"/>
    <col min="7932" max="7932" width="13.7109375" style="227" customWidth="1"/>
    <col min="7933" max="7933" width="13.5703125" style="227" customWidth="1"/>
    <col min="7934" max="8181" width="9.140625" style="227"/>
    <col min="8182" max="8182" width="54.28515625" style="227" bestFit="1" customWidth="1"/>
    <col min="8183" max="8183" width="19.140625" style="227" customWidth="1"/>
    <col min="8184" max="8184" width="21.85546875" style="227" bestFit="1" customWidth="1"/>
    <col min="8185" max="8185" width="38.5703125" style="227" bestFit="1" customWidth="1"/>
    <col min="8186" max="8186" width="13.28515625" style="227" customWidth="1"/>
    <col min="8187" max="8187" width="20.5703125" style="227" customWidth="1"/>
    <col min="8188" max="8188" width="13.7109375" style="227" customWidth="1"/>
    <col min="8189" max="8189" width="13.5703125" style="227" customWidth="1"/>
    <col min="8190" max="8437" width="9.140625" style="227"/>
    <col min="8438" max="8438" width="54.28515625" style="227" bestFit="1" customWidth="1"/>
    <col min="8439" max="8439" width="19.140625" style="227" customWidth="1"/>
    <col min="8440" max="8440" width="21.85546875" style="227" bestFit="1" customWidth="1"/>
    <col min="8441" max="8441" width="38.5703125" style="227" bestFit="1" customWidth="1"/>
    <col min="8442" max="8442" width="13.28515625" style="227" customWidth="1"/>
    <col min="8443" max="8443" width="20.5703125" style="227" customWidth="1"/>
    <col min="8444" max="8444" width="13.7109375" style="227" customWidth="1"/>
    <col min="8445" max="8445" width="13.5703125" style="227" customWidth="1"/>
    <col min="8446" max="8693" width="9.140625" style="227"/>
    <col min="8694" max="8694" width="54.28515625" style="227" bestFit="1" customWidth="1"/>
    <col min="8695" max="8695" width="19.140625" style="227" customWidth="1"/>
    <col min="8696" max="8696" width="21.85546875" style="227" bestFit="1" customWidth="1"/>
    <col min="8697" max="8697" width="38.5703125" style="227" bestFit="1" customWidth="1"/>
    <col min="8698" max="8698" width="13.28515625" style="227" customWidth="1"/>
    <col min="8699" max="8699" width="20.5703125" style="227" customWidth="1"/>
    <col min="8700" max="8700" width="13.7109375" style="227" customWidth="1"/>
    <col min="8701" max="8701" width="13.5703125" style="227" customWidth="1"/>
    <col min="8702" max="8949" width="9.140625" style="227"/>
    <col min="8950" max="8950" width="54.28515625" style="227" bestFit="1" customWidth="1"/>
    <col min="8951" max="8951" width="19.140625" style="227" customWidth="1"/>
    <col min="8952" max="8952" width="21.85546875" style="227" bestFit="1" customWidth="1"/>
    <col min="8953" max="8953" width="38.5703125" style="227" bestFit="1" customWidth="1"/>
    <col min="8954" max="8954" width="13.28515625" style="227" customWidth="1"/>
    <col min="8955" max="8955" width="20.5703125" style="227" customWidth="1"/>
    <col min="8956" max="8956" width="13.7109375" style="227" customWidth="1"/>
    <col min="8957" max="8957" width="13.5703125" style="227" customWidth="1"/>
    <col min="8958" max="9205" width="9.140625" style="227"/>
    <col min="9206" max="9206" width="54.28515625" style="227" bestFit="1" customWidth="1"/>
    <col min="9207" max="9207" width="19.140625" style="227" customWidth="1"/>
    <col min="9208" max="9208" width="21.85546875" style="227" bestFit="1" customWidth="1"/>
    <col min="9209" max="9209" width="38.5703125" style="227" bestFit="1" customWidth="1"/>
    <col min="9210" max="9210" width="13.28515625" style="227" customWidth="1"/>
    <col min="9211" max="9211" width="20.5703125" style="227" customWidth="1"/>
    <col min="9212" max="9212" width="13.7109375" style="227" customWidth="1"/>
    <col min="9213" max="9213" width="13.5703125" style="227" customWidth="1"/>
    <col min="9214" max="9461" width="9.140625" style="227"/>
    <col min="9462" max="9462" width="54.28515625" style="227" bestFit="1" customWidth="1"/>
    <col min="9463" max="9463" width="19.140625" style="227" customWidth="1"/>
    <col min="9464" max="9464" width="21.85546875" style="227" bestFit="1" customWidth="1"/>
    <col min="9465" max="9465" width="38.5703125" style="227" bestFit="1" customWidth="1"/>
    <col min="9466" max="9466" width="13.28515625" style="227" customWidth="1"/>
    <col min="9467" max="9467" width="20.5703125" style="227" customWidth="1"/>
    <col min="9468" max="9468" width="13.7109375" style="227" customWidth="1"/>
    <col min="9469" max="9469" width="13.5703125" style="227" customWidth="1"/>
    <col min="9470" max="9717" width="9.140625" style="227"/>
    <col min="9718" max="9718" width="54.28515625" style="227" bestFit="1" customWidth="1"/>
    <col min="9719" max="9719" width="19.140625" style="227" customWidth="1"/>
    <col min="9720" max="9720" width="21.85546875" style="227" bestFit="1" customWidth="1"/>
    <col min="9721" max="9721" width="38.5703125" style="227" bestFit="1" customWidth="1"/>
    <col min="9722" max="9722" width="13.28515625" style="227" customWidth="1"/>
    <col min="9723" max="9723" width="20.5703125" style="227" customWidth="1"/>
    <col min="9724" max="9724" width="13.7109375" style="227" customWidth="1"/>
    <col min="9725" max="9725" width="13.5703125" style="227" customWidth="1"/>
    <col min="9726" max="9973" width="9.140625" style="227"/>
    <col min="9974" max="9974" width="54.28515625" style="227" bestFit="1" customWidth="1"/>
    <col min="9975" max="9975" width="19.140625" style="227" customWidth="1"/>
    <col min="9976" max="9976" width="21.85546875" style="227" bestFit="1" customWidth="1"/>
    <col min="9977" max="9977" width="38.5703125" style="227" bestFit="1" customWidth="1"/>
    <col min="9978" max="9978" width="13.28515625" style="227" customWidth="1"/>
    <col min="9979" max="9979" width="20.5703125" style="227" customWidth="1"/>
    <col min="9980" max="9980" width="13.7109375" style="227" customWidth="1"/>
    <col min="9981" max="9981" width="13.5703125" style="227" customWidth="1"/>
    <col min="9982" max="10229" width="9.140625" style="227"/>
    <col min="10230" max="10230" width="54.28515625" style="227" bestFit="1" customWidth="1"/>
    <col min="10231" max="10231" width="19.140625" style="227" customWidth="1"/>
    <col min="10232" max="10232" width="21.85546875" style="227" bestFit="1" customWidth="1"/>
    <col min="10233" max="10233" width="38.5703125" style="227" bestFit="1" customWidth="1"/>
    <col min="10234" max="10234" width="13.28515625" style="227" customWidth="1"/>
    <col min="10235" max="10235" width="20.5703125" style="227" customWidth="1"/>
    <col min="10236" max="10236" width="13.7109375" style="227" customWidth="1"/>
    <col min="10237" max="10237" width="13.5703125" style="227" customWidth="1"/>
    <col min="10238" max="10485" width="9.140625" style="227"/>
    <col min="10486" max="10486" width="54.28515625" style="227" bestFit="1" customWidth="1"/>
    <col min="10487" max="10487" width="19.140625" style="227" customWidth="1"/>
    <col min="10488" max="10488" width="21.85546875" style="227" bestFit="1" customWidth="1"/>
    <col min="10489" max="10489" width="38.5703125" style="227" bestFit="1" customWidth="1"/>
    <col min="10490" max="10490" width="13.28515625" style="227" customWidth="1"/>
    <col min="10491" max="10491" width="20.5703125" style="227" customWidth="1"/>
    <col min="10492" max="10492" width="13.7109375" style="227" customWidth="1"/>
    <col min="10493" max="10493" width="13.5703125" style="227" customWidth="1"/>
    <col min="10494" max="10741" width="9.140625" style="227"/>
    <col min="10742" max="10742" width="54.28515625" style="227" bestFit="1" customWidth="1"/>
    <col min="10743" max="10743" width="19.140625" style="227" customWidth="1"/>
    <col min="10744" max="10744" width="21.85546875" style="227" bestFit="1" customWidth="1"/>
    <col min="10745" max="10745" width="38.5703125" style="227" bestFit="1" customWidth="1"/>
    <col min="10746" max="10746" width="13.28515625" style="227" customWidth="1"/>
    <col min="10747" max="10747" width="20.5703125" style="227" customWidth="1"/>
    <col min="10748" max="10748" width="13.7109375" style="227" customWidth="1"/>
    <col min="10749" max="10749" width="13.5703125" style="227" customWidth="1"/>
    <col min="10750" max="10997" width="9.140625" style="227"/>
    <col min="10998" max="10998" width="54.28515625" style="227" bestFit="1" customWidth="1"/>
    <col min="10999" max="10999" width="19.140625" style="227" customWidth="1"/>
    <col min="11000" max="11000" width="21.85546875" style="227" bestFit="1" customWidth="1"/>
    <col min="11001" max="11001" width="38.5703125" style="227" bestFit="1" customWidth="1"/>
    <col min="11002" max="11002" width="13.28515625" style="227" customWidth="1"/>
    <col min="11003" max="11003" width="20.5703125" style="227" customWidth="1"/>
    <col min="11004" max="11004" width="13.7109375" style="227" customWidth="1"/>
    <col min="11005" max="11005" width="13.5703125" style="227" customWidth="1"/>
    <col min="11006" max="11253" width="9.140625" style="227"/>
    <col min="11254" max="11254" width="54.28515625" style="227" bestFit="1" customWidth="1"/>
    <col min="11255" max="11255" width="19.140625" style="227" customWidth="1"/>
    <col min="11256" max="11256" width="21.85546875" style="227" bestFit="1" customWidth="1"/>
    <col min="11257" max="11257" width="38.5703125" style="227" bestFit="1" customWidth="1"/>
    <col min="11258" max="11258" width="13.28515625" style="227" customWidth="1"/>
    <col min="11259" max="11259" width="20.5703125" style="227" customWidth="1"/>
    <col min="11260" max="11260" width="13.7109375" style="227" customWidth="1"/>
    <col min="11261" max="11261" width="13.5703125" style="227" customWidth="1"/>
    <col min="11262" max="11509" width="9.140625" style="227"/>
    <col min="11510" max="11510" width="54.28515625" style="227" bestFit="1" customWidth="1"/>
    <col min="11511" max="11511" width="19.140625" style="227" customWidth="1"/>
    <col min="11512" max="11512" width="21.85546875" style="227" bestFit="1" customWidth="1"/>
    <col min="11513" max="11513" width="38.5703125" style="227" bestFit="1" customWidth="1"/>
    <col min="11514" max="11514" width="13.28515625" style="227" customWidth="1"/>
    <col min="11515" max="11515" width="20.5703125" style="227" customWidth="1"/>
    <col min="11516" max="11516" width="13.7109375" style="227" customWidth="1"/>
    <col min="11517" max="11517" width="13.5703125" style="227" customWidth="1"/>
    <col min="11518" max="11765" width="9.140625" style="227"/>
    <col min="11766" max="11766" width="54.28515625" style="227" bestFit="1" customWidth="1"/>
    <col min="11767" max="11767" width="19.140625" style="227" customWidth="1"/>
    <col min="11768" max="11768" width="21.85546875" style="227" bestFit="1" customWidth="1"/>
    <col min="11769" max="11769" width="38.5703125" style="227" bestFit="1" customWidth="1"/>
    <col min="11770" max="11770" width="13.28515625" style="227" customWidth="1"/>
    <col min="11771" max="11771" width="20.5703125" style="227" customWidth="1"/>
    <col min="11772" max="11772" width="13.7109375" style="227" customWidth="1"/>
    <col min="11773" max="11773" width="13.5703125" style="227" customWidth="1"/>
    <col min="11774" max="12021" width="9.140625" style="227"/>
    <col min="12022" max="12022" width="54.28515625" style="227" bestFit="1" customWidth="1"/>
    <col min="12023" max="12023" width="19.140625" style="227" customWidth="1"/>
    <col min="12024" max="12024" width="21.85546875" style="227" bestFit="1" customWidth="1"/>
    <col min="12025" max="12025" width="38.5703125" style="227" bestFit="1" customWidth="1"/>
    <col min="12026" max="12026" width="13.28515625" style="227" customWidth="1"/>
    <col min="12027" max="12027" width="20.5703125" style="227" customWidth="1"/>
    <col min="12028" max="12028" width="13.7109375" style="227" customWidth="1"/>
    <col min="12029" max="12029" width="13.5703125" style="227" customWidth="1"/>
    <col min="12030" max="12277" width="9.140625" style="227"/>
    <col min="12278" max="12278" width="54.28515625" style="227" bestFit="1" customWidth="1"/>
    <col min="12279" max="12279" width="19.140625" style="227" customWidth="1"/>
    <col min="12280" max="12280" width="21.85546875" style="227" bestFit="1" customWidth="1"/>
    <col min="12281" max="12281" width="38.5703125" style="227" bestFit="1" customWidth="1"/>
    <col min="12282" max="12282" width="13.28515625" style="227" customWidth="1"/>
    <col min="12283" max="12283" width="20.5703125" style="227" customWidth="1"/>
    <col min="12284" max="12284" width="13.7109375" style="227" customWidth="1"/>
    <col min="12285" max="12285" width="13.5703125" style="227" customWidth="1"/>
    <col min="12286" max="12533" width="9.140625" style="227"/>
    <col min="12534" max="12534" width="54.28515625" style="227" bestFit="1" customWidth="1"/>
    <col min="12535" max="12535" width="19.140625" style="227" customWidth="1"/>
    <col min="12536" max="12536" width="21.85546875" style="227" bestFit="1" customWidth="1"/>
    <col min="12537" max="12537" width="38.5703125" style="227" bestFit="1" customWidth="1"/>
    <col min="12538" max="12538" width="13.28515625" style="227" customWidth="1"/>
    <col min="12539" max="12539" width="20.5703125" style="227" customWidth="1"/>
    <col min="12540" max="12540" width="13.7109375" style="227" customWidth="1"/>
    <col min="12541" max="12541" width="13.5703125" style="227" customWidth="1"/>
    <col min="12542" max="12789" width="9.140625" style="227"/>
    <col min="12790" max="12790" width="54.28515625" style="227" bestFit="1" customWidth="1"/>
    <col min="12791" max="12791" width="19.140625" style="227" customWidth="1"/>
    <col min="12792" max="12792" width="21.85546875" style="227" bestFit="1" customWidth="1"/>
    <col min="12793" max="12793" width="38.5703125" style="227" bestFit="1" customWidth="1"/>
    <col min="12794" max="12794" width="13.28515625" style="227" customWidth="1"/>
    <col min="12795" max="12795" width="20.5703125" style="227" customWidth="1"/>
    <col min="12796" max="12796" width="13.7109375" style="227" customWidth="1"/>
    <col min="12797" max="12797" width="13.5703125" style="227" customWidth="1"/>
    <col min="12798" max="13045" width="9.140625" style="227"/>
    <col min="13046" max="13046" width="54.28515625" style="227" bestFit="1" customWidth="1"/>
    <col min="13047" max="13047" width="19.140625" style="227" customWidth="1"/>
    <col min="13048" max="13048" width="21.85546875" style="227" bestFit="1" customWidth="1"/>
    <col min="13049" max="13049" width="38.5703125" style="227" bestFit="1" customWidth="1"/>
    <col min="13050" max="13050" width="13.28515625" style="227" customWidth="1"/>
    <col min="13051" max="13051" width="20.5703125" style="227" customWidth="1"/>
    <col min="13052" max="13052" width="13.7109375" style="227" customWidth="1"/>
    <col min="13053" max="13053" width="13.5703125" style="227" customWidth="1"/>
    <col min="13054" max="13301" width="9.140625" style="227"/>
    <col min="13302" max="13302" width="54.28515625" style="227" bestFit="1" customWidth="1"/>
    <col min="13303" max="13303" width="19.140625" style="227" customWidth="1"/>
    <col min="13304" max="13304" width="21.85546875" style="227" bestFit="1" customWidth="1"/>
    <col min="13305" max="13305" width="38.5703125" style="227" bestFit="1" customWidth="1"/>
    <col min="13306" max="13306" width="13.28515625" style="227" customWidth="1"/>
    <col min="13307" max="13307" width="20.5703125" style="227" customWidth="1"/>
    <col min="13308" max="13308" width="13.7109375" style="227" customWidth="1"/>
    <col min="13309" max="13309" width="13.5703125" style="227" customWidth="1"/>
    <col min="13310" max="13557" width="9.140625" style="227"/>
    <col min="13558" max="13558" width="54.28515625" style="227" bestFit="1" customWidth="1"/>
    <col min="13559" max="13559" width="19.140625" style="227" customWidth="1"/>
    <col min="13560" max="13560" width="21.85546875" style="227" bestFit="1" customWidth="1"/>
    <col min="13561" max="13561" width="38.5703125" style="227" bestFit="1" customWidth="1"/>
    <col min="13562" max="13562" width="13.28515625" style="227" customWidth="1"/>
    <col min="13563" max="13563" width="20.5703125" style="227" customWidth="1"/>
    <col min="13564" max="13564" width="13.7109375" style="227" customWidth="1"/>
    <col min="13565" max="13565" width="13.5703125" style="227" customWidth="1"/>
    <col min="13566" max="13813" width="9.140625" style="227"/>
    <col min="13814" max="13814" width="54.28515625" style="227" bestFit="1" customWidth="1"/>
    <col min="13815" max="13815" width="19.140625" style="227" customWidth="1"/>
    <col min="13816" max="13816" width="21.85546875" style="227" bestFit="1" customWidth="1"/>
    <col min="13817" max="13817" width="38.5703125" style="227" bestFit="1" customWidth="1"/>
    <col min="13818" max="13818" width="13.28515625" style="227" customWidth="1"/>
    <col min="13819" max="13819" width="20.5703125" style="227" customWidth="1"/>
    <col min="13820" max="13820" width="13.7109375" style="227" customWidth="1"/>
    <col min="13821" max="13821" width="13.5703125" style="227" customWidth="1"/>
    <col min="13822" max="14069" width="9.140625" style="227"/>
    <col min="14070" max="14070" width="54.28515625" style="227" bestFit="1" customWidth="1"/>
    <col min="14071" max="14071" width="19.140625" style="227" customWidth="1"/>
    <col min="14072" max="14072" width="21.85546875" style="227" bestFit="1" customWidth="1"/>
    <col min="14073" max="14073" width="38.5703125" style="227" bestFit="1" customWidth="1"/>
    <col min="14074" max="14074" width="13.28515625" style="227" customWidth="1"/>
    <col min="14075" max="14075" width="20.5703125" style="227" customWidth="1"/>
    <col min="14076" max="14076" width="13.7109375" style="227" customWidth="1"/>
    <col min="14077" max="14077" width="13.5703125" style="227" customWidth="1"/>
    <col min="14078" max="14325" width="9.140625" style="227"/>
    <col min="14326" max="14326" width="54.28515625" style="227" bestFit="1" customWidth="1"/>
    <col min="14327" max="14327" width="19.140625" style="227" customWidth="1"/>
    <col min="14328" max="14328" width="21.85546875" style="227" bestFit="1" customWidth="1"/>
    <col min="14329" max="14329" width="38.5703125" style="227" bestFit="1" customWidth="1"/>
    <col min="14330" max="14330" width="13.28515625" style="227" customWidth="1"/>
    <col min="14331" max="14331" width="20.5703125" style="227" customWidth="1"/>
    <col min="14332" max="14332" width="13.7109375" style="227" customWidth="1"/>
    <col min="14333" max="14333" width="13.5703125" style="227" customWidth="1"/>
    <col min="14334" max="14581" width="9.140625" style="227"/>
    <col min="14582" max="14582" width="54.28515625" style="227" bestFit="1" customWidth="1"/>
    <col min="14583" max="14583" width="19.140625" style="227" customWidth="1"/>
    <col min="14584" max="14584" width="21.85546875" style="227" bestFit="1" customWidth="1"/>
    <col min="14585" max="14585" width="38.5703125" style="227" bestFit="1" customWidth="1"/>
    <col min="14586" max="14586" width="13.28515625" style="227" customWidth="1"/>
    <col min="14587" max="14587" width="20.5703125" style="227" customWidth="1"/>
    <col min="14588" max="14588" width="13.7109375" style="227" customWidth="1"/>
    <col min="14589" max="14589" width="13.5703125" style="227" customWidth="1"/>
    <col min="14590" max="14837" width="9.140625" style="227"/>
    <col min="14838" max="14838" width="54.28515625" style="227" bestFit="1" customWidth="1"/>
    <col min="14839" max="14839" width="19.140625" style="227" customWidth="1"/>
    <col min="14840" max="14840" width="21.85546875" style="227" bestFit="1" customWidth="1"/>
    <col min="14841" max="14841" width="38.5703125" style="227" bestFit="1" customWidth="1"/>
    <col min="14842" max="14842" width="13.28515625" style="227" customWidth="1"/>
    <col min="14843" max="14843" width="20.5703125" style="227" customWidth="1"/>
    <col min="14844" max="14844" width="13.7109375" style="227" customWidth="1"/>
    <col min="14845" max="14845" width="13.5703125" style="227" customWidth="1"/>
    <col min="14846" max="15093" width="9.140625" style="227"/>
    <col min="15094" max="15094" width="54.28515625" style="227" bestFit="1" customWidth="1"/>
    <col min="15095" max="15095" width="19.140625" style="227" customWidth="1"/>
    <col min="15096" max="15096" width="21.85546875" style="227" bestFit="1" customWidth="1"/>
    <col min="15097" max="15097" width="38.5703125" style="227" bestFit="1" customWidth="1"/>
    <col min="15098" max="15098" width="13.28515625" style="227" customWidth="1"/>
    <col min="15099" max="15099" width="20.5703125" style="227" customWidth="1"/>
    <col min="15100" max="15100" width="13.7109375" style="227" customWidth="1"/>
    <col min="15101" max="15101" width="13.5703125" style="227" customWidth="1"/>
    <col min="15102" max="15349" width="9.140625" style="227"/>
    <col min="15350" max="15350" width="54.28515625" style="227" bestFit="1" customWidth="1"/>
    <col min="15351" max="15351" width="19.140625" style="227" customWidth="1"/>
    <col min="15352" max="15352" width="21.85546875" style="227" bestFit="1" customWidth="1"/>
    <col min="15353" max="15353" width="38.5703125" style="227" bestFit="1" customWidth="1"/>
    <col min="15354" max="15354" width="13.28515625" style="227" customWidth="1"/>
    <col min="15355" max="15355" width="20.5703125" style="227" customWidth="1"/>
    <col min="15356" max="15356" width="13.7109375" style="227" customWidth="1"/>
    <col min="15357" max="15357" width="13.5703125" style="227" customWidth="1"/>
    <col min="15358" max="15605" width="9.140625" style="227"/>
    <col min="15606" max="15606" width="54.28515625" style="227" bestFit="1" customWidth="1"/>
    <col min="15607" max="15607" width="19.140625" style="227" customWidth="1"/>
    <col min="15608" max="15608" width="21.85546875" style="227" bestFit="1" customWidth="1"/>
    <col min="15609" max="15609" width="38.5703125" style="227" bestFit="1" customWidth="1"/>
    <col min="15610" max="15610" width="13.28515625" style="227" customWidth="1"/>
    <col min="15611" max="15611" width="20.5703125" style="227" customWidth="1"/>
    <col min="15612" max="15612" width="13.7109375" style="227" customWidth="1"/>
    <col min="15613" max="15613" width="13.5703125" style="227" customWidth="1"/>
    <col min="15614" max="15861" width="9.140625" style="227"/>
    <col min="15862" max="15862" width="54.28515625" style="227" bestFit="1" customWidth="1"/>
    <col min="15863" max="15863" width="19.140625" style="227" customWidth="1"/>
    <col min="15864" max="15864" width="21.85546875" style="227" bestFit="1" customWidth="1"/>
    <col min="15865" max="15865" width="38.5703125" style="227" bestFit="1" customWidth="1"/>
    <col min="15866" max="15866" width="13.28515625" style="227" customWidth="1"/>
    <col min="15867" max="15867" width="20.5703125" style="227" customWidth="1"/>
    <col min="15868" max="15868" width="13.7109375" style="227" customWidth="1"/>
    <col min="15869" max="15869" width="13.5703125" style="227" customWidth="1"/>
    <col min="15870" max="16117" width="9.140625" style="227"/>
    <col min="16118" max="16118" width="54.28515625" style="227" bestFit="1" customWidth="1"/>
    <col min="16119" max="16119" width="19.140625" style="227" customWidth="1"/>
    <col min="16120" max="16120" width="21.85546875" style="227" bestFit="1" customWidth="1"/>
    <col min="16121" max="16121" width="38.5703125" style="227" bestFit="1" customWidth="1"/>
    <col min="16122" max="16122" width="13.28515625" style="227" customWidth="1"/>
    <col min="16123" max="16123" width="20.5703125" style="227" customWidth="1"/>
    <col min="16124" max="16124" width="13.7109375" style="227" customWidth="1"/>
    <col min="16125" max="16125" width="13.5703125" style="227" customWidth="1"/>
    <col min="16126" max="16384" width="9.140625" style="227"/>
  </cols>
  <sheetData>
    <row r="1" spans="1:7" ht="18" x14ac:dyDescent="0.25">
      <c r="A1" s="290" t="s">
        <v>3971</v>
      </c>
    </row>
    <row r="2" spans="1:7" ht="20.25" thickBot="1" x14ac:dyDescent="0.35">
      <c r="A2" s="332" t="s">
        <v>3974</v>
      </c>
      <c r="C2" s="290"/>
    </row>
    <row r="3" spans="1:7" ht="13.5" thickTop="1" x14ac:dyDescent="0.2">
      <c r="A3" s="278" t="s">
        <v>3957</v>
      </c>
    </row>
    <row r="4" spans="1:7" ht="38.25" x14ac:dyDescent="0.2">
      <c r="A4" s="261" t="s">
        <v>3960</v>
      </c>
      <c r="B4" s="261" t="s">
        <v>2756</v>
      </c>
      <c r="C4" s="298" t="s">
        <v>2766</v>
      </c>
      <c r="D4" s="261" t="s">
        <v>3945</v>
      </c>
      <c r="E4" s="261" t="s">
        <v>3944</v>
      </c>
      <c r="F4" s="260" t="s">
        <v>3955</v>
      </c>
      <c r="G4" s="260" t="s">
        <v>3961</v>
      </c>
    </row>
    <row r="5" spans="1:7" x14ac:dyDescent="0.2">
      <c r="A5" s="296" t="s">
        <v>739</v>
      </c>
      <c r="B5" s="295" t="s">
        <v>738</v>
      </c>
      <c r="C5" s="299">
        <f>SUMIF('Staff data'!$D:$D,$B5,'Staff data'!$N:$N)</f>
        <v>0.92842689905512021</v>
      </c>
      <c r="D5" s="270">
        <f>+$H$60</f>
        <v>351</v>
      </c>
      <c r="E5" s="325">
        <f>D5/D8</f>
        <v>0.23780487804878048</v>
      </c>
      <c r="F5" s="254">
        <f>C5*E5</f>
        <v>0.22078444550701029</v>
      </c>
      <c r="G5" s="232">
        <f>+C5*(D5/($D$78+$D$5))</f>
        <v>0.76317995683453677</v>
      </c>
    </row>
    <row r="6" spans="1:7" x14ac:dyDescent="0.2">
      <c r="A6" s="296" t="s">
        <v>741</v>
      </c>
      <c r="B6" s="295" t="s">
        <v>740</v>
      </c>
      <c r="C6" s="254">
        <f>SUMIF('Staff data'!$D:$D,$B6,'Staff data'!$N:$N)</f>
        <v>0.91359217404390225</v>
      </c>
      <c r="D6" s="276">
        <f>+$H$61</f>
        <v>304</v>
      </c>
      <c r="E6" s="325">
        <f>D6/D8</f>
        <v>0.20596205962059622</v>
      </c>
      <c r="F6" s="254">
        <f>C6*E6</f>
        <v>0.18816532581934031</v>
      </c>
      <c r="G6" s="232">
        <f>+C6*(D6/SUM($D$6:$D$7))</f>
        <v>0.24687290747497445</v>
      </c>
    </row>
    <row r="7" spans="1:7" x14ac:dyDescent="0.2">
      <c r="A7" s="296" t="s">
        <v>743</v>
      </c>
      <c r="B7" s="295" t="s">
        <v>742</v>
      </c>
      <c r="C7" s="254">
        <f>SUMIF('Staff data'!$D:$D,$B7,'Staff data'!$N:$N)</f>
        <v>0.91448784576057129</v>
      </c>
      <c r="D7" s="276">
        <f>+$H$62</f>
        <v>821</v>
      </c>
      <c r="E7" s="325">
        <f>D7/D8</f>
        <v>0.55623306233062331</v>
      </c>
      <c r="F7" s="254">
        <f>C7*E7</f>
        <v>0.50866837491153727</v>
      </c>
      <c r="G7" s="232">
        <f>+C7*(D7/SUM($D$6:$D$7))</f>
        <v>0.66737290788393688</v>
      </c>
    </row>
    <row r="8" spans="1:7" x14ac:dyDescent="0.2">
      <c r="A8" s="232" t="s">
        <v>3926</v>
      </c>
      <c r="B8" s="267"/>
      <c r="C8" s="254"/>
      <c r="D8" s="270">
        <f>SUM(D5:D7)</f>
        <v>1476</v>
      </c>
      <c r="E8" s="284">
        <f>SUM(E5:E7)</f>
        <v>1</v>
      </c>
      <c r="F8" s="271">
        <f>SUM(F5:F7)</f>
        <v>0.91761814623788784</v>
      </c>
      <c r="G8" s="232"/>
    </row>
    <row r="9" spans="1:7" x14ac:dyDescent="0.2">
      <c r="A9" s="282"/>
      <c r="B9" s="283"/>
      <c r="C9" s="287"/>
      <c r="D9" s="282"/>
      <c r="E9" s="282"/>
      <c r="F9" s="281"/>
    </row>
    <row r="10" spans="1:7" x14ac:dyDescent="0.2">
      <c r="B10" s="262"/>
      <c r="C10" s="245"/>
      <c r="F10" s="245"/>
    </row>
    <row r="11" spans="1:7" x14ac:dyDescent="0.2">
      <c r="A11" s="278" t="s">
        <v>3954</v>
      </c>
      <c r="B11" s="262"/>
      <c r="C11" s="245"/>
      <c r="F11" s="245"/>
    </row>
    <row r="12" spans="1:7" ht="25.5" customHeight="1" x14ac:dyDescent="0.2">
      <c r="A12" s="261" t="s">
        <v>3960</v>
      </c>
      <c r="B12" s="261" t="s">
        <v>2756</v>
      </c>
      <c r="C12" s="298" t="s">
        <v>527</v>
      </c>
      <c r="D12" s="261" t="s">
        <v>3945</v>
      </c>
      <c r="E12" s="261" t="s">
        <v>3944</v>
      </c>
      <c r="F12" s="288" t="s">
        <v>3952</v>
      </c>
      <c r="G12" s="288" t="s">
        <v>3959</v>
      </c>
    </row>
    <row r="13" spans="1:7" x14ac:dyDescent="0.2">
      <c r="A13" s="296" t="s">
        <v>739</v>
      </c>
      <c r="B13" s="295" t="s">
        <v>738</v>
      </c>
      <c r="C13" s="254">
        <f>VLOOKUP($B13,'Buildings data'!$D$2:$K$755,8,FALSE)</f>
        <v>0.91550049923798604</v>
      </c>
      <c r="D13" s="270">
        <f>+$H$60</f>
        <v>351</v>
      </c>
      <c r="E13" s="325">
        <f>D13/D16</f>
        <v>0.23780487804878048</v>
      </c>
      <c r="F13" s="254">
        <f>C13*E13</f>
        <v>0.21771048457488693</v>
      </c>
      <c r="G13" s="232">
        <f>+C13*(D13/($D$81+$D$13))</f>
        <v>0.75255427454925783</v>
      </c>
    </row>
    <row r="14" spans="1:7" x14ac:dyDescent="0.2">
      <c r="A14" s="296" t="s">
        <v>741</v>
      </c>
      <c r="B14" s="295" t="s">
        <v>740</v>
      </c>
      <c r="C14" s="254">
        <f>VLOOKUP($B14,'Buildings data'!$D$2:$K$755,8,FALSE)</f>
        <v>0.92545159162100765</v>
      </c>
      <c r="D14" s="276">
        <f>+$H$61</f>
        <v>304</v>
      </c>
      <c r="E14" s="325">
        <f>D14/D16</f>
        <v>0.20596205962059622</v>
      </c>
      <c r="F14" s="254">
        <f>C14*E14</f>
        <v>0.19060791588942164</v>
      </c>
      <c r="G14" s="232">
        <f>+C14*(D14/SUM($D$14:$D$15))</f>
        <v>0.25007758564692117</v>
      </c>
    </row>
    <row r="15" spans="1:7" x14ac:dyDescent="0.2">
      <c r="A15" s="296" t="s">
        <v>743</v>
      </c>
      <c r="B15" s="295" t="s">
        <v>742</v>
      </c>
      <c r="C15" s="254">
        <f>VLOOKUP($B15,'Buildings data'!$D$2:$K$755,8,FALSE)</f>
        <v>0.92545159162100765</v>
      </c>
      <c r="D15" s="276">
        <f>+$H$62</f>
        <v>821</v>
      </c>
      <c r="E15" s="325">
        <f>D15/D16</f>
        <v>0.55623306233062331</v>
      </c>
      <c r="F15" s="254">
        <f>C15*E15</f>
        <v>0.5147667728461025</v>
      </c>
      <c r="G15" s="232">
        <f>+C15*(D15/SUM($D$14:$D$15))</f>
        <v>0.67537400597408648</v>
      </c>
    </row>
    <row r="16" spans="1:7" x14ac:dyDescent="0.2">
      <c r="A16" s="232" t="s">
        <v>3926</v>
      </c>
      <c r="B16" s="267"/>
      <c r="C16" s="254"/>
      <c r="D16" s="270">
        <f>SUM(D13:D15)</f>
        <v>1476</v>
      </c>
      <c r="E16" s="284">
        <f>SUM(E13:E15)</f>
        <v>1</v>
      </c>
      <c r="F16" s="271">
        <f>SUM(F13:F15)</f>
        <v>0.92308517331041107</v>
      </c>
      <c r="G16" s="232"/>
    </row>
    <row r="17" spans="1:9" x14ac:dyDescent="0.2">
      <c r="A17" s="282"/>
      <c r="B17" s="283"/>
      <c r="C17" s="287"/>
      <c r="D17" s="282"/>
      <c r="E17" s="282"/>
      <c r="F17" s="281"/>
    </row>
    <row r="18" spans="1:9" x14ac:dyDescent="0.2">
      <c r="B18" s="262"/>
      <c r="C18" s="245"/>
    </row>
    <row r="19" spans="1:9" x14ac:dyDescent="0.2">
      <c r="A19" s="278" t="s">
        <v>2735</v>
      </c>
      <c r="B19" s="262"/>
      <c r="C19" s="245"/>
    </row>
    <row r="20" spans="1:9" ht="25.5" x14ac:dyDescent="0.2">
      <c r="A20" s="261" t="s">
        <v>3886</v>
      </c>
      <c r="B20" s="261" t="s">
        <v>3573</v>
      </c>
      <c r="C20" s="286" t="s">
        <v>3951</v>
      </c>
      <c r="D20" s="261" t="s">
        <v>3945</v>
      </c>
      <c r="E20" s="261" t="s">
        <v>3944</v>
      </c>
      <c r="F20" s="260" t="s">
        <v>3950</v>
      </c>
    </row>
    <row r="21" spans="1:9" x14ac:dyDescent="0.2">
      <c r="A21" s="331" t="s">
        <v>396</v>
      </c>
      <c r="B21" s="330" t="s">
        <v>395</v>
      </c>
      <c r="C21" s="254">
        <f>VLOOKUP($B21,'M&amp;D data'!$C$13:$G$234,5,FALSE)</f>
        <v>0.99619990923086066</v>
      </c>
      <c r="D21" s="270">
        <f>+H60</f>
        <v>351</v>
      </c>
      <c r="E21" s="336">
        <f>+D21/D23</f>
        <v>0.23780487804878048</v>
      </c>
      <c r="F21" s="254">
        <f>+E21*C21</f>
        <v>0.23690119792685099</v>
      </c>
      <c r="G21" s="285"/>
    </row>
    <row r="22" spans="1:9" x14ac:dyDescent="0.2">
      <c r="A22" s="331" t="s">
        <v>661</v>
      </c>
      <c r="B22" s="330" t="s">
        <v>3882</v>
      </c>
      <c r="C22" s="254">
        <f>VLOOKUP($B22,'M&amp;D data'!$C$13:$G$234,5,FALSE)</f>
        <v>0.99619990923086066</v>
      </c>
      <c r="D22" s="270">
        <f>+H61+H62</f>
        <v>1125</v>
      </c>
      <c r="E22" s="336">
        <f>+D22/D23</f>
        <v>0.76219512195121952</v>
      </c>
      <c r="F22" s="254">
        <f>+E22*C22</f>
        <v>0.75929871130400961</v>
      </c>
    </row>
    <row r="23" spans="1:9" x14ac:dyDescent="0.2">
      <c r="A23" s="232" t="s">
        <v>3926</v>
      </c>
      <c r="B23" s="267"/>
      <c r="C23" s="232"/>
      <c r="D23" s="270">
        <f>SUM(D21:D22)</f>
        <v>1476</v>
      </c>
      <c r="E23" s="336">
        <f>SUM(E21:E22)</f>
        <v>1</v>
      </c>
      <c r="F23" s="271">
        <f>SUM(F21:F22)</f>
        <v>0.99619990923086066</v>
      </c>
    </row>
    <row r="24" spans="1:9" x14ac:dyDescent="0.2">
      <c r="A24" s="282"/>
      <c r="B24" s="283"/>
      <c r="C24" s="282"/>
      <c r="D24" s="281"/>
      <c r="E24" s="280" t="s">
        <v>3931</v>
      </c>
      <c r="F24" s="329">
        <f>SUMPRODUCT(C21:C22,E21:E22)-F23</f>
        <v>0</v>
      </c>
    </row>
    <row r="25" spans="1:9" x14ac:dyDescent="0.2">
      <c r="B25" s="262"/>
    </row>
    <row r="26" spans="1:9" x14ac:dyDescent="0.2">
      <c r="A26" s="278" t="s">
        <v>2733</v>
      </c>
      <c r="B26" s="262"/>
    </row>
    <row r="27" spans="1:9" ht="38.25" x14ac:dyDescent="0.2">
      <c r="A27" s="261" t="s">
        <v>3886</v>
      </c>
      <c r="B27" s="261" t="s">
        <v>3573</v>
      </c>
      <c r="C27" s="260" t="s">
        <v>3949</v>
      </c>
      <c r="D27" s="260" t="s">
        <v>3948</v>
      </c>
      <c r="E27" s="260" t="s">
        <v>3947</v>
      </c>
      <c r="F27" s="244" t="s">
        <v>3946</v>
      </c>
      <c r="G27" s="244" t="s">
        <v>3945</v>
      </c>
      <c r="H27" s="277" t="s">
        <v>3944</v>
      </c>
      <c r="I27" s="244" t="s">
        <v>3943</v>
      </c>
    </row>
    <row r="28" spans="1:9" x14ac:dyDescent="0.2">
      <c r="A28" s="292" t="s">
        <v>739</v>
      </c>
      <c r="B28" s="293" t="s">
        <v>738</v>
      </c>
      <c r="C28" s="292">
        <f>+'RJD ERIC 2008|09'!D81+'RJD ERIC 2008|09'!C81</f>
        <v>14.01</v>
      </c>
      <c r="D28" s="322">
        <f>+B70/1000</f>
        <v>17550</v>
      </c>
      <c r="E28" s="270">
        <f>D28/C28</f>
        <v>1252.676659528908</v>
      </c>
      <c r="F28" s="232"/>
      <c r="G28" s="322">
        <f>+H60</f>
        <v>351</v>
      </c>
      <c r="H28" s="323">
        <f>G28/$G$30</f>
        <v>0.23780487804878048</v>
      </c>
      <c r="I28" s="274">
        <f>E28/E31</f>
        <v>1.1043205652443933</v>
      </c>
    </row>
    <row r="29" spans="1:9" x14ac:dyDescent="0.2">
      <c r="A29" s="292" t="s">
        <v>1119</v>
      </c>
      <c r="B29" s="293" t="s">
        <v>3882</v>
      </c>
      <c r="C29" s="292">
        <f>VLOOKUP($B29,'Land data'!$B$2:$D$234,3,FALSE)</f>
        <v>40.75</v>
      </c>
      <c r="D29" s="270">
        <f>VLOOKUP($B29,'Land data'!$B$2:$E$234,4,FALSE)</f>
        <v>28993</v>
      </c>
      <c r="E29" s="270">
        <f>D29/C29</f>
        <v>711.48466257668713</v>
      </c>
      <c r="F29" s="232"/>
      <c r="G29" s="326">
        <f>+H61+H62</f>
        <v>1125</v>
      </c>
      <c r="H29" s="323">
        <f>G29/$G$30</f>
        <v>0.76219512195121952</v>
      </c>
      <c r="I29" s="274">
        <f>E29/E31</f>
        <v>0.62722262665521611</v>
      </c>
    </row>
    <row r="30" spans="1:9" x14ac:dyDescent="0.2">
      <c r="A30" s="235" t="s">
        <v>3926</v>
      </c>
      <c r="B30" s="234"/>
      <c r="C30" s="266">
        <f>SUM(C28:C29)</f>
        <v>54.76</v>
      </c>
      <c r="D30" s="270">
        <f>SUM(D28:D29)</f>
        <v>46543</v>
      </c>
      <c r="E30" s="270">
        <f>D30/C30</f>
        <v>849.94521548575608</v>
      </c>
      <c r="F30" s="268">
        <f>+E30/E31</f>
        <v>0.74928511970916745</v>
      </c>
      <c r="G30" s="322">
        <f>SUM(G28:G29)</f>
        <v>1476</v>
      </c>
      <c r="H30" s="269">
        <f>SUM(H28:H29)</f>
        <v>1</v>
      </c>
      <c r="I30" s="268">
        <f>SUMPRODUCT(H28:H29,I28:I29)</f>
        <v>0.74067884375873994</v>
      </c>
    </row>
    <row r="31" spans="1:9" x14ac:dyDescent="0.2">
      <c r="A31" s="233" t="s">
        <v>3942</v>
      </c>
      <c r="B31" s="240"/>
      <c r="C31" s="373">
        <f>SUM('PCT data'!$M$3:$M$154)+SUM('Land data'!$D$2:$D$234)</f>
        <v>7611.3175000000019</v>
      </c>
      <c r="D31" s="322">
        <f>SUM('PCT data'!$N$3:$N$154)+SUM('Land data'!$E$2:$E$234)</f>
        <v>8633833.4000000004</v>
      </c>
      <c r="E31" s="322">
        <f>D31/C31</f>
        <v>1134.3415118341861</v>
      </c>
      <c r="F31" s="232"/>
      <c r="G31" s="233"/>
      <c r="H31" s="233"/>
      <c r="I31" s="233"/>
    </row>
    <row r="32" spans="1:9" x14ac:dyDescent="0.2">
      <c r="A32" s="228" t="s">
        <v>3941</v>
      </c>
      <c r="F32" s="264"/>
      <c r="G32" s="263"/>
    </row>
    <row r="33" spans="1:8" x14ac:dyDescent="0.2">
      <c r="A33" s="228" t="s">
        <v>3940</v>
      </c>
    </row>
    <row r="34" spans="1:8" x14ac:dyDescent="0.2">
      <c r="A34" s="228"/>
    </row>
    <row r="35" spans="1:8" x14ac:dyDescent="0.2">
      <c r="A35" s="229" t="s">
        <v>3933</v>
      </c>
    </row>
    <row r="36" spans="1:8" ht="38.25" x14ac:dyDescent="0.2">
      <c r="A36" s="261" t="s">
        <v>3939</v>
      </c>
      <c r="B36" s="260" t="s">
        <v>3938</v>
      </c>
      <c r="C36" s="260" t="s">
        <v>3937</v>
      </c>
      <c r="D36" s="260" t="s">
        <v>3936</v>
      </c>
      <c r="E36" s="260" t="s">
        <v>3927</v>
      </c>
    </row>
    <row r="37" spans="1:8" x14ac:dyDescent="0.2">
      <c r="A37" s="259" t="s">
        <v>2734</v>
      </c>
      <c r="B37" s="258">
        <f>F8</f>
        <v>0.91761814623788784</v>
      </c>
      <c r="C37" s="255">
        <f>Staff_Weight</f>
        <v>0.54914759484508857</v>
      </c>
      <c r="D37" s="254">
        <f>B37*C37</f>
        <v>0.50390779799274488</v>
      </c>
      <c r="E37" s="232"/>
    </row>
    <row r="38" spans="1:8" x14ac:dyDescent="0.2">
      <c r="A38" s="257" t="s">
        <v>3935</v>
      </c>
      <c r="B38" s="256">
        <f>F16</f>
        <v>0.92308517331041107</v>
      </c>
      <c r="C38" s="255">
        <f>Building_Weight</f>
        <v>2.6635675286214532E-2</v>
      </c>
      <c r="D38" s="254">
        <f>B38*C38</f>
        <v>2.4586996937815176E-2</v>
      </c>
      <c r="E38" s="232"/>
    </row>
    <row r="39" spans="1:8" x14ac:dyDescent="0.2">
      <c r="A39" s="257" t="s">
        <v>2735</v>
      </c>
      <c r="B39" s="256">
        <f>F23</f>
        <v>0.99619990923086066</v>
      </c>
      <c r="C39" s="255">
        <f>MnD_Weight</f>
        <v>0.13904710383678176</v>
      </c>
      <c r="D39" s="254">
        <f>B39*C39</f>
        <v>0.13851871222101605</v>
      </c>
      <c r="E39" s="232"/>
    </row>
    <row r="40" spans="1:8" x14ac:dyDescent="0.2">
      <c r="A40" s="232" t="s">
        <v>3969</v>
      </c>
      <c r="B40" s="256">
        <f>F30</f>
        <v>0.74928511970916745</v>
      </c>
      <c r="C40" s="255">
        <f>Land_Weight</f>
        <v>4.4820020140147153E-3</v>
      </c>
      <c r="D40" s="254">
        <f>B40*C40</f>
        <v>3.3582974156077454E-3</v>
      </c>
      <c r="E40" s="232"/>
    </row>
    <row r="41" spans="1:8" ht="13.5" thickBot="1" x14ac:dyDescent="0.25">
      <c r="A41" s="252" t="s">
        <v>632</v>
      </c>
      <c r="B41" s="253">
        <v>1</v>
      </c>
      <c r="C41" s="321">
        <f>Other_Weight</f>
        <v>0.28068762401790043</v>
      </c>
      <c r="D41" s="253">
        <f>B41*C41</f>
        <v>0.28068762401790043</v>
      </c>
      <c r="E41" s="252"/>
    </row>
    <row r="42" spans="1:8" ht="16.5" thickBot="1" x14ac:dyDescent="0.3">
      <c r="A42" s="251" t="s">
        <v>3933</v>
      </c>
      <c r="B42" s="250"/>
      <c r="C42" s="249">
        <f>SUM(C37:C41)</f>
        <v>1</v>
      </c>
      <c r="D42" s="248">
        <f>SUMPRODUCT(B37:B41,C37:C41)</f>
        <v>0.95105942858508441</v>
      </c>
      <c r="E42" s="247">
        <f ca="1">D42/B44</f>
        <v>1.0267022188505168</v>
      </c>
    </row>
    <row r="44" spans="1:8" x14ac:dyDescent="0.2">
      <c r="A44" s="246" t="s">
        <v>3932</v>
      </c>
      <c r="B44" s="245">
        <f ca="1">Lowest_Underlying_MFF</f>
        <v>0.92632450882387185</v>
      </c>
    </row>
    <row r="45" spans="1:8" x14ac:dyDescent="0.2">
      <c r="A45" s="229"/>
    </row>
    <row r="46" spans="1:8" x14ac:dyDescent="0.2">
      <c r="A46" s="229" t="s">
        <v>3931</v>
      </c>
      <c r="D46" s="335"/>
    </row>
    <row r="47" spans="1:8" ht="51" x14ac:dyDescent="0.2">
      <c r="A47" s="244" t="s">
        <v>3886</v>
      </c>
      <c r="B47" s="244" t="s">
        <v>3573</v>
      </c>
      <c r="C47" s="244" t="s">
        <v>3930</v>
      </c>
      <c r="D47" s="334" t="s">
        <v>3968</v>
      </c>
      <c r="E47" s="244" t="s">
        <v>3928</v>
      </c>
      <c r="F47" s="244" t="s">
        <v>3927</v>
      </c>
      <c r="H47" s="243"/>
    </row>
    <row r="48" spans="1:8" ht="15" x14ac:dyDescent="0.25">
      <c r="A48" s="235" t="str">
        <f>+A21</f>
        <v>MID STAFFORDSHIRE NHS FOUNDATION TRUST</v>
      </c>
      <c r="B48" s="234" t="str">
        <f>+B21</f>
        <v>RJD</v>
      </c>
      <c r="C48" s="239">
        <f ca="1">(C37*($E$78+$G$5)+C38*($E$81+$G$13)+C39*$C$21+C40*(($D$84+$D$28)/($C$84+$C$28)/$E$31)+B41*C41)/B44</f>
        <v>1.0348666478319599</v>
      </c>
      <c r="D48" s="238">
        <f ca="1">+VLOOKUP(B48,MFF_2014_15,4,FALSE)-ROUND(C48,6)</f>
        <v>0</v>
      </c>
      <c r="E48" s="242">
        <f ca="1">INDEX('All Trusts'!$E$6:$E$261,MATCH($B48,'All Trusts'!$B$6:$B$261,0),1)-C48</f>
        <v>0</v>
      </c>
      <c r="F48" s="237"/>
    </row>
    <row r="49" spans="1:9" ht="15" x14ac:dyDescent="0.25">
      <c r="A49" s="235" t="str">
        <f>+A22</f>
        <v>UNIVERSITY HOSPITAL OF NORTH STAFFORDSHIRE NHS TRUST</v>
      </c>
      <c r="B49" s="234" t="str">
        <f>+B22</f>
        <v>RJE</v>
      </c>
      <c r="C49" s="239">
        <f ca="1">(C37*(G6+G7)+C38*(G14+G15)+C39*C22+C40*I29+B41*C41)/B44</f>
        <v>1.0241804669601682</v>
      </c>
      <c r="D49" s="238">
        <f ca="1">+VLOOKUP(B49,MFF_2014_15,4,FALSE)-ROUND(C49,6)</f>
        <v>0</v>
      </c>
      <c r="E49" s="242">
        <f ca="1">INDEX('All Trusts'!$E$6:$E$261,MATCH($B49,'All Trusts'!$B$6:$B$261,0),1)-C49</f>
        <v>0</v>
      </c>
      <c r="F49" s="237"/>
    </row>
    <row r="50" spans="1:9" x14ac:dyDescent="0.2">
      <c r="A50" s="235" t="s">
        <v>3926</v>
      </c>
      <c r="B50" s="235"/>
      <c r="C50" s="233"/>
      <c r="D50" s="233"/>
      <c r="E50" s="232"/>
      <c r="F50" s="231">
        <f ca="1">ROUND(E42,6)</f>
        <v>1.026702</v>
      </c>
    </row>
    <row r="52" spans="1:9" x14ac:dyDescent="0.2">
      <c r="A52"/>
      <c r="B52"/>
      <c r="C52"/>
      <c r="D52"/>
      <c r="E52"/>
      <c r="F52"/>
      <c r="G52"/>
      <c r="H52"/>
      <c r="I52"/>
    </row>
    <row r="53" spans="1:9" x14ac:dyDescent="0.2">
      <c r="A53" s="229" t="s">
        <v>3925</v>
      </c>
      <c r="I53"/>
    </row>
    <row r="54" spans="1:9" x14ac:dyDescent="0.2">
      <c r="A54" s="228" t="s">
        <v>3924</v>
      </c>
      <c r="I54"/>
    </row>
    <row r="55" spans="1:9" x14ac:dyDescent="0.2">
      <c r="A55" s="227" t="s">
        <v>3923</v>
      </c>
      <c r="I55"/>
    </row>
    <row r="56" spans="1:9" x14ac:dyDescent="0.2">
      <c r="A56" s="227" t="s">
        <v>3922</v>
      </c>
      <c r="I56"/>
    </row>
    <row r="57" spans="1:9" ht="13.5" thickBot="1" x14ac:dyDescent="0.25">
      <c r="A57" s="227" t="s">
        <v>3921</v>
      </c>
      <c r="C57" s="368">
        <v>1</v>
      </c>
      <c r="D57" s="368">
        <f>C57+1</f>
        <v>2</v>
      </c>
      <c r="E57" s="368">
        <f t="shared" ref="E57:H57" si="0">D57+1</f>
        <v>3</v>
      </c>
      <c r="F57" s="368">
        <f t="shared" si="0"/>
        <v>4</v>
      </c>
      <c r="G57" s="368">
        <f t="shared" si="0"/>
        <v>5</v>
      </c>
      <c r="H57" s="368">
        <f t="shared" si="0"/>
        <v>6</v>
      </c>
      <c r="I57"/>
    </row>
    <row r="58" spans="1:9" ht="26.25" thickBot="1" x14ac:dyDescent="0.25">
      <c r="A58" s="318" t="s">
        <v>3573</v>
      </c>
      <c r="B58" s="318" t="s">
        <v>2755</v>
      </c>
      <c r="C58" s="318" t="s">
        <v>2756</v>
      </c>
      <c r="D58" s="318" t="s">
        <v>2757</v>
      </c>
      <c r="E58" s="318" t="s">
        <v>2758</v>
      </c>
      <c r="F58" s="318" t="s">
        <v>2759</v>
      </c>
      <c r="G58" s="318" t="s">
        <v>2760</v>
      </c>
      <c r="H58" s="317" t="s">
        <v>3945</v>
      </c>
      <c r="I58"/>
    </row>
    <row r="59" spans="1:9" x14ac:dyDescent="0.2">
      <c r="A59" s="316" t="s">
        <v>395</v>
      </c>
      <c r="B59" s="314" t="s">
        <v>396</v>
      </c>
      <c r="C59" s="315" t="s">
        <v>736</v>
      </c>
      <c r="D59" s="314" t="str">
        <f>VLOOKUP($C59,'Buildings data'!$D:$I,D$57,FALSE)</f>
        <v>CANNOCK CHASE HOSPITAL</v>
      </c>
      <c r="E59" s="314" t="str">
        <f>VLOOKUP($C59,'Buildings data'!$D:$I,E$57,FALSE)</f>
        <v>WS11 5XY</v>
      </c>
      <c r="F59" s="314" t="str">
        <f>VLOOKUP($C59,'Buildings data'!$D:$I,F$57,FALSE)</f>
        <v>WS115</v>
      </c>
      <c r="G59" s="314" t="str">
        <f>VLOOKUP($C59,'Buildings data'!$D:$I,G$57,FALSE)</f>
        <v>5PK</v>
      </c>
      <c r="H59" s="313">
        <f>VLOOKUP($C59,'Buildings data'!$D:$I,H$57,FALSE)</f>
        <v>76</v>
      </c>
      <c r="I59"/>
    </row>
    <row r="60" spans="1:9" ht="13.5" thickBot="1" x14ac:dyDescent="0.25">
      <c r="A60" s="312" t="s">
        <v>395</v>
      </c>
      <c r="B60" s="310" t="s">
        <v>396</v>
      </c>
      <c r="C60" s="311" t="s">
        <v>738</v>
      </c>
      <c r="D60" s="310" t="str">
        <f>VLOOKUP($C60,'Buildings data'!$D:$I,D$57,FALSE)</f>
        <v>STAFFORDSHIRE GENERAL HOSPITAL</v>
      </c>
      <c r="E60" s="310" t="str">
        <f>VLOOKUP($C60,'Buildings data'!$D:$I,E$57,FALSE)</f>
        <v>ST16 3SA</v>
      </c>
      <c r="F60" s="310" t="str">
        <f>VLOOKUP($C60,'Buildings data'!$D:$I,F$57,FALSE)</f>
        <v>ST163</v>
      </c>
      <c r="G60" s="310" t="str">
        <f>VLOOKUP($C60,'Buildings data'!$D:$I,G$57,FALSE)</f>
        <v>5PK</v>
      </c>
      <c r="H60" s="309">
        <f>VLOOKUP($C60,'Buildings data'!$D:$I,H$57,FALSE)</f>
        <v>351</v>
      </c>
      <c r="I60"/>
    </row>
    <row r="61" spans="1:9" x14ac:dyDescent="0.2">
      <c r="A61" s="316" t="s">
        <v>3882</v>
      </c>
      <c r="B61" s="314" t="s">
        <v>661</v>
      </c>
      <c r="C61" s="315" t="s">
        <v>740</v>
      </c>
      <c r="D61" s="314" t="str">
        <f>VLOOKUP($C61,'Buildings data'!$D:$I,D$57,FALSE)</f>
        <v>ROYAL INFIRMARY</v>
      </c>
      <c r="E61" s="314" t="str">
        <f>VLOOKUP($C61,'Buildings data'!$D:$I,E$57,FALSE)</f>
        <v>ST4 7LN</v>
      </c>
      <c r="F61" s="314" t="str">
        <f>VLOOKUP($C61,'Buildings data'!$D:$I,F$57,FALSE)</f>
        <v>ST47</v>
      </c>
      <c r="G61" s="314" t="str">
        <f>VLOOKUP($C61,'Buildings data'!$D:$I,G$57,FALSE)</f>
        <v>5PJ</v>
      </c>
      <c r="H61" s="313">
        <f>VLOOKUP($C61,'Buildings data'!$D:$I,H$57,FALSE)</f>
        <v>304</v>
      </c>
      <c r="I61"/>
    </row>
    <row r="62" spans="1:9" ht="13.5" thickBot="1" x14ac:dyDescent="0.25">
      <c r="A62" s="312" t="s">
        <v>3882</v>
      </c>
      <c r="B62" s="310" t="s">
        <v>661</v>
      </c>
      <c r="C62" s="311" t="s">
        <v>742</v>
      </c>
      <c r="D62" s="310" t="str">
        <f>VLOOKUP($C62,'Buildings data'!$D:$I,D$57,FALSE)</f>
        <v>CITY GENERAL</v>
      </c>
      <c r="E62" s="310" t="str">
        <f>VLOOKUP($C62,'Buildings data'!$D:$I,E$57,FALSE)</f>
        <v>ST4 6QG</v>
      </c>
      <c r="F62" s="310" t="str">
        <f>VLOOKUP($C62,'Buildings data'!$D:$I,F$57,FALSE)</f>
        <v>ST46</v>
      </c>
      <c r="G62" s="310" t="str">
        <f>VLOOKUP($C62,'Buildings data'!$D:$I,G$57,FALSE)</f>
        <v>5PJ</v>
      </c>
      <c r="H62" s="309">
        <f>VLOOKUP($C62,'Buildings data'!$D:$I,H$57,FALSE)</f>
        <v>821</v>
      </c>
      <c r="I62"/>
    </row>
    <row r="63" spans="1:9" ht="13.5" thickBot="1" x14ac:dyDescent="0.25">
      <c r="A63" s="308" t="s">
        <v>3870</v>
      </c>
      <c r="B63" s="306" t="s">
        <v>3871</v>
      </c>
      <c r="C63" s="307" t="s">
        <v>778</v>
      </c>
      <c r="D63" s="306" t="str">
        <f>VLOOKUP($C63,'Buildings data'!$D:$I,D$57,FALSE)</f>
        <v>NEW CROSS HOSPITAL</v>
      </c>
      <c r="E63" s="306" t="str">
        <f>VLOOKUP($C63,'Buildings data'!$D:$I,E$57,FALSE)</f>
        <v>WV10 0QP</v>
      </c>
      <c r="F63" s="306" t="str">
        <f>VLOOKUP($C63,'Buildings data'!$D:$I,F$57,FALSE)</f>
        <v>WV100</v>
      </c>
      <c r="G63" s="306" t="str">
        <f>VLOOKUP($C63,'Buildings data'!$D:$I,G$57,FALSE)</f>
        <v>5MV</v>
      </c>
      <c r="H63" s="305">
        <f>VLOOKUP($C63,'Buildings data'!$D:$I,H$57,FALSE)</f>
        <v>704</v>
      </c>
      <c r="I63"/>
    </row>
    <row r="64" spans="1:9" x14ac:dyDescent="0.2">
      <c r="A64" s="304"/>
      <c r="B64" s="304"/>
      <c r="C64" s="304"/>
      <c r="D64" s="304"/>
      <c r="E64" s="304"/>
      <c r="F64" s="304"/>
      <c r="G64" s="304"/>
      <c r="H64" s="304"/>
      <c r="I64"/>
    </row>
    <row r="65" spans="1:5" x14ac:dyDescent="0.2">
      <c r="A65" s="228" t="s">
        <v>3920</v>
      </c>
    </row>
    <row r="66" spans="1:5" x14ac:dyDescent="0.2">
      <c r="A66" s="227" t="s">
        <v>3919</v>
      </c>
    </row>
    <row r="67" spans="1:5" x14ac:dyDescent="0.2">
      <c r="A67" s="227" t="s">
        <v>3967</v>
      </c>
    </row>
    <row r="68" spans="1:5" x14ac:dyDescent="0.2">
      <c r="A68" s="333" t="s">
        <v>3973</v>
      </c>
    </row>
    <row r="69" spans="1:5" x14ac:dyDescent="0.2">
      <c r="A69" s="227" t="s">
        <v>3966</v>
      </c>
    </row>
    <row r="70" spans="1:5" x14ac:dyDescent="0.2">
      <c r="A70" s="303" t="s">
        <v>3965</v>
      </c>
      <c r="B70" s="302">
        <v>17550000</v>
      </c>
    </row>
    <row r="71" spans="1:5" x14ac:dyDescent="0.2">
      <c r="A71" s="303" t="s">
        <v>3964</v>
      </c>
      <c r="B71" s="302">
        <v>4000000</v>
      </c>
    </row>
    <row r="72" spans="1:5" x14ac:dyDescent="0.2">
      <c r="A72" s="301" t="s">
        <v>3963</v>
      </c>
      <c r="B72" s="300">
        <f>SUM(B70:B71)</f>
        <v>21550000</v>
      </c>
    </row>
    <row r="73" spans="1:5" x14ac:dyDescent="0.2">
      <c r="A73" s="457" t="s">
        <v>4287</v>
      </c>
    </row>
    <row r="75" spans="1:5" x14ac:dyDescent="0.2">
      <c r="A75" s="228" t="s">
        <v>3972</v>
      </c>
    </row>
    <row r="76" spans="1:5" x14ac:dyDescent="0.2">
      <c r="A76" s="278" t="s">
        <v>3957</v>
      </c>
    </row>
    <row r="77" spans="1:5" ht="38.25" x14ac:dyDescent="0.2">
      <c r="A77" s="261" t="s">
        <v>3960</v>
      </c>
      <c r="B77" s="261" t="s">
        <v>2756</v>
      </c>
      <c r="C77" s="298" t="s">
        <v>2766</v>
      </c>
      <c r="D77" s="261" t="s">
        <v>3945</v>
      </c>
      <c r="E77" s="260" t="s">
        <v>3961</v>
      </c>
    </row>
    <row r="78" spans="1:5" x14ac:dyDescent="0.2">
      <c r="A78" s="296" t="s">
        <v>737</v>
      </c>
      <c r="B78" s="295" t="s">
        <v>736</v>
      </c>
      <c r="C78" s="254">
        <v>0.93174995609801214</v>
      </c>
      <c r="D78" s="270">
        <f>+$H$59</f>
        <v>76</v>
      </c>
      <c r="E78" s="254">
        <f>+C78*(D78/($D$78+$D$5))</f>
        <v>0.16583839968020825</v>
      </c>
    </row>
    <row r="79" spans="1:5" x14ac:dyDescent="0.2">
      <c r="A79" s="278" t="s">
        <v>3954</v>
      </c>
      <c r="B79" s="262"/>
      <c r="C79" s="245"/>
    </row>
    <row r="80" spans="1:5" ht="51" x14ac:dyDescent="0.2">
      <c r="A80" s="261" t="s">
        <v>3960</v>
      </c>
      <c r="B80" s="261" t="s">
        <v>2756</v>
      </c>
      <c r="C80" s="298" t="s">
        <v>527</v>
      </c>
      <c r="D80" s="261" t="s">
        <v>3945</v>
      </c>
      <c r="E80" s="288" t="s">
        <v>3959</v>
      </c>
    </row>
    <row r="81" spans="1:5" x14ac:dyDescent="0.2">
      <c r="A81" s="296" t="s">
        <v>737</v>
      </c>
      <c r="B81" s="295" t="s">
        <v>736</v>
      </c>
      <c r="C81" s="254">
        <v>0.91550049923798604</v>
      </c>
      <c r="D81" s="270">
        <f>+$H$59</f>
        <v>76</v>
      </c>
      <c r="E81" s="254">
        <f>+C81*(D81/($D$81+$D$13))</f>
        <v>0.16294622468872819</v>
      </c>
    </row>
    <row r="82" spans="1:5" x14ac:dyDescent="0.2">
      <c r="A82" s="278" t="s">
        <v>2733</v>
      </c>
      <c r="B82" s="262"/>
    </row>
    <row r="83" spans="1:5" ht="25.5" x14ac:dyDescent="0.2">
      <c r="A83" s="261" t="s">
        <v>3960</v>
      </c>
      <c r="B83" s="261" t="s">
        <v>2756</v>
      </c>
      <c r="C83" s="260" t="s">
        <v>3949</v>
      </c>
      <c r="D83" s="260" t="s">
        <v>3948</v>
      </c>
      <c r="E83" s="260" t="s">
        <v>3947</v>
      </c>
    </row>
    <row r="84" spans="1:5" x14ac:dyDescent="0.2">
      <c r="A84" s="292" t="s">
        <v>737</v>
      </c>
      <c r="B84" s="293" t="s">
        <v>736</v>
      </c>
      <c r="C84" s="328">
        <f>+'RJD ERIC 2008|09'!E81</f>
        <v>3.5</v>
      </c>
      <c r="D84" s="322">
        <f>+B71/1000</f>
        <v>4000</v>
      </c>
      <c r="E84" s="270">
        <f>D84/C84</f>
        <v>1142.8571428571429</v>
      </c>
    </row>
  </sheetData>
  <conditionalFormatting sqref="F50">
    <cfRule type="cellIs" dxfId="12" priority="1" operator="greaterThan">
      <formula>"and($N$48,$N$49)"</formula>
    </cfRule>
  </conditionalFormatting>
  <conditionalFormatting sqref="C48:C49">
    <cfRule type="cellIs" dxfId="11" priority="2" operator="lessThan">
      <formula>$F$50</formula>
    </cfRule>
    <cfRule type="cellIs" dxfId="10" priority="3" operator="greaterThan">
      <formula>$F$50</formula>
    </cfRule>
  </conditionalFormatting>
  <pageMargins left="0.7" right="0.7" top="0.75" bottom="0.75" header="0.3" footer="0.3"/>
  <pageSetup paperSize="2058" orientation="portrait" horizontalDpi="300" verticalDpi="30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00B050"/>
  </sheetPr>
  <dimension ref="A1:I60"/>
  <sheetViews>
    <sheetView workbookViewId="0"/>
  </sheetViews>
  <sheetFormatPr defaultRowHeight="12.75" x14ac:dyDescent="0.2"/>
  <cols>
    <col min="1" max="1" width="54.28515625" style="227" bestFit="1" customWidth="1"/>
    <col min="2" max="2" width="17" style="227" customWidth="1"/>
    <col min="3" max="3" width="21.85546875" style="227" bestFit="1" customWidth="1"/>
    <col min="4" max="4" width="38.5703125" style="227" bestFit="1" customWidth="1"/>
    <col min="5" max="5" width="13.28515625" style="227" customWidth="1"/>
    <col min="6" max="6" width="20.5703125" style="227" customWidth="1"/>
    <col min="7" max="7" width="13.7109375" style="227" customWidth="1"/>
    <col min="8" max="8" width="13.5703125" style="227" customWidth="1"/>
    <col min="9" max="9" width="12" style="227" customWidth="1"/>
    <col min="10" max="10" width="9.140625" style="227"/>
    <col min="11" max="11" width="19.5703125" style="227" customWidth="1"/>
    <col min="12" max="256" width="9.140625" style="227"/>
    <col min="257" max="257" width="54.28515625" style="227" bestFit="1" customWidth="1"/>
    <col min="258" max="258" width="19.140625" style="227" customWidth="1"/>
    <col min="259" max="259" width="21.85546875" style="227" bestFit="1" customWidth="1"/>
    <col min="260" max="260" width="38.5703125" style="227" bestFit="1" customWidth="1"/>
    <col min="261" max="261" width="13.28515625" style="227" customWidth="1"/>
    <col min="262" max="262" width="20.5703125" style="227" customWidth="1"/>
    <col min="263" max="263" width="13.7109375" style="227" customWidth="1"/>
    <col min="264" max="264" width="13.5703125" style="227" customWidth="1"/>
    <col min="265" max="512" width="9.140625" style="227"/>
    <col min="513" max="513" width="54.28515625" style="227" bestFit="1" customWidth="1"/>
    <col min="514" max="514" width="19.140625" style="227" customWidth="1"/>
    <col min="515" max="515" width="21.85546875" style="227" bestFit="1" customWidth="1"/>
    <col min="516" max="516" width="38.5703125" style="227" bestFit="1" customWidth="1"/>
    <col min="517" max="517" width="13.28515625" style="227" customWidth="1"/>
    <col min="518" max="518" width="20.5703125" style="227" customWidth="1"/>
    <col min="519" max="519" width="13.7109375" style="227" customWidth="1"/>
    <col min="520" max="520" width="13.5703125" style="227" customWidth="1"/>
    <col min="521" max="768" width="9.140625" style="227"/>
    <col min="769" max="769" width="54.28515625" style="227" bestFit="1" customWidth="1"/>
    <col min="770" max="770" width="19.140625" style="227" customWidth="1"/>
    <col min="771" max="771" width="21.85546875" style="227" bestFit="1" customWidth="1"/>
    <col min="772" max="772" width="38.5703125" style="227" bestFit="1" customWidth="1"/>
    <col min="773" max="773" width="13.28515625" style="227" customWidth="1"/>
    <col min="774" max="774" width="20.5703125" style="227" customWidth="1"/>
    <col min="775" max="775" width="13.7109375" style="227" customWidth="1"/>
    <col min="776" max="776" width="13.5703125" style="227" customWidth="1"/>
    <col min="777" max="1024" width="9.140625" style="227"/>
    <col min="1025" max="1025" width="54.28515625" style="227" bestFit="1" customWidth="1"/>
    <col min="1026" max="1026" width="19.140625" style="227" customWidth="1"/>
    <col min="1027" max="1027" width="21.85546875" style="227" bestFit="1" customWidth="1"/>
    <col min="1028" max="1028" width="38.5703125" style="227" bestFit="1" customWidth="1"/>
    <col min="1029" max="1029" width="13.28515625" style="227" customWidth="1"/>
    <col min="1030" max="1030" width="20.5703125" style="227" customWidth="1"/>
    <col min="1031" max="1031" width="13.7109375" style="227" customWidth="1"/>
    <col min="1032" max="1032" width="13.5703125" style="227" customWidth="1"/>
    <col min="1033" max="1280" width="9.140625" style="227"/>
    <col min="1281" max="1281" width="54.28515625" style="227" bestFit="1" customWidth="1"/>
    <col min="1282" max="1282" width="19.140625" style="227" customWidth="1"/>
    <col min="1283" max="1283" width="21.85546875" style="227" bestFit="1" customWidth="1"/>
    <col min="1284" max="1284" width="38.5703125" style="227" bestFit="1" customWidth="1"/>
    <col min="1285" max="1285" width="13.28515625" style="227" customWidth="1"/>
    <col min="1286" max="1286" width="20.5703125" style="227" customWidth="1"/>
    <col min="1287" max="1287" width="13.7109375" style="227" customWidth="1"/>
    <col min="1288" max="1288" width="13.5703125" style="227" customWidth="1"/>
    <col min="1289" max="1536" width="9.140625" style="227"/>
    <col min="1537" max="1537" width="54.28515625" style="227" bestFit="1" customWidth="1"/>
    <col min="1538" max="1538" width="19.140625" style="227" customWidth="1"/>
    <col min="1539" max="1539" width="21.85546875" style="227" bestFit="1" customWidth="1"/>
    <col min="1540" max="1540" width="38.5703125" style="227" bestFit="1" customWidth="1"/>
    <col min="1541" max="1541" width="13.28515625" style="227" customWidth="1"/>
    <col min="1542" max="1542" width="20.5703125" style="227" customWidth="1"/>
    <col min="1543" max="1543" width="13.7109375" style="227" customWidth="1"/>
    <col min="1544" max="1544" width="13.5703125" style="227" customWidth="1"/>
    <col min="1545" max="1792" width="9.140625" style="227"/>
    <col min="1793" max="1793" width="54.28515625" style="227" bestFit="1" customWidth="1"/>
    <col min="1794" max="1794" width="19.140625" style="227" customWidth="1"/>
    <col min="1795" max="1795" width="21.85546875" style="227" bestFit="1" customWidth="1"/>
    <col min="1796" max="1796" width="38.5703125" style="227" bestFit="1" customWidth="1"/>
    <col min="1797" max="1797" width="13.28515625" style="227" customWidth="1"/>
    <col min="1798" max="1798" width="20.5703125" style="227" customWidth="1"/>
    <col min="1799" max="1799" width="13.7109375" style="227" customWidth="1"/>
    <col min="1800" max="1800" width="13.5703125" style="227" customWidth="1"/>
    <col min="1801" max="2048" width="9.140625" style="227"/>
    <col min="2049" max="2049" width="54.28515625" style="227" bestFit="1" customWidth="1"/>
    <col min="2050" max="2050" width="19.140625" style="227" customWidth="1"/>
    <col min="2051" max="2051" width="21.85546875" style="227" bestFit="1" customWidth="1"/>
    <col min="2052" max="2052" width="38.5703125" style="227" bestFit="1" customWidth="1"/>
    <col min="2053" max="2053" width="13.28515625" style="227" customWidth="1"/>
    <col min="2054" max="2054" width="20.5703125" style="227" customWidth="1"/>
    <col min="2055" max="2055" width="13.7109375" style="227" customWidth="1"/>
    <col min="2056" max="2056" width="13.5703125" style="227" customWidth="1"/>
    <col min="2057" max="2304" width="9.140625" style="227"/>
    <col min="2305" max="2305" width="54.28515625" style="227" bestFit="1" customWidth="1"/>
    <col min="2306" max="2306" width="19.140625" style="227" customWidth="1"/>
    <col min="2307" max="2307" width="21.85546875" style="227" bestFit="1" customWidth="1"/>
    <col min="2308" max="2308" width="38.5703125" style="227" bestFit="1" customWidth="1"/>
    <col min="2309" max="2309" width="13.28515625" style="227" customWidth="1"/>
    <col min="2310" max="2310" width="20.5703125" style="227" customWidth="1"/>
    <col min="2311" max="2311" width="13.7109375" style="227" customWidth="1"/>
    <col min="2312" max="2312" width="13.5703125" style="227" customWidth="1"/>
    <col min="2313" max="2560" width="9.140625" style="227"/>
    <col min="2561" max="2561" width="54.28515625" style="227" bestFit="1" customWidth="1"/>
    <col min="2562" max="2562" width="19.140625" style="227" customWidth="1"/>
    <col min="2563" max="2563" width="21.85546875" style="227" bestFit="1" customWidth="1"/>
    <col min="2564" max="2564" width="38.5703125" style="227" bestFit="1" customWidth="1"/>
    <col min="2565" max="2565" width="13.28515625" style="227" customWidth="1"/>
    <col min="2566" max="2566" width="20.5703125" style="227" customWidth="1"/>
    <col min="2567" max="2567" width="13.7109375" style="227" customWidth="1"/>
    <col min="2568" max="2568" width="13.5703125" style="227" customWidth="1"/>
    <col min="2569" max="2816" width="9.140625" style="227"/>
    <col min="2817" max="2817" width="54.28515625" style="227" bestFit="1" customWidth="1"/>
    <col min="2818" max="2818" width="19.140625" style="227" customWidth="1"/>
    <col min="2819" max="2819" width="21.85546875" style="227" bestFit="1" customWidth="1"/>
    <col min="2820" max="2820" width="38.5703125" style="227" bestFit="1" customWidth="1"/>
    <col min="2821" max="2821" width="13.28515625" style="227" customWidth="1"/>
    <col min="2822" max="2822" width="20.5703125" style="227" customWidth="1"/>
    <col min="2823" max="2823" width="13.7109375" style="227" customWidth="1"/>
    <col min="2824" max="2824" width="13.5703125" style="227" customWidth="1"/>
    <col min="2825" max="3072" width="9.140625" style="227"/>
    <col min="3073" max="3073" width="54.28515625" style="227" bestFit="1" customWidth="1"/>
    <col min="3074" max="3074" width="19.140625" style="227" customWidth="1"/>
    <col min="3075" max="3075" width="21.85546875" style="227" bestFit="1" customWidth="1"/>
    <col min="3076" max="3076" width="38.5703125" style="227" bestFit="1" customWidth="1"/>
    <col min="3077" max="3077" width="13.28515625" style="227" customWidth="1"/>
    <col min="3078" max="3078" width="20.5703125" style="227" customWidth="1"/>
    <col min="3079" max="3079" width="13.7109375" style="227" customWidth="1"/>
    <col min="3080" max="3080" width="13.5703125" style="227" customWidth="1"/>
    <col min="3081" max="3328" width="9.140625" style="227"/>
    <col min="3329" max="3329" width="54.28515625" style="227" bestFit="1" customWidth="1"/>
    <col min="3330" max="3330" width="19.140625" style="227" customWidth="1"/>
    <col min="3331" max="3331" width="21.85546875" style="227" bestFit="1" customWidth="1"/>
    <col min="3332" max="3332" width="38.5703125" style="227" bestFit="1" customWidth="1"/>
    <col min="3333" max="3333" width="13.28515625" style="227" customWidth="1"/>
    <col min="3334" max="3334" width="20.5703125" style="227" customWidth="1"/>
    <col min="3335" max="3335" width="13.7109375" style="227" customWidth="1"/>
    <col min="3336" max="3336" width="13.5703125" style="227" customWidth="1"/>
    <col min="3337" max="3584" width="9.140625" style="227"/>
    <col min="3585" max="3585" width="54.28515625" style="227" bestFit="1" customWidth="1"/>
    <col min="3586" max="3586" width="19.140625" style="227" customWidth="1"/>
    <col min="3587" max="3587" width="21.85546875" style="227" bestFit="1" customWidth="1"/>
    <col min="3588" max="3588" width="38.5703125" style="227" bestFit="1" customWidth="1"/>
    <col min="3589" max="3589" width="13.28515625" style="227" customWidth="1"/>
    <col min="3590" max="3590" width="20.5703125" style="227" customWidth="1"/>
    <col min="3591" max="3591" width="13.7109375" style="227" customWidth="1"/>
    <col min="3592" max="3592" width="13.5703125" style="227" customWidth="1"/>
    <col min="3593" max="3840" width="9.140625" style="227"/>
    <col min="3841" max="3841" width="54.28515625" style="227" bestFit="1" customWidth="1"/>
    <col min="3842" max="3842" width="19.140625" style="227" customWidth="1"/>
    <col min="3843" max="3843" width="21.85546875" style="227" bestFit="1" customWidth="1"/>
    <col min="3844" max="3844" width="38.5703125" style="227" bestFit="1" customWidth="1"/>
    <col min="3845" max="3845" width="13.28515625" style="227" customWidth="1"/>
    <col min="3846" max="3846" width="20.5703125" style="227" customWidth="1"/>
    <col min="3847" max="3847" width="13.7109375" style="227" customWidth="1"/>
    <col min="3848" max="3848" width="13.5703125" style="227" customWidth="1"/>
    <col min="3849" max="4096" width="9.140625" style="227"/>
    <col min="4097" max="4097" width="54.28515625" style="227" bestFit="1" customWidth="1"/>
    <col min="4098" max="4098" width="19.140625" style="227" customWidth="1"/>
    <col min="4099" max="4099" width="21.85546875" style="227" bestFit="1" customWidth="1"/>
    <col min="4100" max="4100" width="38.5703125" style="227" bestFit="1" customWidth="1"/>
    <col min="4101" max="4101" width="13.28515625" style="227" customWidth="1"/>
    <col min="4102" max="4102" width="20.5703125" style="227" customWidth="1"/>
    <col min="4103" max="4103" width="13.7109375" style="227" customWidth="1"/>
    <col min="4104" max="4104" width="13.5703125" style="227" customWidth="1"/>
    <col min="4105" max="4352" width="9.140625" style="227"/>
    <col min="4353" max="4353" width="54.28515625" style="227" bestFit="1" customWidth="1"/>
    <col min="4354" max="4354" width="19.140625" style="227" customWidth="1"/>
    <col min="4355" max="4355" width="21.85546875" style="227" bestFit="1" customWidth="1"/>
    <col min="4356" max="4356" width="38.5703125" style="227" bestFit="1" customWidth="1"/>
    <col min="4357" max="4357" width="13.28515625" style="227" customWidth="1"/>
    <col min="4358" max="4358" width="20.5703125" style="227" customWidth="1"/>
    <col min="4359" max="4359" width="13.7109375" style="227" customWidth="1"/>
    <col min="4360" max="4360" width="13.5703125" style="227" customWidth="1"/>
    <col min="4361" max="4608" width="9.140625" style="227"/>
    <col min="4609" max="4609" width="54.28515625" style="227" bestFit="1" customWidth="1"/>
    <col min="4610" max="4610" width="19.140625" style="227" customWidth="1"/>
    <col min="4611" max="4611" width="21.85546875" style="227" bestFit="1" customWidth="1"/>
    <col min="4612" max="4612" width="38.5703125" style="227" bestFit="1" customWidth="1"/>
    <col min="4613" max="4613" width="13.28515625" style="227" customWidth="1"/>
    <col min="4614" max="4614" width="20.5703125" style="227" customWidth="1"/>
    <col min="4615" max="4615" width="13.7109375" style="227" customWidth="1"/>
    <col min="4616" max="4616" width="13.5703125" style="227" customWidth="1"/>
    <col min="4617" max="4864" width="9.140625" style="227"/>
    <col min="4865" max="4865" width="54.28515625" style="227" bestFit="1" customWidth="1"/>
    <col min="4866" max="4866" width="19.140625" style="227" customWidth="1"/>
    <col min="4867" max="4867" width="21.85546875" style="227" bestFit="1" customWidth="1"/>
    <col min="4868" max="4868" width="38.5703125" style="227" bestFit="1" customWidth="1"/>
    <col min="4869" max="4869" width="13.28515625" style="227" customWidth="1"/>
    <col min="4870" max="4870" width="20.5703125" style="227" customWidth="1"/>
    <col min="4871" max="4871" width="13.7109375" style="227" customWidth="1"/>
    <col min="4872" max="4872" width="13.5703125" style="227" customWidth="1"/>
    <col min="4873" max="5120" width="9.140625" style="227"/>
    <col min="5121" max="5121" width="54.28515625" style="227" bestFit="1" customWidth="1"/>
    <col min="5122" max="5122" width="19.140625" style="227" customWidth="1"/>
    <col min="5123" max="5123" width="21.85546875" style="227" bestFit="1" customWidth="1"/>
    <col min="5124" max="5124" width="38.5703125" style="227" bestFit="1" customWidth="1"/>
    <col min="5125" max="5125" width="13.28515625" style="227" customWidth="1"/>
    <col min="5126" max="5126" width="20.5703125" style="227" customWidth="1"/>
    <col min="5127" max="5127" width="13.7109375" style="227" customWidth="1"/>
    <col min="5128" max="5128" width="13.5703125" style="227" customWidth="1"/>
    <col min="5129" max="5376" width="9.140625" style="227"/>
    <col min="5377" max="5377" width="54.28515625" style="227" bestFit="1" customWidth="1"/>
    <col min="5378" max="5378" width="19.140625" style="227" customWidth="1"/>
    <col min="5379" max="5379" width="21.85546875" style="227" bestFit="1" customWidth="1"/>
    <col min="5380" max="5380" width="38.5703125" style="227" bestFit="1" customWidth="1"/>
    <col min="5381" max="5381" width="13.28515625" style="227" customWidth="1"/>
    <col min="5382" max="5382" width="20.5703125" style="227" customWidth="1"/>
    <col min="5383" max="5383" width="13.7109375" style="227" customWidth="1"/>
    <col min="5384" max="5384" width="13.5703125" style="227" customWidth="1"/>
    <col min="5385" max="5632" width="9.140625" style="227"/>
    <col min="5633" max="5633" width="54.28515625" style="227" bestFit="1" customWidth="1"/>
    <col min="5634" max="5634" width="19.140625" style="227" customWidth="1"/>
    <col min="5635" max="5635" width="21.85546875" style="227" bestFit="1" customWidth="1"/>
    <col min="5636" max="5636" width="38.5703125" style="227" bestFit="1" customWidth="1"/>
    <col min="5637" max="5637" width="13.28515625" style="227" customWidth="1"/>
    <col min="5638" max="5638" width="20.5703125" style="227" customWidth="1"/>
    <col min="5639" max="5639" width="13.7109375" style="227" customWidth="1"/>
    <col min="5640" max="5640" width="13.5703125" style="227" customWidth="1"/>
    <col min="5641" max="5888" width="9.140625" style="227"/>
    <col min="5889" max="5889" width="54.28515625" style="227" bestFit="1" customWidth="1"/>
    <col min="5890" max="5890" width="19.140625" style="227" customWidth="1"/>
    <col min="5891" max="5891" width="21.85546875" style="227" bestFit="1" customWidth="1"/>
    <col min="5892" max="5892" width="38.5703125" style="227" bestFit="1" customWidth="1"/>
    <col min="5893" max="5893" width="13.28515625" style="227" customWidth="1"/>
    <col min="5894" max="5894" width="20.5703125" style="227" customWidth="1"/>
    <col min="5895" max="5895" width="13.7109375" style="227" customWidth="1"/>
    <col min="5896" max="5896" width="13.5703125" style="227" customWidth="1"/>
    <col min="5897" max="6144" width="9.140625" style="227"/>
    <col min="6145" max="6145" width="54.28515625" style="227" bestFit="1" customWidth="1"/>
    <col min="6146" max="6146" width="19.140625" style="227" customWidth="1"/>
    <col min="6147" max="6147" width="21.85546875" style="227" bestFit="1" customWidth="1"/>
    <col min="6148" max="6148" width="38.5703125" style="227" bestFit="1" customWidth="1"/>
    <col min="6149" max="6149" width="13.28515625" style="227" customWidth="1"/>
    <col min="6150" max="6150" width="20.5703125" style="227" customWidth="1"/>
    <col min="6151" max="6151" width="13.7109375" style="227" customWidth="1"/>
    <col min="6152" max="6152" width="13.5703125" style="227" customWidth="1"/>
    <col min="6153" max="6400" width="9.140625" style="227"/>
    <col min="6401" max="6401" width="54.28515625" style="227" bestFit="1" customWidth="1"/>
    <col min="6402" max="6402" width="19.140625" style="227" customWidth="1"/>
    <col min="6403" max="6403" width="21.85546875" style="227" bestFit="1" customWidth="1"/>
    <col min="6404" max="6404" width="38.5703125" style="227" bestFit="1" customWidth="1"/>
    <col min="6405" max="6405" width="13.28515625" style="227" customWidth="1"/>
    <col min="6406" max="6406" width="20.5703125" style="227" customWidth="1"/>
    <col min="6407" max="6407" width="13.7109375" style="227" customWidth="1"/>
    <col min="6408" max="6408" width="13.5703125" style="227" customWidth="1"/>
    <col min="6409" max="6656" width="9.140625" style="227"/>
    <col min="6657" max="6657" width="54.28515625" style="227" bestFit="1" customWidth="1"/>
    <col min="6658" max="6658" width="19.140625" style="227" customWidth="1"/>
    <col min="6659" max="6659" width="21.85546875" style="227" bestFit="1" customWidth="1"/>
    <col min="6660" max="6660" width="38.5703125" style="227" bestFit="1" customWidth="1"/>
    <col min="6661" max="6661" width="13.28515625" style="227" customWidth="1"/>
    <col min="6662" max="6662" width="20.5703125" style="227" customWidth="1"/>
    <col min="6663" max="6663" width="13.7109375" style="227" customWidth="1"/>
    <col min="6664" max="6664" width="13.5703125" style="227" customWidth="1"/>
    <col min="6665" max="6912" width="9.140625" style="227"/>
    <col min="6913" max="6913" width="54.28515625" style="227" bestFit="1" customWidth="1"/>
    <col min="6914" max="6914" width="19.140625" style="227" customWidth="1"/>
    <col min="6915" max="6915" width="21.85546875" style="227" bestFit="1" customWidth="1"/>
    <col min="6916" max="6916" width="38.5703125" style="227" bestFit="1" customWidth="1"/>
    <col min="6917" max="6917" width="13.28515625" style="227" customWidth="1"/>
    <col min="6918" max="6918" width="20.5703125" style="227" customWidth="1"/>
    <col min="6919" max="6919" width="13.7109375" style="227" customWidth="1"/>
    <col min="6920" max="6920" width="13.5703125" style="227" customWidth="1"/>
    <col min="6921" max="7168" width="9.140625" style="227"/>
    <col min="7169" max="7169" width="54.28515625" style="227" bestFit="1" customWidth="1"/>
    <col min="7170" max="7170" width="19.140625" style="227" customWidth="1"/>
    <col min="7171" max="7171" width="21.85546875" style="227" bestFit="1" customWidth="1"/>
    <col min="7172" max="7172" width="38.5703125" style="227" bestFit="1" customWidth="1"/>
    <col min="7173" max="7173" width="13.28515625" style="227" customWidth="1"/>
    <col min="7174" max="7174" width="20.5703125" style="227" customWidth="1"/>
    <col min="7175" max="7175" width="13.7109375" style="227" customWidth="1"/>
    <col min="7176" max="7176" width="13.5703125" style="227" customWidth="1"/>
    <col min="7177" max="7424" width="9.140625" style="227"/>
    <col min="7425" max="7425" width="54.28515625" style="227" bestFit="1" customWidth="1"/>
    <col min="7426" max="7426" width="19.140625" style="227" customWidth="1"/>
    <col min="7427" max="7427" width="21.85546875" style="227" bestFit="1" customWidth="1"/>
    <col min="7428" max="7428" width="38.5703125" style="227" bestFit="1" customWidth="1"/>
    <col min="7429" max="7429" width="13.28515625" style="227" customWidth="1"/>
    <col min="7430" max="7430" width="20.5703125" style="227" customWidth="1"/>
    <col min="7431" max="7431" width="13.7109375" style="227" customWidth="1"/>
    <col min="7432" max="7432" width="13.5703125" style="227" customWidth="1"/>
    <col min="7433" max="7680" width="9.140625" style="227"/>
    <col min="7681" max="7681" width="54.28515625" style="227" bestFit="1" customWidth="1"/>
    <col min="7682" max="7682" width="19.140625" style="227" customWidth="1"/>
    <col min="7683" max="7683" width="21.85546875" style="227" bestFit="1" customWidth="1"/>
    <col min="7684" max="7684" width="38.5703125" style="227" bestFit="1" customWidth="1"/>
    <col min="7685" max="7685" width="13.28515625" style="227" customWidth="1"/>
    <col min="7686" max="7686" width="20.5703125" style="227" customWidth="1"/>
    <col min="7687" max="7687" width="13.7109375" style="227" customWidth="1"/>
    <col min="7688" max="7688" width="13.5703125" style="227" customWidth="1"/>
    <col min="7689" max="7936" width="9.140625" style="227"/>
    <col min="7937" max="7937" width="54.28515625" style="227" bestFit="1" customWidth="1"/>
    <col min="7938" max="7938" width="19.140625" style="227" customWidth="1"/>
    <col min="7939" max="7939" width="21.85546875" style="227" bestFit="1" customWidth="1"/>
    <col min="7940" max="7940" width="38.5703125" style="227" bestFit="1" customWidth="1"/>
    <col min="7941" max="7941" width="13.28515625" style="227" customWidth="1"/>
    <col min="7942" max="7942" width="20.5703125" style="227" customWidth="1"/>
    <col min="7943" max="7943" width="13.7109375" style="227" customWidth="1"/>
    <col min="7944" max="7944" width="13.5703125" style="227" customWidth="1"/>
    <col min="7945" max="8192" width="9.140625" style="227"/>
    <col min="8193" max="8193" width="54.28515625" style="227" bestFit="1" customWidth="1"/>
    <col min="8194" max="8194" width="19.140625" style="227" customWidth="1"/>
    <col min="8195" max="8195" width="21.85546875" style="227" bestFit="1" customWidth="1"/>
    <col min="8196" max="8196" width="38.5703125" style="227" bestFit="1" customWidth="1"/>
    <col min="8197" max="8197" width="13.28515625" style="227" customWidth="1"/>
    <col min="8198" max="8198" width="20.5703125" style="227" customWidth="1"/>
    <col min="8199" max="8199" width="13.7109375" style="227" customWidth="1"/>
    <col min="8200" max="8200" width="13.5703125" style="227" customWidth="1"/>
    <col min="8201" max="8448" width="9.140625" style="227"/>
    <col min="8449" max="8449" width="54.28515625" style="227" bestFit="1" customWidth="1"/>
    <col min="8450" max="8450" width="19.140625" style="227" customWidth="1"/>
    <col min="8451" max="8451" width="21.85546875" style="227" bestFit="1" customWidth="1"/>
    <col min="8452" max="8452" width="38.5703125" style="227" bestFit="1" customWidth="1"/>
    <col min="8453" max="8453" width="13.28515625" style="227" customWidth="1"/>
    <col min="8454" max="8454" width="20.5703125" style="227" customWidth="1"/>
    <col min="8455" max="8455" width="13.7109375" style="227" customWidth="1"/>
    <col min="8456" max="8456" width="13.5703125" style="227" customWidth="1"/>
    <col min="8457" max="8704" width="9.140625" style="227"/>
    <col min="8705" max="8705" width="54.28515625" style="227" bestFit="1" customWidth="1"/>
    <col min="8706" max="8706" width="19.140625" style="227" customWidth="1"/>
    <col min="8707" max="8707" width="21.85546875" style="227" bestFit="1" customWidth="1"/>
    <col min="8708" max="8708" width="38.5703125" style="227" bestFit="1" customWidth="1"/>
    <col min="8709" max="8709" width="13.28515625" style="227" customWidth="1"/>
    <col min="8710" max="8710" width="20.5703125" style="227" customWidth="1"/>
    <col min="8711" max="8711" width="13.7109375" style="227" customWidth="1"/>
    <col min="8712" max="8712" width="13.5703125" style="227" customWidth="1"/>
    <col min="8713" max="8960" width="9.140625" style="227"/>
    <col min="8961" max="8961" width="54.28515625" style="227" bestFit="1" customWidth="1"/>
    <col min="8962" max="8962" width="19.140625" style="227" customWidth="1"/>
    <col min="8963" max="8963" width="21.85546875" style="227" bestFit="1" customWidth="1"/>
    <col min="8964" max="8964" width="38.5703125" style="227" bestFit="1" customWidth="1"/>
    <col min="8965" max="8965" width="13.28515625" style="227" customWidth="1"/>
    <col min="8966" max="8966" width="20.5703125" style="227" customWidth="1"/>
    <col min="8967" max="8967" width="13.7109375" style="227" customWidth="1"/>
    <col min="8968" max="8968" width="13.5703125" style="227" customWidth="1"/>
    <col min="8969" max="9216" width="9.140625" style="227"/>
    <col min="9217" max="9217" width="54.28515625" style="227" bestFit="1" customWidth="1"/>
    <col min="9218" max="9218" width="19.140625" style="227" customWidth="1"/>
    <col min="9219" max="9219" width="21.85546875" style="227" bestFit="1" customWidth="1"/>
    <col min="9220" max="9220" width="38.5703125" style="227" bestFit="1" customWidth="1"/>
    <col min="9221" max="9221" width="13.28515625" style="227" customWidth="1"/>
    <col min="9222" max="9222" width="20.5703125" style="227" customWidth="1"/>
    <col min="9223" max="9223" width="13.7109375" style="227" customWidth="1"/>
    <col min="9224" max="9224" width="13.5703125" style="227" customWidth="1"/>
    <col min="9225" max="9472" width="9.140625" style="227"/>
    <col min="9473" max="9473" width="54.28515625" style="227" bestFit="1" customWidth="1"/>
    <col min="9474" max="9474" width="19.140625" style="227" customWidth="1"/>
    <col min="9475" max="9475" width="21.85546875" style="227" bestFit="1" customWidth="1"/>
    <col min="9476" max="9476" width="38.5703125" style="227" bestFit="1" customWidth="1"/>
    <col min="9477" max="9477" width="13.28515625" style="227" customWidth="1"/>
    <col min="9478" max="9478" width="20.5703125" style="227" customWidth="1"/>
    <col min="9479" max="9479" width="13.7109375" style="227" customWidth="1"/>
    <col min="9480" max="9480" width="13.5703125" style="227" customWidth="1"/>
    <col min="9481" max="9728" width="9.140625" style="227"/>
    <col min="9729" max="9729" width="54.28515625" style="227" bestFit="1" customWidth="1"/>
    <col min="9730" max="9730" width="19.140625" style="227" customWidth="1"/>
    <col min="9731" max="9731" width="21.85546875" style="227" bestFit="1" customWidth="1"/>
    <col min="9732" max="9732" width="38.5703125" style="227" bestFit="1" customWidth="1"/>
    <col min="9733" max="9733" width="13.28515625" style="227" customWidth="1"/>
    <col min="9734" max="9734" width="20.5703125" style="227" customWidth="1"/>
    <col min="9735" max="9735" width="13.7109375" style="227" customWidth="1"/>
    <col min="9736" max="9736" width="13.5703125" style="227" customWidth="1"/>
    <col min="9737" max="9984" width="9.140625" style="227"/>
    <col min="9985" max="9985" width="54.28515625" style="227" bestFit="1" customWidth="1"/>
    <col min="9986" max="9986" width="19.140625" style="227" customWidth="1"/>
    <col min="9987" max="9987" width="21.85546875" style="227" bestFit="1" customWidth="1"/>
    <col min="9988" max="9988" width="38.5703125" style="227" bestFit="1" customWidth="1"/>
    <col min="9989" max="9989" width="13.28515625" style="227" customWidth="1"/>
    <col min="9990" max="9990" width="20.5703125" style="227" customWidth="1"/>
    <col min="9991" max="9991" width="13.7109375" style="227" customWidth="1"/>
    <col min="9992" max="9992" width="13.5703125" style="227" customWidth="1"/>
    <col min="9993" max="10240" width="9.140625" style="227"/>
    <col min="10241" max="10241" width="54.28515625" style="227" bestFit="1" customWidth="1"/>
    <col min="10242" max="10242" width="19.140625" style="227" customWidth="1"/>
    <col min="10243" max="10243" width="21.85546875" style="227" bestFit="1" customWidth="1"/>
    <col min="10244" max="10244" width="38.5703125" style="227" bestFit="1" customWidth="1"/>
    <col min="10245" max="10245" width="13.28515625" style="227" customWidth="1"/>
    <col min="10246" max="10246" width="20.5703125" style="227" customWidth="1"/>
    <col min="10247" max="10247" width="13.7109375" style="227" customWidth="1"/>
    <col min="10248" max="10248" width="13.5703125" style="227" customWidth="1"/>
    <col min="10249" max="10496" width="9.140625" style="227"/>
    <col min="10497" max="10497" width="54.28515625" style="227" bestFit="1" customWidth="1"/>
    <col min="10498" max="10498" width="19.140625" style="227" customWidth="1"/>
    <col min="10499" max="10499" width="21.85546875" style="227" bestFit="1" customWidth="1"/>
    <col min="10500" max="10500" width="38.5703125" style="227" bestFit="1" customWidth="1"/>
    <col min="10501" max="10501" width="13.28515625" style="227" customWidth="1"/>
    <col min="10502" max="10502" width="20.5703125" style="227" customWidth="1"/>
    <col min="10503" max="10503" width="13.7109375" style="227" customWidth="1"/>
    <col min="10504" max="10504" width="13.5703125" style="227" customWidth="1"/>
    <col min="10505" max="10752" width="9.140625" style="227"/>
    <col min="10753" max="10753" width="54.28515625" style="227" bestFit="1" customWidth="1"/>
    <col min="10754" max="10754" width="19.140625" style="227" customWidth="1"/>
    <col min="10755" max="10755" width="21.85546875" style="227" bestFit="1" customWidth="1"/>
    <col min="10756" max="10756" width="38.5703125" style="227" bestFit="1" customWidth="1"/>
    <col min="10757" max="10757" width="13.28515625" style="227" customWidth="1"/>
    <col min="10758" max="10758" width="20.5703125" style="227" customWidth="1"/>
    <col min="10759" max="10759" width="13.7109375" style="227" customWidth="1"/>
    <col min="10760" max="10760" width="13.5703125" style="227" customWidth="1"/>
    <col min="10761" max="11008" width="9.140625" style="227"/>
    <col min="11009" max="11009" width="54.28515625" style="227" bestFit="1" customWidth="1"/>
    <col min="11010" max="11010" width="19.140625" style="227" customWidth="1"/>
    <col min="11011" max="11011" width="21.85546875" style="227" bestFit="1" customWidth="1"/>
    <col min="11012" max="11012" width="38.5703125" style="227" bestFit="1" customWidth="1"/>
    <col min="11013" max="11013" width="13.28515625" style="227" customWidth="1"/>
    <col min="11014" max="11014" width="20.5703125" style="227" customWidth="1"/>
    <col min="11015" max="11015" width="13.7109375" style="227" customWidth="1"/>
    <col min="11016" max="11016" width="13.5703125" style="227" customWidth="1"/>
    <col min="11017" max="11264" width="9.140625" style="227"/>
    <col min="11265" max="11265" width="54.28515625" style="227" bestFit="1" customWidth="1"/>
    <col min="11266" max="11266" width="19.140625" style="227" customWidth="1"/>
    <col min="11267" max="11267" width="21.85546875" style="227" bestFit="1" customWidth="1"/>
    <col min="11268" max="11268" width="38.5703125" style="227" bestFit="1" customWidth="1"/>
    <col min="11269" max="11269" width="13.28515625" style="227" customWidth="1"/>
    <col min="11270" max="11270" width="20.5703125" style="227" customWidth="1"/>
    <col min="11271" max="11271" width="13.7109375" style="227" customWidth="1"/>
    <col min="11272" max="11272" width="13.5703125" style="227" customWidth="1"/>
    <col min="11273" max="11520" width="9.140625" style="227"/>
    <col min="11521" max="11521" width="54.28515625" style="227" bestFit="1" customWidth="1"/>
    <col min="11522" max="11522" width="19.140625" style="227" customWidth="1"/>
    <col min="11523" max="11523" width="21.85546875" style="227" bestFit="1" customWidth="1"/>
    <col min="11524" max="11524" width="38.5703125" style="227" bestFit="1" customWidth="1"/>
    <col min="11525" max="11525" width="13.28515625" style="227" customWidth="1"/>
    <col min="11526" max="11526" width="20.5703125" style="227" customWidth="1"/>
    <col min="11527" max="11527" width="13.7109375" style="227" customWidth="1"/>
    <col min="11528" max="11528" width="13.5703125" style="227" customWidth="1"/>
    <col min="11529" max="11776" width="9.140625" style="227"/>
    <col min="11777" max="11777" width="54.28515625" style="227" bestFit="1" customWidth="1"/>
    <col min="11778" max="11778" width="19.140625" style="227" customWidth="1"/>
    <col min="11779" max="11779" width="21.85546875" style="227" bestFit="1" customWidth="1"/>
    <col min="11780" max="11780" width="38.5703125" style="227" bestFit="1" customWidth="1"/>
    <col min="11781" max="11781" width="13.28515625" style="227" customWidth="1"/>
    <col min="11782" max="11782" width="20.5703125" style="227" customWidth="1"/>
    <col min="11783" max="11783" width="13.7109375" style="227" customWidth="1"/>
    <col min="11784" max="11784" width="13.5703125" style="227" customWidth="1"/>
    <col min="11785" max="12032" width="9.140625" style="227"/>
    <col min="12033" max="12033" width="54.28515625" style="227" bestFit="1" customWidth="1"/>
    <col min="12034" max="12034" width="19.140625" style="227" customWidth="1"/>
    <col min="12035" max="12035" width="21.85546875" style="227" bestFit="1" customWidth="1"/>
    <col min="12036" max="12036" width="38.5703125" style="227" bestFit="1" customWidth="1"/>
    <col min="12037" max="12037" width="13.28515625" style="227" customWidth="1"/>
    <col min="12038" max="12038" width="20.5703125" style="227" customWidth="1"/>
    <col min="12039" max="12039" width="13.7109375" style="227" customWidth="1"/>
    <col min="12040" max="12040" width="13.5703125" style="227" customWidth="1"/>
    <col min="12041" max="12288" width="9.140625" style="227"/>
    <col min="12289" max="12289" width="54.28515625" style="227" bestFit="1" customWidth="1"/>
    <col min="12290" max="12290" width="19.140625" style="227" customWidth="1"/>
    <col min="12291" max="12291" width="21.85546875" style="227" bestFit="1" customWidth="1"/>
    <col min="12292" max="12292" width="38.5703125" style="227" bestFit="1" customWidth="1"/>
    <col min="12293" max="12293" width="13.28515625" style="227" customWidth="1"/>
    <col min="12294" max="12294" width="20.5703125" style="227" customWidth="1"/>
    <col min="12295" max="12295" width="13.7109375" style="227" customWidth="1"/>
    <col min="12296" max="12296" width="13.5703125" style="227" customWidth="1"/>
    <col min="12297" max="12544" width="9.140625" style="227"/>
    <col min="12545" max="12545" width="54.28515625" style="227" bestFit="1" customWidth="1"/>
    <col min="12546" max="12546" width="19.140625" style="227" customWidth="1"/>
    <col min="12547" max="12547" width="21.85546875" style="227" bestFit="1" customWidth="1"/>
    <col min="12548" max="12548" width="38.5703125" style="227" bestFit="1" customWidth="1"/>
    <col min="12549" max="12549" width="13.28515625" style="227" customWidth="1"/>
    <col min="12550" max="12550" width="20.5703125" style="227" customWidth="1"/>
    <col min="12551" max="12551" width="13.7109375" style="227" customWidth="1"/>
    <col min="12552" max="12552" width="13.5703125" style="227" customWidth="1"/>
    <col min="12553" max="12800" width="9.140625" style="227"/>
    <col min="12801" max="12801" width="54.28515625" style="227" bestFit="1" customWidth="1"/>
    <col min="12802" max="12802" width="19.140625" style="227" customWidth="1"/>
    <col min="12803" max="12803" width="21.85546875" style="227" bestFit="1" customWidth="1"/>
    <col min="12804" max="12804" width="38.5703125" style="227" bestFit="1" customWidth="1"/>
    <col min="12805" max="12805" width="13.28515625" style="227" customWidth="1"/>
    <col min="12806" max="12806" width="20.5703125" style="227" customWidth="1"/>
    <col min="12807" max="12807" width="13.7109375" style="227" customWidth="1"/>
    <col min="12808" max="12808" width="13.5703125" style="227" customWidth="1"/>
    <col min="12809" max="13056" width="9.140625" style="227"/>
    <col min="13057" max="13057" width="54.28515625" style="227" bestFit="1" customWidth="1"/>
    <col min="13058" max="13058" width="19.140625" style="227" customWidth="1"/>
    <col min="13059" max="13059" width="21.85546875" style="227" bestFit="1" customWidth="1"/>
    <col min="13060" max="13060" width="38.5703125" style="227" bestFit="1" customWidth="1"/>
    <col min="13061" max="13061" width="13.28515625" style="227" customWidth="1"/>
    <col min="13062" max="13062" width="20.5703125" style="227" customWidth="1"/>
    <col min="13063" max="13063" width="13.7109375" style="227" customWidth="1"/>
    <col min="13064" max="13064" width="13.5703125" style="227" customWidth="1"/>
    <col min="13065" max="13312" width="9.140625" style="227"/>
    <col min="13313" max="13313" width="54.28515625" style="227" bestFit="1" customWidth="1"/>
    <col min="13314" max="13314" width="19.140625" style="227" customWidth="1"/>
    <col min="13315" max="13315" width="21.85546875" style="227" bestFit="1" customWidth="1"/>
    <col min="13316" max="13316" width="38.5703125" style="227" bestFit="1" customWidth="1"/>
    <col min="13317" max="13317" width="13.28515625" style="227" customWidth="1"/>
    <col min="13318" max="13318" width="20.5703125" style="227" customWidth="1"/>
    <col min="13319" max="13319" width="13.7109375" style="227" customWidth="1"/>
    <col min="13320" max="13320" width="13.5703125" style="227" customWidth="1"/>
    <col min="13321" max="13568" width="9.140625" style="227"/>
    <col min="13569" max="13569" width="54.28515625" style="227" bestFit="1" customWidth="1"/>
    <col min="13570" max="13570" width="19.140625" style="227" customWidth="1"/>
    <col min="13571" max="13571" width="21.85546875" style="227" bestFit="1" customWidth="1"/>
    <col min="13572" max="13572" width="38.5703125" style="227" bestFit="1" customWidth="1"/>
    <col min="13573" max="13573" width="13.28515625" style="227" customWidth="1"/>
    <col min="13574" max="13574" width="20.5703125" style="227" customWidth="1"/>
    <col min="13575" max="13575" width="13.7109375" style="227" customWidth="1"/>
    <col min="13576" max="13576" width="13.5703125" style="227" customWidth="1"/>
    <col min="13577" max="13824" width="9.140625" style="227"/>
    <col min="13825" max="13825" width="54.28515625" style="227" bestFit="1" customWidth="1"/>
    <col min="13826" max="13826" width="19.140625" style="227" customWidth="1"/>
    <col min="13827" max="13827" width="21.85546875" style="227" bestFit="1" customWidth="1"/>
    <col min="13828" max="13828" width="38.5703125" style="227" bestFit="1" customWidth="1"/>
    <col min="13829" max="13829" width="13.28515625" style="227" customWidth="1"/>
    <col min="13830" max="13830" width="20.5703125" style="227" customWidth="1"/>
    <col min="13831" max="13831" width="13.7109375" style="227" customWidth="1"/>
    <col min="13832" max="13832" width="13.5703125" style="227" customWidth="1"/>
    <col min="13833" max="14080" width="9.140625" style="227"/>
    <col min="14081" max="14081" width="54.28515625" style="227" bestFit="1" customWidth="1"/>
    <col min="14082" max="14082" width="19.140625" style="227" customWidth="1"/>
    <col min="14083" max="14083" width="21.85546875" style="227" bestFit="1" customWidth="1"/>
    <col min="14084" max="14084" width="38.5703125" style="227" bestFit="1" customWidth="1"/>
    <col min="14085" max="14085" width="13.28515625" style="227" customWidth="1"/>
    <col min="14086" max="14086" width="20.5703125" style="227" customWidth="1"/>
    <col min="14087" max="14087" width="13.7109375" style="227" customWidth="1"/>
    <col min="14088" max="14088" width="13.5703125" style="227" customWidth="1"/>
    <col min="14089" max="14336" width="9.140625" style="227"/>
    <col min="14337" max="14337" width="54.28515625" style="227" bestFit="1" customWidth="1"/>
    <col min="14338" max="14338" width="19.140625" style="227" customWidth="1"/>
    <col min="14339" max="14339" width="21.85546875" style="227" bestFit="1" customWidth="1"/>
    <col min="14340" max="14340" width="38.5703125" style="227" bestFit="1" customWidth="1"/>
    <col min="14341" max="14341" width="13.28515625" style="227" customWidth="1"/>
    <col min="14342" max="14342" width="20.5703125" style="227" customWidth="1"/>
    <col min="14343" max="14343" width="13.7109375" style="227" customWidth="1"/>
    <col min="14344" max="14344" width="13.5703125" style="227" customWidth="1"/>
    <col min="14345" max="14592" width="9.140625" style="227"/>
    <col min="14593" max="14593" width="54.28515625" style="227" bestFit="1" customWidth="1"/>
    <col min="14594" max="14594" width="19.140625" style="227" customWidth="1"/>
    <col min="14595" max="14595" width="21.85546875" style="227" bestFit="1" customWidth="1"/>
    <col min="14596" max="14596" width="38.5703125" style="227" bestFit="1" customWidth="1"/>
    <col min="14597" max="14597" width="13.28515625" style="227" customWidth="1"/>
    <col min="14598" max="14598" width="20.5703125" style="227" customWidth="1"/>
    <col min="14599" max="14599" width="13.7109375" style="227" customWidth="1"/>
    <col min="14600" max="14600" width="13.5703125" style="227" customWidth="1"/>
    <col min="14601" max="14848" width="9.140625" style="227"/>
    <col min="14849" max="14849" width="54.28515625" style="227" bestFit="1" customWidth="1"/>
    <col min="14850" max="14850" width="19.140625" style="227" customWidth="1"/>
    <col min="14851" max="14851" width="21.85546875" style="227" bestFit="1" customWidth="1"/>
    <col min="14852" max="14852" width="38.5703125" style="227" bestFit="1" customWidth="1"/>
    <col min="14853" max="14853" width="13.28515625" style="227" customWidth="1"/>
    <col min="14854" max="14854" width="20.5703125" style="227" customWidth="1"/>
    <col min="14855" max="14855" width="13.7109375" style="227" customWidth="1"/>
    <col min="14856" max="14856" width="13.5703125" style="227" customWidth="1"/>
    <col min="14857" max="15104" width="9.140625" style="227"/>
    <col min="15105" max="15105" width="54.28515625" style="227" bestFit="1" customWidth="1"/>
    <col min="15106" max="15106" width="19.140625" style="227" customWidth="1"/>
    <col min="15107" max="15107" width="21.85546875" style="227" bestFit="1" customWidth="1"/>
    <col min="15108" max="15108" width="38.5703125" style="227" bestFit="1" customWidth="1"/>
    <col min="15109" max="15109" width="13.28515625" style="227" customWidth="1"/>
    <col min="15110" max="15110" width="20.5703125" style="227" customWidth="1"/>
    <col min="15111" max="15111" width="13.7109375" style="227" customWidth="1"/>
    <col min="15112" max="15112" width="13.5703125" style="227" customWidth="1"/>
    <col min="15113" max="15360" width="9.140625" style="227"/>
    <col min="15361" max="15361" width="54.28515625" style="227" bestFit="1" customWidth="1"/>
    <col min="15362" max="15362" width="19.140625" style="227" customWidth="1"/>
    <col min="15363" max="15363" width="21.85546875" style="227" bestFit="1" customWidth="1"/>
    <col min="15364" max="15364" width="38.5703125" style="227" bestFit="1" customWidth="1"/>
    <col min="15365" max="15365" width="13.28515625" style="227" customWidth="1"/>
    <col min="15366" max="15366" width="20.5703125" style="227" customWidth="1"/>
    <col min="15367" max="15367" width="13.7109375" style="227" customWidth="1"/>
    <col min="15368" max="15368" width="13.5703125" style="227" customWidth="1"/>
    <col min="15369" max="15616" width="9.140625" style="227"/>
    <col min="15617" max="15617" width="54.28515625" style="227" bestFit="1" customWidth="1"/>
    <col min="15618" max="15618" width="19.140625" style="227" customWidth="1"/>
    <col min="15619" max="15619" width="21.85546875" style="227" bestFit="1" customWidth="1"/>
    <col min="15620" max="15620" width="38.5703125" style="227" bestFit="1" customWidth="1"/>
    <col min="15621" max="15621" width="13.28515625" style="227" customWidth="1"/>
    <col min="15622" max="15622" width="20.5703125" style="227" customWidth="1"/>
    <col min="15623" max="15623" width="13.7109375" style="227" customWidth="1"/>
    <col min="15624" max="15624" width="13.5703125" style="227" customWidth="1"/>
    <col min="15625" max="15872" width="9.140625" style="227"/>
    <col min="15873" max="15873" width="54.28515625" style="227" bestFit="1" customWidth="1"/>
    <col min="15874" max="15874" width="19.140625" style="227" customWidth="1"/>
    <col min="15875" max="15875" width="21.85546875" style="227" bestFit="1" customWidth="1"/>
    <col min="15876" max="15876" width="38.5703125" style="227" bestFit="1" customWidth="1"/>
    <col min="15877" max="15877" width="13.28515625" style="227" customWidth="1"/>
    <col min="15878" max="15878" width="20.5703125" style="227" customWidth="1"/>
    <col min="15879" max="15879" width="13.7109375" style="227" customWidth="1"/>
    <col min="15880" max="15880" width="13.5703125" style="227" customWidth="1"/>
    <col min="15881" max="16128" width="9.140625" style="227"/>
    <col min="16129" max="16129" width="54.28515625" style="227" bestFit="1" customWidth="1"/>
    <col min="16130" max="16130" width="19.140625" style="227" customWidth="1"/>
    <col min="16131" max="16131" width="21.85546875" style="227" bestFit="1" customWidth="1"/>
    <col min="16132" max="16132" width="38.5703125" style="227" bestFit="1" customWidth="1"/>
    <col min="16133" max="16133" width="13.28515625" style="227" customWidth="1"/>
    <col min="16134" max="16134" width="20.5703125" style="227" customWidth="1"/>
    <col min="16135" max="16135" width="13.7109375" style="227" customWidth="1"/>
    <col min="16136" max="16136" width="13.5703125" style="227" customWidth="1"/>
    <col min="16137" max="16384" width="9.140625" style="227"/>
  </cols>
  <sheetData>
    <row r="1" spans="1:6" ht="18" x14ac:dyDescent="0.25">
      <c r="A1" s="290" t="s">
        <v>3975</v>
      </c>
    </row>
    <row r="2" spans="1:6" ht="18" x14ac:dyDescent="0.25">
      <c r="A2" s="290"/>
    </row>
    <row r="3" spans="1:6" x14ac:dyDescent="0.2">
      <c r="A3" s="278" t="s">
        <v>3957</v>
      </c>
    </row>
    <row r="4" spans="1:6" ht="25.5" customHeight="1" x14ac:dyDescent="0.2">
      <c r="A4" s="261" t="s">
        <v>3886</v>
      </c>
      <c r="B4" s="261" t="s">
        <v>3573</v>
      </c>
      <c r="C4" s="261" t="s">
        <v>3956</v>
      </c>
      <c r="D4" s="261" t="s">
        <v>3945</v>
      </c>
      <c r="E4" s="261" t="s">
        <v>3944</v>
      </c>
      <c r="F4" s="260" t="s">
        <v>3955</v>
      </c>
    </row>
    <row r="5" spans="1:6" x14ac:dyDescent="0.2">
      <c r="A5" s="331" t="s">
        <v>2366</v>
      </c>
      <c r="B5" s="330" t="s">
        <v>2365</v>
      </c>
      <c r="C5" s="299">
        <f>SUMIF('Staff data'!$B:$B,$B5,'Staff data'!$O:$O)</f>
        <v>1.1310772783179113</v>
      </c>
      <c r="D5" s="270">
        <f>+$H$57</f>
        <v>636</v>
      </c>
      <c r="E5" s="325">
        <f>D5/D7</f>
        <v>0.50396196513470681</v>
      </c>
      <c r="F5" s="254">
        <f>C5*E5</f>
        <v>0.57001992790031031</v>
      </c>
    </row>
    <row r="6" spans="1:6" x14ac:dyDescent="0.2">
      <c r="A6" s="331" t="s">
        <v>2392</v>
      </c>
      <c r="B6" s="330" t="s">
        <v>2391</v>
      </c>
      <c r="C6" s="299">
        <f>SUMIF('Staff data'!$B:$B,$B6,'Staff data'!$O:$O)</f>
        <v>1.1525669710702142</v>
      </c>
      <c r="D6" s="276">
        <f>+$H$55+$H$56</f>
        <v>626</v>
      </c>
      <c r="E6" s="325">
        <f>D6/D7</f>
        <v>0.49603803486529319</v>
      </c>
      <c r="F6" s="254">
        <f>C6*E6</f>
        <v>0.57171705538031226</v>
      </c>
    </row>
    <row r="7" spans="1:6" x14ac:dyDescent="0.2">
      <c r="A7" s="232" t="s">
        <v>3926</v>
      </c>
      <c r="B7" s="267"/>
      <c r="C7" s="254"/>
      <c r="D7" s="270">
        <f>SUM(D5:D6)</f>
        <v>1262</v>
      </c>
      <c r="E7" s="284">
        <f>SUM(E5:E6)</f>
        <v>1</v>
      </c>
      <c r="F7" s="271">
        <f>SUM(F5:F6)</f>
        <v>1.1417369832806226</v>
      </c>
    </row>
    <row r="8" spans="1:6" x14ac:dyDescent="0.2">
      <c r="A8" s="282"/>
      <c r="B8" s="283"/>
      <c r="C8" s="287"/>
      <c r="D8" s="282"/>
      <c r="E8" s="282"/>
      <c r="F8" s="281"/>
    </row>
    <row r="9" spans="1:6" x14ac:dyDescent="0.2">
      <c r="B9" s="262"/>
      <c r="C9" s="245"/>
      <c r="F9" s="245"/>
    </row>
    <row r="10" spans="1:6" x14ac:dyDescent="0.2">
      <c r="A10" s="278" t="s">
        <v>3954</v>
      </c>
      <c r="B10" s="262"/>
      <c r="C10" s="245"/>
      <c r="F10" s="245"/>
    </row>
    <row r="11" spans="1:6" ht="25.5" customHeight="1" x14ac:dyDescent="0.2">
      <c r="A11" s="261" t="s">
        <v>3886</v>
      </c>
      <c r="B11" s="261" t="s">
        <v>3573</v>
      </c>
      <c r="C11" s="286" t="s">
        <v>3953</v>
      </c>
      <c r="D11" s="261" t="s">
        <v>3945</v>
      </c>
      <c r="E11" s="261" t="s">
        <v>3944</v>
      </c>
      <c r="F11" s="288" t="s">
        <v>3952</v>
      </c>
    </row>
    <row r="12" spans="1:6" x14ac:dyDescent="0.2">
      <c r="A12" s="331" t="s">
        <v>2366</v>
      </c>
      <c r="B12" s="330" t="s">
        <v>2365</v>
      </c>
      <c r="C12" s="299">
        <f>SUMIF('Buildings data'!$B$2:$B$755,$B12,'Buildings data'!$L$2:$L$755)</f>
        <v>1.1045712545153963</v>
      </c>
      <c r="D12" s="270">
        <f>+$H$57</f>
        <v>636</v>
      </c>
      <c r="E12" s="325">
        <f>D12/$D$14</f>
        <v>0.50396196513470681</v>
      </c>
      <c r="F12" s="254">
        <f>C12*E12</f>
        <v>0.55666190005688754</v>
      </c>
    </row>
    <row r="13" spans="1:6" x14ac:dyDescent="0.2">
      <c r="A13" s="331" t="s">
        <v>2392</v>
      </c>
      <c r="B13" s="330" t="s">
        <v>2391</v>
      </c>
      <c r="C13" s="299">
        <f>SUMIF('Buildings data'!$B$2:$B$755,$B13,'Buildings data'!$L$2:$L$755)</f>
        <v>1.0747179773663313</v>
      </c>
      <c r="D13" s="276">
        <f>+$H$55+$H$56</f>
        <v>626</v>
      </c>
      <c r="E13" s="325">
        <f>D13/$D$14</f>
        <v>0.49603803486529319</v>
      </c>
      <c r="F13" s="254">
        <f>C13*E13</f>
        <v>0.53310099352719764</v>
      </c>
    </row>
    <row r="14" spans="1:6" x14ac:dyDescent="0.2">
      <c r="A14" s="232" t="s">
        <v>3926</v>
      </c>
      <c r="B14" s="267"/>
      <c r="C14" s="254"/>
      <c r="D14" s="270">
        <f>SUM(D12:D13)</f>
        <v>1262</v>
      </c>
      <c r="E14" s="284">
        <f>SUM(E12:E13)</f>
        <v>1</v>
      </c>
      <c r="F14" s="271">
        <f>SUM(F12:F13)</f>
        <v>1.0897628935840853</v>
      </c>
    </row>
    <row r="15" spans="1:6" x14ac:dyDescent="0.2">
      <c r="A15" s="282"/>
      <c r="B15" s="283"/>
      <c r="C15" s="287"/>
      <c r="D15" s="282"/>
      <c r="E15" s="282"/>
      <c r="F15" s="281"/>
    </row>
    <row r="16" spans="1:6" x14ac:dyDescent="0.2">
      <c r="B16" s="262"/>
      <c r="C16" s="245"/>
    </row>
    <row r="17" spans="1:9" x14ac:dyDescent="0.2">
      <c r="A17" s="278" t="s">
        <v>2735</v>
      </c>
      <c r="B17" s="262"/>
      <c r="C17" s="245"/>
    </row>
    <row r="18" spans="1:9" ht="25.5" x14ac:dyDescent="0.2">
      <c r="A18" s="261" t="s">
        <v>3886</v>
      </c>
      <c r="B18" s="261" t="s">
        <v>3573</v>
      </c>
      <c r="C18" s="286" t="s">
        <v>3951</v>
      </c>
      <c r="D18" s="261" t="s">
        <v>3945</v>
      </c>
      <c r="E18" s="261" t="s">
        <v>3944</v>
      </c>
      <c r="F18" s="260" t="s">
        <v>3950</v>
      </c>
    </row>
    <row r="19" spans="1:9" x14ac:dyDescent="0.2">
      <c r="A19" s="331" t="s">
        <v>2366</v>
      </c>
      <c r="B19" s="330" t="s">
        <v>2365</v>
      </c>
      <c r="C19" s="299">
        <f>VLOOKUP($B19,'M&amp;D data'!$C$13:$G$234,5,FALSE)</f>
        <v>0.99619990923086066</v>
      </c>
      <c r="D19" s="270">
        <f>+$H$57</f>
        <v>636</v>
      </c>
      <c r="E19" s="325">
        <f>D19/D21</f>
        <v>0.50396196513470681</v>
      </c>
      <c r="F19" s="254">
        <f>+E19*C19</f>
        <v>0.50204686392300113</v>
      </c>
    </row>
    <row r="20" spans="1:9" x14ac:dyDescent="0.2">
      <c r="A20" s="331" t="s">
        <v>2392</v>
      </c>
      <c r="B20" s="330" t="s">
        <v>2391</v>
      </c>
      <c r="C20" s="299">
        <f>VLOOKUP($B20,'M&amp;D data'!$C$13:$G$234,5,FALSE)</f>
        <v>0.99619990923086066</v>
      </c>
      <c r="D20" s="276">
        <f>+$H$55+$H$56</f>
        <v>626</v>
      </c>
      <c r="E20" s="325">
        <f>D20/D21</f>
        <v>0.49603803486529319</v>
      </c>
      <c r="F20" s="254">
        <f>+E20*C20</f>
        <v>0.49415304530785958</v>
      </c>
    </row>
    <row r="21" spans="1:9" x14ac:dyDescent="0.2">
      <c r="A21" s="232" t="s">
        <v>3926</v>
      </c>
      <c r="B21" s="267"/>
      <c r="C21" s="232"/>
      <c r="D21" s="270">
        <f>SUM(D19:D20)</f>
        <v>1262</v>
      </c>
      <c r="E21" s="284">
        <f>SUM(E19:E20)</f>
        <v>1</v>
      </c>
      <c r="F21" s="271">
        <f>SUM(F19:F20)</f>
        <v>0.99619990923086066</v>
      </c>
    </row>
    <row r="22" spans="1:9" x14ac:dyDescent="0.2">
      <c r="A22" s="282"/>
      <c r="B22" s="283"/>
      <c r="C22" s="282"/>
      <c r="D22" s="281"/>
      <c r="E22" s="280" t="s">
        <v>3931</v>
      </c>
      <c r="F22" s="342">
        <f>SUMPRODUCT(E19:E20,C19:C20)-F21</f>
        <v>0</v>
      </c>
    </row>
    <row r="23" spans="1:9" x14ac:dyDescent="0.2">
      <c r="B23" s="262"/>
    </row>
    <row r="24" spans="1:9" x14ac:dyDescent="0.2">
      <c r="A24" s="278" t="s">
        <v>2733</v>
      </c>
      <c r="B24" s="262"/>
      <c r="C24"/>
      <c r="D24"/>
    </row>
    <row r="25" spans="1:9" ht="38.25" x14ac:dyDescent="0.2">
      <c r="A25" s="244" t="s">
        <v>3886</v>
      </c>
      <c r="B25" s="244" t="s">
        <v>3573</v>
      </c>
      <c r="C25" s="244" t="s">
        <v>3949</v>
      </c>
      <c r="D25" s="260" t="s">
        <v>3948</v>
      </c>
      <c r="E25" s="260" t="s">
        <v>3947</v>
      </c>
      <c r="F25" s="244" t="s">
        <v>3946</v>
      </c>
      <c r="G25" s="244" t="s">
        <v>3945</v>
      </c>
      <c r="H25" s="277" t="s">
        <v>3944</v>
      </c>
      <c r="I25" s="244" t="s">
        <v>3943</v>
      </c>
    </row>
    <row r="26" spans="1:9" x14ac:dyDescent="0.2">
      <c r="A26" s="341" t="s">
        <v>2366</v>
      </c>
      <c r="B26" s="340" t="s">
        <v>2365</v>
      </c>
      <c r="C26" s="328">
        <f>VLOOKUP($B26,'Land data'!$B$2:$D$234,3,FALSE)</f>
        <v>10.348000000000001</v>
      </c>
      <c r="D26" s="322">
        <f>VLOOKUP($B26,'Land data'!$B$2:$E$234,4,FALSE)</f>
        <v>16630</v>
      </c>
      <c r="E26" s="270">
        <f>D26/C26</f>
        <v>1607.0738306919211</v>
      </c>
      <c r="F26" s="232"/>
      <c r="G26" s="322">
        <f>+$H$57</f>
        <v>636</v>
      </c>
      <c r="H26" s="323">
        <f>G26/$D$14</f>
        <v>0.50396196513470681</v>
      </c>
      <c r="I26" s="274">
        <f>E26/E29</f>
        <v>1.4167460274757513</v>
      </c>
    </row>
    <row r="27" spans="1:9" x14ac:dyDescent="0.2">
      <c r="A27" s="341" t="s">
        <v>2392</v>
      </c>
      <c r="B27" s="340" t="s">
        <v>2391</v>
      </c>
      <c r="C27" s="328">
        <f>VLOOKUP($B27,'Land data'!$B$2:$D$234,3,FALSE)</f>
        <v>42.1327</v>
      </c>
      <c r="D27" s="270">
        <f>VLOOKUP($B27,'Land data'!$B$2:$E$234,4,FALSE)</f>
        <v>19232</v>
      </c>
      <c r="E27" s="270">
        <f>D27/C27</f>
        <v>456.46255758591309</v>
      </c>
      <c r="F27" s="232"/>
      <c r="G27" s="326">
        <f>+$H$55+$H$56</f>
        <v>626</v>
      </c>
      <c r="H27" s="323">
        <f>G27/$D$14</f>
        <v>0.49603803486529319</v>
      </c>
      <c r="I27" s="274">
        <f>E27/E29</f>
        <v>0.40240311477963181</v>
      </c>
    </row>
    <row r="28" spans="1:9" x14ac:dyDescent="0.2">
      <c r="A28" s="235" t="s">
        <v>3926</v>
      </c>
      <c r="B28" s="234"/>
      <c r="C28" s="266">
        <f>SUM(C26:C27)</f>
        <v>52.480699999999999</v>
      </c>
      <c r="D28" s="270">
        <f>SUM(D26:D27)</f>
        <v>35862</v>
      </c>
      <c r="E28" s="270">
        <f>D28/C28</f>
        <v>683.33692195416597</v>
      </c>
      <c r="F28" s="324">
        <f>+E28/E29</f>
        <v>0.60240845885048921</v>
      </c>
      <c r="G28" s="322">
        <f>SUM(G26:G27)</f>
        <v>1262</v>
      </c>
      <c r="H28" s="269">
        <f>SUM(H26:H27)</f>
        <v>1</v>
      </c>
      <c r="I28" s="268">
        <f>SUMPRODUCT(H26:H27,I26:I27)</f>
        <v>0.91359336238243061</v>
      </c>
    </row>
    <row r="29" spans="1:9" x14ac:dyDescent="0.2">
      <c r="A29" s="233" t="s">
        <v>3942</v>
      </c>
      <c r="B29" s="240"/>
      <c r="C29" s="373">
        <f>SUM('PCT data'!$M$3:$M$154)+SUM('Land data'!$D$2:$D$234)</f>
        <v>7611.3175000000019</v>
      </c>
      <c r="D29" s="322">
        <f>SUM('PCT data'!$N$3:$N$154)+SUM('Land data'!$E$2:$E$234)</f>
        <v>8633833.4000000004</v>
      </c>
      <c r="E29" s="322">
        <f>D29/C29</f>
        <v>1134.3415118341861</v>
      </c>
      <c r="F29" s="232"/>
      <c r="G29" s="233"/>
      <c r="H29" s="233"/>
      <c r="I29" s="233"/>
    </row>
    <row r="30" spans="1:9" x14ac:dyDescent="0.2">
      <c r="A30" s="228" t="s">
        <v>3941</v>
      </c>
      <c r="B30" s="262"/>
      <c r="F30" s="264"/>
      <c r="G30" s="263"/>
    </row>
    <row r="31" spans="1:9" x14ac:dyDescent="0.2">
      <c r="A31" s="228" t="s">
        <v>3940</v>
      </c>
      <c r="B31" s="262"/>
    </row>
    <row r="32" spans="1:9" x14ac:dyDescent="0.2">
      <c r="A32" s="228"/>
      <c r="B32" s="262"/>
    </row>
    <row r="33" spans="1:8" x14ac:dyDescent="0.2">
      <c r="A33" s="229" t="s">
        <v>3933</v>
      </c>
      <c r="B33" s="391"/>
    </row>
    <row r="34" spans="1:8" ht="38.25" x14ac:dyDescent="0.2">
      <c r="A34" s="261" t="s">
        <v>3939</v>
      </c>
      <c r="B34" s="260" t="s">
        <v>3938</v>
      </c>
      <c r="C34" s="260" t="s">
        <v>3937</v>
      </c>
      <c r="D34" s="260" t="s">
        <v>3936</v>
      </c>
      <c r="E34" s="260" t="s">
        <v>3927</v>
      </c>
    </row>
    <row r="35" spans="1:8" x14ac:dyDescent="0.2">
      <c r="A35" s="392" t="s">
        <v>2734</v>
      </c>
      <c r="B35" s="393">
        <f>F7</f>
        <v>1.1417369832806226</v>
      </c>
      <c r="C35" s="255">
        <f>Staff_Weight</f>
        <v>0.54914759484508857</v>
      </c>
      <c r="D35" s="254">
        <f>B35*C35</f>
        <v>0.626982118314241</v>
      </c>
      <c r="E35" s="232"/>
    </row>
    <row r="36" spans="1:8" x14ac:dyDescent="0.2">
      <c r="A36" s="394" t="s">
        <v>3935</v>
      </c>
      <c r="B36" s="390">
        <f>F14</f>
        <v>1.0897628935840853</v>
      </c>
      <c r="C36" s="255">
        <f>Building_Weight</f>
        <v>2.6635675286214532E-2</v>
      </c>
      <c r="D36" s="254">
        <f>B36*C36</f>
        <v>2.9026570572471259E-2</v>
      </c>
      <c r="E36" s="232"/>
    </row>
    <row r="37" spans="1:8" x14ac:dyDescent="0.2">
      <c r="A37" s="394" t="s">
        <v>2735</v>
      </c>
      <c r="B37" s="390">
        <f>F21</f>
        <v>0.99619990923086066</v>
      </c>
      <c r="C37" s="255">
        <f>MnD_Weight</f>
        <v>0.13904710383678176</v>
      </c>
      <c r="D37" s="254">
        <f>B37*C37</f>
        <v>0.13851871222101605</v>
      </c>
      <c r="E37" s="232"/>
    </row>
    <row r="38" spans="1:8" x14ac:dyDescent="0.2">
      <c r="A38" s="389" t="s">
        <v>3934</v>
      </c>
      <c r="B38" s="390">
        <f>I28</f>
        <v>0.91359336238243061</v>
      </c>
      <c r="C38" s="255">
        <f>Land_Weight</f>
        <v>4.4820020140147153E-3</v>
      </c>
      <c r="D38" s="254">
        <f>B38*C38</f>
        <v>4.0947272901885297E-3</v>
      </c>
      <c r="E38" s="232"/>
    </row>
    <row r="39" spans="1:8" ht="13.5" thickBot="1" x14ac:dyDescent="0.25">
      <c r="A39" s="395" t="s">
        <v>632</v>
      </c>
      <c r="B39" s="396">
        <v>1</v>
      </c>
      <c r="C39" s="321">
        <f>Other_Weight</f>
        <v>0.28068762401790043</v>
      </c>
      <c r="D39" s="253">
        <f>B39*C39</f>
        <v>0.28068762401790043</v>
      </c>
      <c r="E39" s="252"/>
    </row>
    <row r="40" spans="1:8" ht="16.5" thickBot="1" x14ac:dyDescent="0.3">
      <c r="A40" s="251" t="s">
        <v>3933</v>
      </c>
      <c r="B40" s="250"/>
      <c r="C40" s="249">
        <f>SUM(C35:C39)</f>
        <v>1</v>
      </c>
      <c r="D40" s="248">
        <f>SUMPRODUCT(B35:B39,C35:C39)</f>
        <v>1.0793097524158173</v>
      </c>
      <c r="E40" s="247">
        <f ca="1">D40/B42</f>
        <v>1.1651529697580674</v>
      </c>
    </row>
    <row r="42" spans="1:8" x14ac:dyDescent="0.2">
      <c r="A42" s="246" t="s">
        <v>3932</v>
      </c>
      <c r="B42" s="245">
        <f ca="1">Lowest_Underlying_MFF</f>
        <v>0.92632450882387185</v>
      </c>
    </row>
    <row r="43" spans="1:8" x14ac:dyDescent="0.2">
      <c r="A43" s="229"/>
    </row>
    <row r="44" spans="1:8" x14ac:dyDescent="0.2">
      <c r="A44" s="229" t="s">
        <v>3931</v>
      </c>
    </row>
    <row r="45" spans="1:8" ht="51" x14ac:dyDescent="0.2">
      <c r="A45" s="244" t="s">
        <v>3886</v>
      </c>
      <c r="B45" s="244" t="s">
        <v>3573</v>
      </c>
      <c r="C45" s="244" t="s">
        <v>3930</v>
      </c>
      <c r="D45" s="244" t="s">
        <v>3968</v>
      </c>
      <c r="E45" s="244" t="s">
        <v>3928</v>
      </c>
      <c r="F45" s="244" t="s">
        <v>3927</v>
      </c>
      <c r="H45" s="243"/>
    </row>
    <row r="46" spans="1:8" x14ac:dyDescent="0.2">
      <c r="A46" s="331" t="s">
        <v>2366</v>
      </c>
      <c r="B46" s="331" t="s">
        <v>2365</v>
      </c>
      <c r="C46" s="239">
        <f ca="1">($C$35*C5+$C$36*C12+$C$37*C19+$C$38*I26+$C$39*$B$39)/$B$42</f>
        <v>1.1616939342257928</v>
      </c>
      <c r="D46" s="238">
        <f ca="1">+VLOOKUP(B46,MFF_2014_15,4,FALSE)-ROUND(C46,6)</f>
        <v>0</v>
      </c>
      <c r="E46" s="242">
        <f ca="1">INDEX('All Trusts'!$E$6:$E$261,MATCH($B46,'All Trusts'!$B$6:$B$261,0),1)-C46</f>
        <v>0</v>
      </c>
      <c r="F46" s="319"/>
    </row>
    <row r="47" spans="1:8" x14ac:dyDescent="0.2">
      <c r="A47" s="331" t="s">
        <v>2392</v>
      </c>
      <c r="B47" s="331" t="s">
        <v>2391</v>
      </c>
      <c r="C47" s="239">
        <f ca="1">($C$35*C6+$C$36*C13+$C$37*C20+$C$38*I27+$C$39*$B$39)/$B$42</f>
        <v>1.1686672614490043</v>
      </c>
      <c r="D47" s="238">
        <f ca="1">+VLOOKUP(B47,MFF_2014_15,4,FALSE)-ROUND(C47,6)</f>
        <v>0</v>
      </c>
      <c r="E47" s="242">
        <f ca="1">INDEX('All Trusts'!$E$6:$E$261,MATCH($B47,'All Trusts'!$B$6:$B$261,0),1)-C47</f>
        <v>0</v>
      </c>
      <c r="F47" s="319"/>
    </row>
    <row r="48" spans="1:8" x14ac:dyDescent="0.2">
      <c r="A48" s="235" t="s">
        <v>3926</v>
      </c>
      <c r="B48" s="235" t="s">
        <v>3224</v>
      </c>
      <c r="C48" s="233"/>
      <c r="D48" s="233"/>
      <c r="E48" s="232"/>
      <c r="F48" s="231">
        <f ca="1">ROUND(E40,6)</f>
        <v>1.1651530000000001</v>
      </c>
    </row>
    <row r="51" spans="1:8" x14ac:dyDescent="0.2">
      <c r="A51" s="229" t="s">
        <v>3925</v>
      </c>
    </row>
    <row r="52" spans="1:8" x14ac:dyDescent="0.2">
      <c r="A52" s="228" t="s">
        <v>3924</v>
      </c>
    </row>
    <row r="53" spans="1:8" ht="13.5" thickBot="1" x14ac:dyDescent="0.25">
      <c r="A53" s="227" t="s">
        <v>3921</v>
      </c>
      <c r="C53" s="368">
        <v>1</v>
      </c>
      <c r="D53" s="368">
        <f>C53+1</f>
        <v>2</v>
      </c>
      <c r="E53" s="368">
        <f t="shared" ref="E53:H53" si="0">D53+1</f>
        <v>3</v>
      </c>
      <c r="F53" s="368">
        <f t="shared" si="0"/>
        <v>4</v>
      </c>
      <c r="G53" s="368">
        <f t="shared" si="0"/>
        <v>5</v>
      </c>
      <c r="H53" s="368">
        <f t="shared" si="0"/>
        <v>6</v>
      </c>
    </row>
    <row r="54" spans="1:8" ht="26.25" thickBot="1" x14ac:dyDescent="0.25">
      <c r="A54" s="85" t="s">
        <v>3573</v>
      </c>
      <c r="B54" s="85" t="s">
        <v>2755</v>
      </c>
      <c r="C54" s="85" t="s">
        <v>2756</v>
      </c>
      <c r="D54" s="85" t="s">
        <v>2757</v>
      </c>
      <c r="E54" s="85" t="s">
        <v>2758</v>
      </c>
      <c r="F54" s="85" t="s">
        <v>2759</v>
      </c>
      <c r="G54" s="85" t="s">
        <v>2760</v>
      </c>
      <c r="H54" s="85" t="s">
        <v>3945</v>
      </c>
    </row>
    <row r="55" spans="1:8" x14ac:dyDescent="0.2">
      <c r="A55" s="339" t="s">
        <v>2391</v>
      </c>
      <c r="B55" s="339" t="s">
        <v>2392</v>
      </c>
      <c r="C55" s="339" t="s">
        <v>1876</v>
      </c>
      <c r="D55" s="339" t="str">
        <f>VLOOKUP($C55,'Buildings data'!$D:$I,D$53,FALSE)</f>
        <v>HEATHERWOOD HOSPITAL</v>
      </c>
      <c r="E55" s="339" t="str">
        <f>VLOOKUP($C55,'Buildings data'!$D:$I,E$53,FALSE)</f>
        <v>SL5 8AA</v>
      </c>
      <c r="F55" s="339" t="str">
        <f>VLOOKUP($C55,'Buildings data'!$D:$I,F$53,FALSE)</f>
        <v>SL58</v>
      </c>
      <c r="G55" s="339" t="str">
        <f>VLOOKUP($C55,'Buildings data'!$D:$I,G$53,FALSE)</f>
        <v>5QG</v>
      </c>
      <c r="H55" s="339">
        <f>VLOOKUP($C55,'Buildings data'!$D:$I,H$53,FALSE)</f>
        <v>157</v>
      </c>
    </row>
    <row r="56" spans="1:8" ht="13.5" thickBot="1" x14ac:dyDescent="0.25">
      <c r="A56" s="338" t="s">
        <v>2391</v>
      </c>
      <c r="B56" s="338" t="s">
        <v>2392</v>
      </c>
      <c r="C56" s="338" t="s">
        <v>1878</v>
      </c>
      <c r="D56" s="338" t="str">
        <f>VLOOKUP($C56,'Buildings data'!$D:$I,D$53,FALSE)</f>
        <v>WEXHAM PARK HOSPITAL</v>
      </c>
      <c r="E56" s="338" t="str">
        <f>VLOOKUP($C56,'Buildings data'!$D:$I,E$53,FALSE)</f>
        <v>SL2 4HL</v>
      </c>
      <c r="F56" s="338" t="str">
        <f>VLOOKUP($C56,'Buildings data'!$D:$I,F$53,FALSE)</f>
        <v>SL24</v>
      </c>
      <c r="G56" s="338" t="str">
        <f>VLOOKUP($C56,'Buildings data'!$D:$I,G$53,FALSE)</f>
        <v>5QG</v>
      </c>
      <c r="H56" s="338">
        <f>VLOOKUP($C56,'Buildings data'!$D:$I,H$53,FALSE)</f>
        <v>469</v>
      </c>
    </row>
    <row r="57" spans="1:8" ht="13.5" thickBot="1" x14ac:dyDescent="0.25">
      <c r="A57" s="337" t="s">
        <v>2365</v>
      </c>
      <c r="B57" s="337" t="s">
        <v>2366</v>
      </c>
      <c r="C57" s="337" t="s">
        <v>1888</v>
      </c>
      <c r="D57" s="337" t="str">
        <f>VLOOKUP($C57,'Buildings data'!$D:$I,D$53,FALSE)</f>
        <v>FRIMLEY PARK</v>
      </c>
      <c r="E57" s="337" t="str">
        <f>VLOOKUP($C57,'Buildings data'!$D:$I,E$53,FALSE)</f>
        <v>GU16 7UJ</v>
      </c>
      <c r="F57" s="337" t="str">
        <f>VLOOKUP($C57,'Buildings data'!$D:$I,F$53,FALSE)</f>
        <v>GU167</v>
      </c>
      <c r="G57" s="337" t="str">
        <f>VLOOKUP($C57,'Buildings data'!$D:$I,G$53,FALSE)</f>
        <v>5P5</v>
      </c>
      <c r="H57" s="337">
        <f>VLOOKUP($C57,'Buildings data'!$D:$I,H$53,FALSE)</f>
        <v>636</v>
      </c>
    </row>
    <row r="59" spans="1:8" x14ac:dyDescent="0.2">
      <c r="A59" s="228" t="s">
        <v>3920</v>
      </c>
    </row>
    <row r="60" spans="1:8" x14ac:dyDescent="0.2">
      <c r="A60" s="227" t="s">
        <v>3919</v>
      </c>
    </row>
  </sheetData>
  <conditionalFormatting sqref="C46:C47">
    <cfRule type="cellIs" dxfId="9" priority="1" operator="lessThan">
      <formula>$F$48</formula>
    </cfRule>
    <cfRule type="cellIs" dxfId="8" priority="2" operator="greaterThan">
      <formula>$F$48</formula>
    </cfRule>
  </conditionalFormatting>
  <pageMargins left="0.7" right="0.7" top="0.75" bottom="0.75" header="0.3" footer="0.3"/>
  <pageSetup paperSize="2058" orientation="portrait" horizontalDpi="300" verticalDpi="30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sheetPr>
  <dimension ref="A1:I60"/>
  <sheetViews>
    <sheetView workbookViewId="0"/>
  </sheetViews>
  <sheetFormatPr defaultRowHeight="12.75" x14ac:dyDescent="0.2"/>
  <cols>
    <col min="1" max="1" width="54.28515625" style="227" bestFit="1" customWidth="1"/>
    <col min="2" max="2" width="17" style="227" customWidth="1"/>
    <col min="3" max="3" width="21.85546875" style="227" bestFit="1" customWidth="1"/>
    <col min="4" max="4" width="38.5703125" style="227" bestFit="1" customWidth="1"/>
    <col min="5" max="5" width="13.28515625" style="227" customWidth="1"/>
    <col min="6" max="6" width="20.5703125" style="227" customWidth="1"/>
    <col min="7" max="7" width="13.7109375" style="227" customWidth="1"/>
    <col min="8" max="8" width="13.5703125" style="227" customWidth="1"/>
    <col min="9" max="9" width="12" style="227" customWidth="1"/>
    <col min="10" max="10" width="19.28515625" style="227" customWidth="1"/>
    <col min="11" max="11" width="13.7109375" style="227" bestFit="1" customWidth="1"/>
    <col min="12" max="256" width="9.140625" style="227"/>
    <col min="257" max="257" width="54.28515625" style="227" bestFit="1" customWidth="1"/>
    <col min="258" max="258" width="19.140625" style="227" customWidth="1"/>
    <col min="259" max="259" width="21.85546875" style="227" bestFit="1" customWidth="1"/>
    <col min="260" max="260" width="38.5703125" style="227" bestFit="1" customWidth="1"/>
    <col min="261" max="261" width="13.28515625" style="227" customWidth="1"/>
    <col min="262" max="262" width="20.5703125" style="227" customWidth="1"/>
    <col min="263" max="263" width="13.7109375" style="227" customWidth="1"/>
    <col min="264" max="264" width="13.5703125" style="227" customWidth="1"/>
    <col min="265" max="512" width="9.140625" style="227"/>
    <col min="513" max="513" width="54.28515625" style="227" bestFit="1" customWidth="1"/>
    <col min="514" max="514" width="19.140625" style="227" customWidth="1"/>
    <col min="515" max="515" width="21.85546875" style="227" bestFit="1" customWidth="1"/>
    <col min="516" max="516" width="38.5703125" style="227" bestFit="1" customWidth="1"/>
    <col min="517" max="517" width="13.28515625" style="227" customWidth="1"/>
    <col min="518" max="518" width="20.5703125" style="227" customWidth="1"/>
    <col min="519" max="519" width="13.7109375" style="227" customWidth="1"/>
    <col min="520" max="520" width="13.5703125" style="227" customWidth="1"/>
    <col min="521" max="768" width="9.140625" style="227"/>
    <col min="769" max="769" width="54.28515625" style="227" bestFit="1" customWidth="1"/>
    <col min="770" max="770" width="19.140625" style="227" customWidth="1"/>
    <col min="771" max="771" width="21.85546875" style="227" bestFit="1" customWidth="1"/>
    <col min="772" max="772" width="38.5703125" style="227" bestFit="1" customWidth="1"/>
    <col min="773" max="773" width="13.28515625" style="227" customWidth="1"/>
    <col min="774" max="774" width="20.5703125" style="227" customWidth="1"/>
    <col min="775" max="775" width="13.7109375" style="227" customWidth="1"/>
    <col min="776" max="776" width="13.5703125" style="227" customWidth="1"/>
    <col min="777" max="1024" width="9.140625" style="227"/>
    <col min="1025" max="1025" width="54.28515625" style="227" bestFit="1" customWidth="1"/>
    <col min="1026" max="1026" width="19.140625" style="227" customWidth="1"/>
    <col min="1027" max="1027" width="21.85546875" style="227" bestFit="1" customWidth="1"/>
    <col min="1028" max="1028" width="38.5703125" style="227" bestFit="1" customWidth="1"/>
    <col min="1029" max="1029" width="13.28515625" style="227" customWidth="1"/>
    <col min="1030" max="1030" width="20.5703125" style="227" customWidth="1"/>
    <col min="1031" max="1031" width="13.7109375" style="227" customWidth="1"/>
    <col min="1032" max="1032" width="13.5703125" style="227" customWidth="1"/>
    <col min="1033" max="1280" width="9.140625" style="227"/>
    <col min="1281" max="1281" width="54.28515625" style="227" bestFit="1" customWidth="1"/>
    <col min="1282" max="1282" width="19.140625" style="227" customWidth="1"/>
    <col min="1283" max="1283" width="21.85546875" style="227" bestFit="1" customWidth="1"/>
    <col min="1284" max="1284" width="38.5703125" style="227" bestFit="1" customWidth="1"/>
    <col min="1285" max="1285" width="13.28515625" style="227" customWidth="1"/>
    <col min="1286" max="1286" width="20.5703125" style="227" customWidth="1"/>
    <col min="1287" max="1287" width="13.7109375" style="227" customWidth="1"/>
    <col min="1288" max="1288" width="13.5703125" style="227" customWidth="1"/>
    <col min="1289" max="1536" width="9.140625" style="227"/>
    <col min="1537" max="1537" width="54.28515625" style="227" bestFit="1" customWidth="1"/>
    <col min="1538" max="1538" width="19.140625" style="227" customWidth="1"/>
    <col min="1539" max="1539" width="21.85546875" style="227" bestFit="1" customWidth="1"/>
    <col min="1540" max="1540" width="38.5703125" style="227" bestFit="1" customWidth="1"/>
    <col min="1541" max="1541" width="13.28515625" style="227" customWidth="1"/>
    <col min="1542" max="1542" width="20.5703125" style="227" customWidth="1"/>
    <col min="1543" max="1543" width="13.7109375" style="227" customWidth="1"/>
    <col min="1544" max="1544" width="13.5703125" style="227" customWidth="1"/>
    <col min="1545" max="1792" width="9.140625" style="227"/>
    <col min="1793" max="1793" width="54.28515625" style="227" bestFit="1" customWidth="1"/>
    <col min="1794" max="1794" width="19.140625" style="227" customWidth="1"/>
    <col min="1795" max="1795" width="21.85546875" style="227" bestFit="1" customWidth="1"/>
    <col min="1796" max="1796" width="38.5703125" style="227" bestFit="1" customWidth="1"/>
    <col min="1797" max="1797" width="13.28515625" style="227" customWidth="1"/>
    <col min="1798" max="1798" width="20.5703125" style="227" customWidth="1"/>
    <col min="1799" max="1799" width="13.7109375" style="227" customWidth="1"/>
    <col min="1800" max="1800" width="13.5703125" style="227" customWidth="1"/>
    <col min="1801" max="2048" width="9.140625" style="227"/>
    <col min="2049" max="2049" width="54.28515625" style="227" bestFit="1" customWidth="1"/>
    <col min="2050" max="2050" width="19.140625" style="227" customWidth="1"/>
    <col min="2051" max="2051" width="21.85546875" style="227" bestFit="1" customWidth="1"/>
    <col min="2052" max="2052" width="38.5703125" style="227" bestFit="1" customWidth="1"/>
    <col min="2053" max="2053" width="13.28515625" style="227" customWidth="1"/>
    <col min="2054" max="2054" width="20.5703125" style="227" customWidth="1"/>
    <col min="2055" max="2055" width="13.7109375" style="227" customWidth="1"/>
    <col min="2056" max="2056" width="13.5703125" style="227" customWidth="1"/>
    <col min="2057" max="2304" width="9.140625" style="227"/>
    <col min="2305" max="2305" width="54.28515625" style="227" bestFit="1" customWidth="1"/>
    <col min="2306" max="2306" width="19.140625" style="227" customWidth="1"/>
    <col min="2307" max="2307" width="21.85546875" style="227" bestFit="1" customWidth="1"/>
    <col min="2308" max="2308" width="38.5703125" style="227" bestFit="1" customWidth="1"/>
    <col min="2309" max="2309" width="13.28515625" style="227" customWidth="1"/>
    <col min="2310" max="2310" width="20.5703125" style="227" customWidth="1"/>
    <col min="2311" max="2311" width="13.7109375" style="227" customWidth="1"/>
    <col min="2312" max="2312" width="13.5703125" style="227" customWidth="1"/>
    <col min="2313" max="2560" width="9.140625" style="227"/>
    <col min="2561" max="2561" width="54.28515625" style="227" bestFit="1" customWidth="1"/>
    <col min="2562" max="2562" width="19.140625" style="227" customWidth="1"/>
    <col min="2563" max="2563" width="21.85546875" style="227" bestFit="1" customWidth="1"/>
    <col min="2564" max="2564" width="38.5703125" style="227" bestFit="1" customWidth="1"/>
    <col min="2565" max="2565" width="13.28515625" style="227" customWidth="1"/>
    <col min="2566" max="2566" width="20.5703125" style="227" customWidth="1"/>
    <col min="2567" max="2567" width="13.7109375" style="227" customWidth="1"/>
    <col min="2568" max="2568" width="13.5703125" style="227" customWidth="1"/>
    <col min="2569" max="2816" width="9.140625" style="227"/>
    <col min="2817" max="2817" width="54.28515625" style="227" bestFit="1" customWidth="1"/>
    <col min="2818" max="2818" width="19.140625" style="227" customWidth="1"/>
    <col min="2819" max="2819" width="21.85546875" style="227" bestFit="1" customWidth="1"/>
    <col min="2820" max="2820" width="38.5703125" style="227" bestFit="1" customWidth="1"/>
    <col min="2821" max="2821" width="13.28515625" style="227" customWidth="1"/>
    <col min="2822" max="2822" width="20.5703125" style="227" customWidth="1"/>
    <col min="2823" max="2823" width="13.7109375" style="227" customWidth="1"/>
    <col min="2824" max="2824" width="13.5703125" style="227" customWidth="1"/>
    <col min="2825" max="3072" width="9.140625" style="227"/>
    <col min="3073" max="3073" width="54.28515625" style="227" bestFit="1" customWidth="1"/>
    <col min="3074" max="3074" width="19.140625" style="227" customWidth="1"/>
    <col min="3075" max="3075" width="21.85546875" style="227" bestFit="1" customWidth="1"/>
    <col min="3076" max="3076" width="38.5703125" style="227" bestFit="1" customWidth="1"/>
    <col min="3077" max="3077" width="13.28515625" style="227" customWidth="1"/>
    <col min="3078" max="3078" width="20.5703125" style="227" customWidth="1"/>
    <col min="3079" max="3079" width="13.7109375" style="227" customWidth="1"/>
    <col min="3080" max="3080" width="13.5703125" style="227" customWidth="1"/>
    <col min="3081" max="3328" width="9.140625" style="227"/>
    <col min="3329" max="3329" width="54.28515625" style="227" bestFit="1" customWidth="1"/>
    <col min="3330" max="3330" width="19.140625" style="227" customWidth="1"/>
    <col min="3331" max="3331" width="21.85546875" style="227" bestFit="1" customWidth="1"/>
    <col min="3332" max="3332" width="38.5703125" style="227" bestFit="1" customWidth="1"/>
    <col min="3333" max="3333" width="13.28515625" style="227" customWidth="1"/>
    <col min="3334" max="3334" width="20.5703125" style="227" customWidth="1"/>
    <col min="3335" max="3335" width="13.7109375" style="227" customWidth="1"/>
    <col min="3336" max="3336" width="13.5703125" style="227" customWidth="1"/>
    <col min="3337" max="3584" width="9.140625" style="227"/>
    <col min="3585" max="3585" width="54.28515625" style="227" bestFit="1" customWidth="1"/>
    <col min="3586" max="3586" width="19.140625" style="227" customWidth="1"/>
    <col min="3587" max="3587" width="21.85546875" style="227" bestFit="1" customWidth="1"/>
    <col min="3588" max="3588" width="38.5703125" style="227" bestFit="1" customWidth="1"/>
    <col min="3589" max="3589" width="13.28515625" style="227" customWidth="1"/>
    <col min="3590" max="3590" width="20.5703125" style="227" customWidth="1"/>
    <col min="3591" max="3591" width="13.7109375" style="227" customWidth="1"/>
    <col min="3592" max="3592" width="13.5703125" style="227" customWidth="1"/>
    <col min="3593" max="3840" width="9.140625" style="227"/>
    <col min="3841" max="3841" width="54.28515625" style="227" bestFit="1" customWidth="1"/>
    <col min="3842" max="3842" width="19.140625" style="227" customWidth="1"/>
    <col min="3843" max="3843" width="21.85546875" style="227" bestFit="1" customWidth="1"/>
    <col min="3844" max="3844" width="38.5703125" style="227" bestFit="1" customWidth="1"/>
    <col min="3845" max="3845" width="13.28515625" style="227" customWidth="1"/>
    <col min="3846" max="3846" width="20.5703125" style="227" customWidth="1"/>
    <col min="3847" max="3847" width="13.7109375" style="227" customWidth="1"/>
    <col min="3848" max="3848" width="13.5703125" style="227" customWidth="1"/>
    <col min="3849" max="4096" width="9.140625" style="227"/>
    <col min="4097" max="4097" width="54.28515625" style="227" bestFit="1" customWidth="1"/>
    <col min="4098" max="4098" width="19.140625" style="227" customWidth="1"/>
    <col min="4099" max="4099" width="21.85546875" style="227" bestFit="1" customWidth="1"/>
    <col min="4100" max="4100" width="38.5703125" style="227" bestFit="1" customWidth="1"/>
    <col min="4101" max="4101" width="13.28515625" style="227" customWidth="1"/>
    <col min="4102" max="4102" width="20.5703125" style="227" customWidth="1"/>
    <col min="4103" max="4103" width="13.7109375" style="227" customWidth="1"/>
    <col min="4104" max="4104" width="13.5703125" style="227" customWidth="1"/>
    <col min="4105" max="4352" width="9.140625" style="227"/>
    <col min="4353" max="4353" width="54.28515625" style="227" bestFit="1" customWidth="1"/>
    <col min="4354" max="4354" width="19.140625" style="227" customWidth="1"/>
    <col min="4355" max="4355" width="21.85546875" style="227" bestFit="1" customWidth="1"/>
    <col min="4356" max="4356" width="38.5703125" style="227" bestFit="1" customWidth="1"/>
    <col min="4357" max="4357" width="13.28515625" style="227" customWidth="1"/>
    <col min="4358" max="4358" width="20.5703125" style="227" customWidth="1"/>
    <col min="4359" max="4359" width="13.7109375" style="227" customWidth="1"/>
    <col min="4360" max="4360" width="13.5703125" style="227" customWidth="1"/>
    <col min="4361" max="4608" width="9.140625" style="227"/>
    <col min="4609" max="4609" width="54.28515625" style="227" bestFit="1" customWidth="1"/>
    <col min="4610" max="4610" width="19.140625" style="227" customWidth="1"/>
    <col min="4611" max="4611" width="21.85546875" style="227" bestFit="1" customWidth="1"/>
    <col min="4612" max="4612" width="38.5703125" style="227" bestFit="1" customWidth="1"/>
    <col min="4613" max="4613" width="13.28515625" style="227" customWidth="1"/>
    <col min="4614" max="4614" width="20.5703125" style="227" customWidth="1"/>
    <col min="4615" max="4615" width="13.7109375" style="227" customWidth="1"/>
    <col min="4616" max="4616" width="13.5703125" style="227" customWidth="1"/>
    <col min="4617" max="4864" width="9.140625" style="227"/>
    <col min="4865" max="4865" width="54.28515625" style="227" bestFit="1" customWidth="1"/>
    <col min="4866" max="4866" width="19.140625" style="227" customWidth="1"/>
    <col min="4867" max="4867" width="21.85546875" style="227" bestFit="1" customWidth="1"/>
    <col min="4868" max="4868" width="38.5703125" style="227" bestFit="1" customWidth="1"/>
    <col min="4869" max="4869" width="13.28515625" style="227" customWidth="1"/>
    <col min="4870" max="4870" width="20.5703125" style="227" customWidth="1"/>
    <col min="4871" max="4871" width="13.7109375" style="227" customWidth="1"/>
    <col min="4872" max="4872" width="13.5703125" style="227" customWidth="1"/>
    <col min="4873" max="5120" width="9.140625" style="227"/>
    <col min="5121" max="5121" width="54.28515625" style="227" bestFit="1" customWidth="1"/>
    <col min="5122" max="5122" width="19.140625" style="227" customWidth="1"/>
    <col min="5123" max="5123" width="21.85546875" style="227" bestFit="1" customWidth="1"/>
    <col min="5124" max="5124" width="38.5703125" style="227" bestFit="1" customWidth="1"/>
    <col min="5125" max="5125" width="13.28515625" style="227" customWidth="1"/>
    <col min="5126" max="5126" width="20.5703125" style="227" customWidth="1"/>
    <col min="5127" max="5127" width="13.7109375" style="227" customWidth="1"/>
    <col min="5128" max="5128" width="13.5703125" style="227" customWidth="1"/>
    <col min="5129" max="5376" width="9.140625" style="227"/>
    <col min="5377" max="5377" width="54.28515625" style="227" bestFit="1" customWidth="1"/>
    <col min="5378" max="5378" width="19.140625" style="227" customWidth="1"/>
    <col min="5379" max="5379" width="21.85546875" style="227" bestFit="1" customWidth="1"/>
    <col min="5380" max="5380" width="38.5703125" style="227" bestFit="1" customWidth="1"/>
    <col min="5381" max="5381" width="13.28515625" style="227" customWidth="1"/>
    <col min="5382" max="5382" width="20.5703125" style="227" customWidth="1"/>
    <col min="5383" max="5383" width="13.7109375" style="227" customWidth="1"/>
    <col min="5384" max="5384" width="13.5703125" style="227" customWidth="1"/>
    <col min="5385" max="5632" width="9.140625" style="227"/>
    <col min="5633" max="5633" width="54.28515625" style="227" bestFit="1" customWidth="1"/>
    <col min="5634" max="5634" width="19.140625" style="227" customWidth="1"/>
    <col min="5635" max="5635" width="21.85546875" style="227" bestFit="1" customWidth="1"/>
    <col min="5636" max="5636" width="38.5703125" style="227" bestFit="1" customWidth="1"/>
    <col min="5637" max="5637" width="13.28515625" style="227" customWidth="1"/>
    <col min="5638" max="5638" width="20.5703125" style="227" customWidth="1"/>
    <col min="5639" max="5639" width="13.7109375" style="227" customWidth="1"/>
    <col min="5640" max="5640" width="13.5703125" style="227" customWidth="1"/>
    <col min="5641" max="5888" width="9.140625" style="227"/>
    <col min="5889" max="5889" width="54.28515625" style="227" bestFit="1" customWidth="1"/>
    <col min="5890" max="5890" width="19.140625" style="227" customWidth="1"/>
    <col min="5891" max="5891" width="21.85546875" style="227" bestFit="1" customWidth="1"/>
    <col min="5892" max="5892" width="38.5703125" style="227" bestFit="1" customWidth="1"/>
    <col min="5893" max="5893" width="13.28515625" style="227" customWidth="1"/>
    <col min="5894" max="5894" width="20.5703125" style="227" customWidth="1"/>
    <col min="5895" max="5895" width="13.7109375" style="227" customWidth="1"/>
    <col min="5896" max="5896" width="13.5703125" style="227" customWidth="1"/>
    <col min="5897" max="6144" width="9.140625" style="227"/>
    <col min="6145" max="6145" width="54.28515625" style="227" bestFit="1" customWidth="1"/>
    <col min="6146" max="6146" width="19.140625" style="227" customWidth="1"/>
    <col min="6147" max="6147" width="21.85546875" style="227" bestFit="1" customWidth="1"/>
    <col min="6148" max="6148" width="38.5703125" style="227" bestFit="1" customWidth="1"/>
    <col min="6149" max="6149" width="13.28515625" style="227" customWidth="1"/>
    <col min="6150" max="6150" width="20.5703125" style="227" customWidth="1"/>
    <col min="6151" max="6151" width="13.7109375" style="227" customWidth="1"/>
    <col min="6152" max="6152" width="13.5703125" style="227" customWidth="1"/>
    <col min="6153" max="6400" width="9.140625" style="227"/>
    <col min="6401" max="6401" width="54.28515625" style="227" bestFit="1" customWidth="1"/>
    <col min="6402" max="6402" width="19.140625" style="227" customWidth="1"/>
    <col min="6403" max="6403" width="21.85546875" style="227" bestFit="1" customWidth="1"/>
    <col min="6404" max="6404" width="38.5703125" style="227" bestFit="1" customWidth="1"/>
    <col min="6405" max="6405" width="13.28515625" style="227" customWidth="1"/>
    <col min="6406" max="6406" width="20.5703125" style="227" customWidth="1"/>
    <col min="6407" max="6407" width="13.7109375" style="227" customWidth="1"/>
    <col min="6408" max="6408" width="13.5703125" style="227" customWidth="1"/>
    <col min="6409" max="6656" width="9.140625" style="227"/>
    <col min="6657" max="6657" width="54.28515625" style="227" bestFit="1" customWidth="1"/>
    <col min="6658" max="6658" width="19.140625" style="227" customWidth="1"/>
    <col min="6659" max="6659" width="21.85546875" style="227" bestFit="1" customWidth="1"/>
    <col min="6660" max="6660" width="38.5703125" style="227" bestFit="1" customWidth="1"/>
    <col min="6661" max="6661" width="13.28515625" style="227" customWidth="1"/>
    <col min="6662" max="6662" width="20.5703125" style="227" customWidth="1"/>
    <col min="6663" max="6663" width="13.7109375" style="227" customWidth="1"/>
    <col min="6664" max="6664" width="13.5703125" style="227" customWidth="1"/>
    <col min="6665" max="6912" width="9.140625" style="227"/>
    <col min="6913" max="6913" width="54.28515625" style="227" bestFit="1" customWidth="1"/>
    <col min="6914" max="6914" width="19.140625" style="227" customWidth="1"/>
    <col min="6915" max="6915" width="21.85546875" style="227" bestFit="1" customWidth="1"/>
    <col min="6916" max="6916" width="38.5703125" style="227" bestFit="1" customWidth="1"/>
    <col min="6917" max="6917" width="13.28515625" style="227" customWidth="1"/>
    <col min="6918" max="6918" width="20.5703125" style="227" customWidth="1"/>
    <col min="6919" max="6919" width="13.7109375" style="227" customWidth="1"/>
    <col min="6920" max="6920" width="13.5703125" style="227" customWidth="1"/>
    <col min="6921" max="7168" width="9.140625" style="227"/>
    <col min="7169" max="7169" width="54.28515625" style="227" bestFit="1" customWidth="1"/>
    <col min="7170" max="7170" width="19.140625" style="227" customWidth="1"/>
    <col min="7171" max="7171" width="21.85546875" style="227" bestFit="1" customWidth="1"/>
    <col min="7172" max="7172" width="38.5703125" style="227" bestFit="1" customWidth="1"/>
    <col min="7173" max="7173" width="13.28515625" style="227" customWidth="1"/>
    <col min="7174" max="7174" width="20.5703125" style="227" customWidth="1"/>
    <col min="7175" max="7175" width="13.7109375" style="227" customWidth="1"/>
    <col min="7176" max="7176" width="13.5703125" style="227" customWidth="1"/>
    <col min="7177" max="7424" width="9.140625" style="227"/>
    <col min="7425" max="7425" width="54.28515625" style="227" bestFit="1" customWidth="1"/>
    <col min="7426" max="7426" width="19.140625" style="227" customWidth="1"/>
    <col min="7427" max="7427" width="21.85546875" style="227" bestFit="1" customWidth="1"/>
    <col min="7428" max="7428" width="38.5703125" style="227" bestFit="1" customWidth="1"/>
    <col min="7429" max="7429" width="13.28515625" style="227" customWidth="1"/>
    <col min="7430" max="7430" width="20.5703125" style="227" customWidth="1"/>
    <col min="7431" max="7431" width="13.7109375" style="227" customWidth="1"/>
    <col min="7432" max="7432" width="13.5703125" style="227" customWidth="1"/>
    <col min="7433" max="7680" width="9.140625" style="227"/>
    <col min="7681" max="7681" width="54.28515625" style="227" bestFit="1" customWidth="1"/>
    <col min="7682" max="7682" width="19.140625" style="227" customWidth="1"/>
    <col min="7683" max="7683" width="21.85546875" style="227" bestFit="1" customWidth="1"/>
    <col min="7684" max="7684" width="38.5703125" style="227" bestFit="1" customWidth="1"/>
    <col min="7685" max="7685" width="13.28515625" style="227" customWidth="1"/>
    <col min="7686" max="7686" width="20.5703125" style="227" customWidth="1"/>
    <col min="7687" max="7687" width="13.7109375" style="227" customWidth="1"/>
    <col min="7688" max="7688" width="13.5703125" style="227" customWidth="1"/>
    <col min="7689" max="7936" width="9.140625" style="227"/>
    <col min="7937" max="7937" width="54.28515625" style="227" bestFit="1" customWidth="1"/>
    <col min="7938" max="7938" width="19.140625" style="227" customWidth="1"/>
    <col min="7939" max="7939" width="21.85546875" style="227" bestFit="1" customWidth="1"/>
    <col min="7940" max="7940" width="38.5703125" style="227" bestFit="1" customWidth="1"/>
    <col min="7941" max="7941" width="13.28515625" style="227" customWidth="1"/>
    <col min="7942" max="7942" width="20.5703125" style="227" customWidth="1"/>
    <col min="7943" max="7943" width="13.7109375" style="227" customWidth="1"/>
    <col min="7944" max="7944" width="13.5703125" style="227" customWidth="1"/>
    <col min="7945" max="8192" width="9.140625" style="227"/>
    <col min="8193" max="8193" width="54.28515625" style="227" bestFit="1" customWidth="1"/>
    <col min="8194" max="8194" width="19.140625" style="227" customWidth="1"/>
    <col min="8195" max="8195" width="21.85546875" style="227" bestFit="1" customWidth="1"/>
    <col min="8196" max="8196" width="38.5703125" style="227" bestFit="1" customWidth="1"/>
    <col min="8197" max="8197" width="13.28515625" style="227" customWidth="1"/>
    <col min="8198" max="8198" width="20.5703125" style="227" customWidth="1"/>
    <col min="8199" max="8199" width="13.7109375" style="227" customWidth="1"/>
    <col min="8200" max="8200" width="13.5703125" style="227" customWidth="1"/>
    <col min="8201" max="8448" width="9.140625" style="227"/>
    <col min="8449" max="8449" width="54.28515625" style="227" bestFit="1" customWidth="1"/>
    <col min="8450" max="8450" width="19.140625" style="227" customWidth="1"/>
    <col min="8451" max="8451" width="21.85546875" style="227" bestFit="1" customWidth="1"/>
    <col min="8452" max="8452" width="38.5703125" style="227" bestFit="1" customWidth="1"/>
    <col min="8453" max="8453" width="13.28515625" style="227" customWidth="1"/>
    <col min="8454" max="8454" width="20.5703125" style="227" customWidth="1"/>
    <col min="8455" max="8455" width="13.7109375" style="227" customWidth="1"/>
    <col min="8456" max="8456" width="13.5703125" style="227" customWidth="1"/>
    <col min="8457" max="8704" width="9.140625" style="227"/>
    <col min="8705" max="8705" width="54.28515625" style="227" bestFit="1" customWidth="1"/>
    <col min="8706" max="8706" width="19.140625" style="227" customWidth="1"/>
    <col min="8707" max="8707" width="21.85546875" style="227" bestFit="1" customWidth="1"/>
    <col min="8708" max="8708" width="38.5703125" style="227" bestFit="1" customWidth="1"/>
    <col min="8709" max="8709" width="13.28515625" style="227" customWidth="1"/>
    <col min="8710" max="8710" width="20.5703125" style="227" customWidth="1"/>
    <col min="8711" max="8711" width="13.7109375" style="227" customWidth="1"/>
    <col min="8712" max="8712" width="13.5703125" style="227" customWidth="1"/>
    <col min="8713" max="8960" width="9.140625" style="227"/>
    <col min="8961" max="8961" width="54.28515625" style="227" bestFit="1" customWidth="1"/>
    <col min="8962" max="8962" width="19.140625" style="227" customWidth="1"/>
    <col min="8963" max="8963" width="21.85546875" style="227" bestFit="1" customWidth="1"/>
    <col min="8964" max="8964" width="38.5703125" style="227" bestFit="1" customWidth="1"/>
    <col min="8965" max="8965" width="13.28515625" style="227" customWidth="1"/>
    <col min="8966" max="8966" width="20.5703125" style="227" customWidth="1"/>
    <col min="8967" max="8967" width="13.7109375" style="227" customWidth="1"/>
    <col min="8968" max="8968" width="13.5703125" style="227" customWidth="1"/>
    <col min="8969" max="9216" width="9.140625" style="227"/>
    <col min="9217" max="9217" width="54.28515625" style="227" bestFit="1" customWidth="1"/>
    <col min="9218" max="9218" width="19.140625" style="227" customWidth="1"/>
    <col min="9219" max="9219" width="21.85546875" style="227" bestFit="1" customWidth="1"/>
    <col min="9220" max="9220" width="38.5703125" style="227" bestFit="1" customWidth="1"/>
    <col min="9221" max="9221" width="13.28515625" style="227" customWidth="1"/>
    <col min="9222" max="9222" width="20.5703125" style="227" customWidth="1"/>
    <col min="9223" max="9223" width="13.7109375" style="227" customWidth="1"/>
    <col min="9224" max="9224" width="13.5703125" style="227" customWidth="1"/>
    <col min="9225" max="9472" width="9.140625" style="227"/>
    <col min="9473" max="9473" width="54.28515625" style="227" bestFit="1" customWidth="1"/>
    <col min="9474" max="9474" width="19.140625" style="227" customWidth="1"/>
    <col min="9475" max="9475" width="21.85546875" style="227" bestFit="1" customWidth="1"/>
    <col min="9476" max="9476" width="38.5703125" style="227" bestFit="1" customWidth="1"/>
    <col min="9477" max="9477" width="13.28515625" style="227" customWidth="1"/>
    <col min="9478" max="9478" width="20.5703125" style="227" customWidth="1"/>
    <col min="9479" max="9479" width="13.7109375" style="227" customWidth="1"/>
    <col min="9480" max="9480" width="13.5703125" style="227" customWidth="1"/>
    <col min="9481" max="9728" width="9.140625" style="227"/>
    <col min="9729" max="9729" width="54.28515625" style="227" bestFit="1" customWidth="1"/>
    <col min="9730" max="9730" width="19.140625" style="227" customWidth="1"/>
    <col min="9731" max="9731" width="21.85546875" style="227" bestFit="1" customWidth="1"/>
    <col min="9732" max="9732" width="38.5703125" style="227" bestFit="1" customWidth="1"/>
    <col min="9733" max="9733" width="13.28515625" style="227" customWidth="1"/>
    <col min="9734" max="9734" width="20.5703125" style="227" customWidth="1"/>
    <col min="9735" max="9735" width="13.7109375" style="227" customWidth="1"/>
    <col min="9736" max="9736" width="13.5703125" style="227" customWidth="1"/>
    <col min="9737" max="9984" width="9.140625" style="227"/>
    <col min="9985" max="9985" width="54.28515625" style="227" bestFit="1" customWidth="1"/>
    <col min="9986" max="9986" width="19.140625" style="227" customWidth="1"/>
    <col min="9987" max="9987" width="21.85546875" style="227" bestFit="1" customWidth="1"/>
    <col min="9988" max="9988" width="38.5703125" style="227" bestFit="1" customWidth="1"/>
    <col min="9989" max="9989" width="13.28515625" style="227" customWidth="1"/>
    <col min="9990" max="9990" width="20.5703125" style="227" customWidth="1"/>
    <col min="9991" max="9991" width="13.7109375" style="227" customWidth="1"/>
    <col min="9992" max="9992" width="13.5703125" style="227" customWidth="1"/>
    <col min="9993" max="10240" width="9.140625" style="227"/>
    <col min="10241" max="10241" width="54.28515625" style="227" bestFit="1" customWidth="1"/>
    <col min="10242" max="10242" width="19.140625" style="227" customWidth="1"/>
    <col min="10243" max="10243" width="21.85546875" style="227" bestFit="1" customWidth="1"/>
    <col min="10244" max="10244" width="38.5703125" style="227" bestFit="1" customWidth="1"/>
    <col min="10245" max="10245" width="13.28515625" style="227" customWidth="1"/>
    <col min="10246" max="10246" width="20.5703125" style="227" customWidth="1"/>
    <col min="10247" max="10247" width="13.7109375" style="227" customWidth="1"/>
    <col min="10248" max="10248" width="13.5703125" style="227" customWidth="1"/>
    <col min="10249" max="10496" width="9.140625" style="227"/>
    <col min="10497" max="10497" width="54.28515625" style="227" bestFit="1" customWidth="1"/>
    <col min="10498" max="10498" width="19.140625" style="227" customWidth="1"/>
    <col min="10499" max="10499" width="21.85546875" style="227" bestFit="1" customWidth="1"/>
    <col min="10500" max="10500" width="38.5703125" style="227" bestFit="1" customWidth="1"/>
    <col min="10501" max="10501" width="13.28515625" style="227" customWidth="1"/>
    <col min="10502" max="10502" width="20.5703125" style="227" customWidth="1"/>
    <col min="10503" max="10503" width="13.7109375" style="227" customWidth="1"/>
    <col min="10504" max="10504" width="13.5703125" style="227" customWidth="1"/>
    <col min="10505" max="10752" width="9.140625" style="227"/>
    <col min="10753" max="10753" width="54.28515625" style="227" bestFit="1" customWidth="1"/>
    <col min="10754" max="10754" width="19.140625" style="227" customWidth="1"/>
    <col min="10755" max="10755" width="21.85546875" style="227" bestFit="1" customWidth="1"/>
    <col min="10756" max="10756" width="38.5703125" style="227" bestFit="1" customWidth="1"/>
    <col min="10757" max="10757" width="13.28515625" style="227" customWidth="1"/>
    <col min="10758" max="10758" width="20.5703125" style="227" customWidth="1"/>
    <col min="10759" max="10759" width="13.7109375" style="227" customWidth="1"/>
    <col min="10760" max="10760" width="13.5703125" style="227" customWidth="1"/>
    <col min="10761" max="11008" width="9.140625" style="227"/>
    <col min="11009" max="11009" width="54.28515625" style="227" bestFit="1" customWidth="1"/>
    <col min="11010" max="11010" width="19.140625" style="227" customWidth="1"/>
    <col min="11011" max="11011" width="21.85546875" style="227" bestFit="1" customWidth="1"/>
    <col min="11012" max="11012" width="38.5703125" style="227" bestFit="1" customWidth="1"/>
    <col min="11013" max="11013" width="13.28515625" style="227" customWidth="1"/>
    <col min="11014" max="11014" width="20.5703125" style="227" customWidth="1"/>
    <col min="11015" max="11015" width="13.7109375" style="227" customWidth="1"/>
    <col min="11016" max="11016" width="13.5703125" style="227" customWidth="1"/>
    <col min="11017" max="11264" width="9.140625" style="227"/>
    <col min="11265" max="11265" width="54.28515625" style="227" bestFit="1" customWidth="1"/>
    <col min="11266" max="11266" width="19.140625" style="227" customWidth="1"/>
    <col min="11267" max="11267" width="21.85546875" style="227" bestFit="1" customWidth="1"/>
    <col min="11268" max="11268" width="38.5703125" style="227" bestFit="1" customWidth="1"/>
    <col min="11269" max="11269" width="13.28515625" style="227" customWidth="1"/>
    <col min="11270" max="11270" width="20.5703125" style="227" customWidth="1"/>
    <col min="11271" max="11271" width="13.7109375" style="227" customWidth="1"/>
    <col min="11272" max="11272" width="13.5703125" style="227" customWidth="1"/>
    <col min="11273" max="11520" width="9.140625" style="227"/>
    <col min="11521" max="11521" width="54.28515625" style="227" bestFit="1" customWidth="1"/>
    <col min="11522" max="11522" width="19.140625" style="227" customWidth="1"/>
    <col min="11523" max="11523" width="21.85546875" style="227" bestFit="1" customWidth="1"/>
    <col min="11524" max="11524" width="38.5703125" style="227" bestFit="1" customWidth="1"/>
    <col min="11525" max="11525" width="13.28515625" style="227" customWidth="1"/>
    <col min="11526" max="11526" width="20.5703125" style="227" customWidth="1"/>
    <col min="11527" max="11527" width="13.7109375" style="227" customWidth="1"/>
    <col min="11528" max="11528" width="13.5703125" style="227" customWidth="1"/>
    <col min="11529" max="11776" width="9.140625" style="227"/>
    <col min="11777" max="11777" width="54.28515625" style="227" bestFit="1" customWidth="1"/>
    <col min="11778" max="11778" width="19.140625" style="227" customWidth="1"/>
    <col min="11779" max="11779" width="21.85546875" style="227" bestFit="1" customWidth="1"/>
    <col min="11780" max="11780" width="38.5703125" style="227" bestFit="1" customWidth="1"/>
    <col min="11781" max="11781" width="13.28515625" style="227" customWidth="1"/>
    <col min="11782" max="11782" width="20.5703125" style="227" customWidth="1"/>
    <col min="11783" max="11783" width="13.7109375" style="227" customWidth="1"/>
    <col min="11784" max="11784" width="13.5703125" style="227" customWidth="1"/>
    <col min="11785" max="12032" width="9.140625" style="227"/>
    <col min="12033" max="12033" width="54.28515625" style="227" bestFit="1" customWidth="1"/>
    <col min="12034" max="12034" width="19.140625" style="227" customWidth="1"/>
    <col min="12035" max="12035" width="21.85546875" style="227" bestFit="1" customWidth="1"/>
    <col min="12036" max="12036" width="38.5703125" style="227" bestFit="1" customWidth="1"/>
    <col min="12037" max="12037" width="13.28515625" style="227" customWidth="1"/>
    <col min="12038" max="12038" width="20.5703125" style="227" customWidth="1"/>
    <col min="12039" max="12039" width="13.7109375" style="227" customWidth="1"/>
    <col min="12040" max="12040" width="13.5703125" style="227" customWidth="1"/>
    <col min="12041" max="12288" width="9.140625" style="227"/>
    <col min="12289" max="12289" width="54.28515625" style="227" bestFit="1" customWidth="1"/>
    <col min="12290" max="12290" width="19.140625" style="227" customWidth="1"/>
    <col min="12291" max="12291" width="21.85546875" style="227" bestFit="1" customWidth="1"/>
    <col min="12292" max="12292" width="38.5703125" style="227" bestFit="1" customWidth="1"/>
    <col min="12293" max="12293" width="13.28515625" style="227" customWidth="1"/>
    <col min="12294" max="12294" width="20.5703125" style="227" customWidth="1"/>
    <col min="12295" max="12295" width="13.7109375" style="227" customWidth="1"/>
    <col min="12296" max="12296" width="13.5703125" style="227" customWidth="1"/>
    <col min="12297" max="12544" width="9.140625" style="227"/>
    <col min="12545" max="12545" width="54.28515625" style="227" bestFit="1" customWidth="1"/>
    <col min="12546" max="12546" width="19.140625" style="227" customWidth="1"/>
    <col min="12547" max="12547" width="21.85546875" style="227" bestFit="1" customWidth="1"/>
    <col min="12548" max="12548" width="38.5703125" style="227" bestFit="1" customWidth="1"/>
    <col min="12549" max="12549" width="13.28515625" style="227" customWidth="1"/>
    <col min="12550" max="12550" width="20.5703125" style="227" customWidth="1"/>
    <col min="12551" max="12551" width="13.7109375" style="227" customWidth="1"/>
    <col min="12552" max="12552" width="13.5703125" style="227" customWidth="1"/>
    <col min="12553" max="12800" width="9.140625" style="227"/>
    <col min="12801" max="12801" width="54.28515625" style="227" bestFit="1" customWidth="1"/>
    <col min="12802" max="12802" width="19.140625" style="227" customWidth="1"/>
    <col min="12803" max="12803" width="21.85546875" style="227" bestFit="1" customWidth="1"/>
    <col min="12804" max="12804" width="38.5703125" style="227" bestFit="1" customWidth="1"/>
    <col min="12805" max="12805" width="13.28515625" style="227" customWidth="1"/>
    <col min="12806" max="12806" width="20.5703125" style="227" customWidth="1"/>
    <col min="12807" max="12807" width="13.7109375" style="227" customWidth="1"/>
    <col min="12808" max="12808" width="13.5703125" style="227" customWidth="1"/>
    <col min="12809" max="13056" width="9.140625" style="227"/>
    <col min="13057" max="13057" width="54.28515625" style="227" bestFit="1" customWidth="1"/>
    <col min="13058" max="13058" width="19.140625" style="227" customWidth="1"/>
    <col min="13059" max="13059" width="21.85546875" style="227" bestFit="1" customWidth="1"/>
    <col min="13060" max="13060" width="38.5703125" style="227" bestFit="1" customWidth="1"/>
    <col min="13061" max="13061" width="13.28515625" style="227" customWidth="1"/>
    <col min="13062" max="13062" width="20.5703125" style="227" customWidth="1"/>
    <col min="13063" max="13063" width="13.7109375" style="227" customWidth="1"/>
    <col min="13064" max="13064" width="13.5703125" style="227" customWidth="1"/>
    <col min="13065" max="13312" width="9.140625" style="227"/>
    <col min="13313" max="13313" width="54.28515625" style="227" bestFit="1" customWidth="1"/>
    <col min="13314" max="13314" width="19.140625" style="227" customWidth="1"/>
    <col min="13315" max="13315" width="21.85546875" style="227" bestFit="1" customWidth="1"/>
    <col min="13316" max="13316" width="38.5703125" style="227" bestFit="1" customWidth="1"/>
    <col min="13317" max="13317" width="13.28515625" style="227" customWidth="1"/>
    <col min="13318" max="13318" width="20.5703125" style="227" customWidth="1"/>
    <col min="13319" max="13319" width="13.7109375" style="227" customWidth="1"/>
    <col min="13320" max="13320" width="13.5703125" style="227" customWidth="1"/>
    <col min="13321" max="13568" width="9.140625" style="227"/>
    <col min="13569" max="13569" width="54.28515625" style="227" bestFit="1" customWidth="1"/>
    <col min="13570" max="13570" width="19.140625" style="227" customWidth="1"/>
    <col min="13571" max="13571" width="21.85546875" style="227" bestFit="1" customWidth="1"/>
    <col min="13572" max="13572" width="38.5703125" style="227" bestFit="1" customWidth="1"/>
    <col min="13573" max="13573" width="13.28515625" style="227" customWidth="1"/>
    <col min="13574" max="13574" width="20.5703125" style="227" customWidth="1"/>
    <col min="13575" max="13575" width="13.7109375" style="227" customWidth="1"/>
    <col min="13576" max="13576" width="13.5703125" style="227" customWidth="1"/>
    <col min="13577" max="13824" width="9.140625" style="227"/>
    <col min="13825" max="13825" width="54.28515625" style="227" bestFit="1" customWidth="1"/>
    <col min="13826" max="13826" width="19.140625" style="227" customWidth="1"/>
    <col min="13827" max="13827" width="21.85546875" style="227" bestFit="1" customWidth="1"/>
    <col min="13828" max="13828" width="38.5703125" style="227" bestFit="1" customWidth="1"/>
    <col min="13829" max="13829" width="13.28515625" style="227" customWidth="1"/>
    <col min="13830" max="13830" width="20.5703125" style="227" customWidth="1"/>
    <col min="13831" max="13831" width="13.7109375" style="227" customWidth="1"/>
    <col min="13832" max="13832" width="13.5703125" style="227" customWidth="1"/>
    <col min="13833" max="14080" width="9.140625" style="227"/>
    <col min="14081" max="14081" width="54.28515625" style="227" bestFit="1" customWidth="1"/>
    <col min="14082" max="14082" width="19.140625" style="227" customWidth="1"/>
    <col min="14083" max="14083" width="21.85546875" style="227" bestFit="1" customWidth="1"/>
    <col min="14084" max="14084" width="38.5703125" style="227" bestFit="1" customWidth="1"/>
    <col min="14085" max="14085" width="13.28515625" style="227" customWidth="1"/>
    <col min="14086" max="14086" width="20.5703125" style="227" customWidth="1"/>
    <col min="14087" max="14087" width="13.7109375" style="227" customWidth="1"/>
    <col min="14088" max="14088" width="13.5703125" style="227" customWidth="1"/>
    <col min="14089" max="14336" width="9.140625" style="227"/>
    <col min="14337" max="14337" width="54.28515625" style="227" bestFit="1" customWidth="1"/>
    <col min="14338" max="14338" width="19.140625" style="227" customWidth="1"/>
    <col min="14339" max="14339" width="21.85546875" style="227" bestFit="1" customWidth="1"/>
    <col min="14340" max="14340" width="38.5703125" style="227" bestFit="1" customWidth="1"/>
    <col min="14341" max="14341" width="13.28515625" style="227" customWidth="1"/>
    <col min="14342" max="14342" width="20.5703125" style="227" customWidth="1"/>
    <col min="14343" max="14343" width="13.7109375" style="227" customWidth="1"/>
    <col min="14344" max="14344" width="13.5703125" style="227" customWidth="1"/>
    <col min="14345" max="14592" width="9.140625" style="227"/>
    <col min="14593" max="14593" width="54.28515625" style="227" bestFit="1" customWidth="1"/>
    <col min="14594" max="14594" width="19.140625" style="227" customWidth="1"/>
    <col min="14595" max="14595" width="21.85546875" style="227" bestFit="1" customWidth="1"/>
    <col min="14596" max="14596" width="38.5703125" style="227" bestFit="1" customWidth="1"/>
    <col min="14597" max="14597" width="13.28515625" style="227" customWidth="1"/>
    <col min="14598" max="14598" width="20.5703125" style="227" customWidth="1"/>
    <col min="14599" max="14599" width="13.7109375" style="227" customWidth="1"/>
    <col min="14600" max="14600" width="13.5703125" style="227" customWidth="1"/>
    <col min="14601" max="14848" width="9.140625" style="227"/>
    <col min="14849" max="14849" width="54.28515625" style="227" bestFit="1" customWidth="1"/>
    <col min="14850" max="14850" width="19.140625" style="227" customWidth="1"/>
    <col min="14851" max="14851" width="21.85546875" style="227" bestFit="1" customWidth="1"/>
    <col min="14852" max="14852" width="38.5703125" style="227" bestFit="1" customWidth="1"/>
    <col min="14853" max="14853" width="13.28515625" style="227" customWidth="1"/>
    <col min="14854" max="14854" width="20.5703125" style="227" customWidth="1"/>
    <col min="14855" max="14855" width="13.7109375" style="227" customWidth="1"/>
    <col min="14856" max="14856" width="13.5703125" style="227" customWidth="1"/>
    <col min="14857" max="15104" width="9.140625" style="227"/>
    <col min="15105" max="15105" width="54.28515625" style="227" bestFit="1" customWidth="1"/>
    <col min="15106" max="15106" width="19.140625" style="227" customWidth="1"/>
    <col min="15107" max="15107" width="21.85546875" style="227" bestFit="1" customWidth="1"/>
    <col min="15108" max="15108" width="38.5703125" style="227" bestFit="1" customWidth="1"/>
    <col min="15109" max="15109" width="13.28515625" style="227" customWidth="1"/>
    <col min="15110" max="15110" width="20.5703125" style="227" customWidth="1"/>
    <col min="15111" max="15111" width="13.7109375" style="227" customWidth="1"/>
    <col min="15112" max="15112" width="13.5703125" style="227" customWidth="1"/>
    <col min="15113" max="15360" width="9.140625" style="227"/>
    <col min="15361" max="15361" width="54.28515625" style="227" bestFit="1" customWidth="1"/>
    <col min="15362" max="15362" width="19.140625" style="227" customWidth="1"/>
    <col min="15363" max="15363" width="21.85546875" style="227" bestFit="1" customWidth="1"/>
    <col min="15364" max="15364" width="38.5703125" style="227" bestFit="1" customWidth="1"/>
    <col min="15365" max="15365" width="13.28515625" style="227" customWidth="1"/>
    <col min="15366" max="15366" width="20.5703125" style="227" customWidth="1"/>
    <col min="15367" max="15367" width="13.7109375" style="227" customWidth="1"/>
    <col min="15368" max="15368" width="13.5703125" style="227" customWidth="1"/>
    <col min="15369" max="15616" width="9.140625" style="227"/>
    <col min="15617" max="15617" width="54.28515625" style="227" bestFit="1" customWidth="1"/>
    <col min="15618" max="15618" width="19.140625" style="227" customWidth="1"/>
    <col min="15619" max="15619" width="21.85546875" style="227" bestFit="1" customWidth="1"/>
    <col min="15620" max="15620" width="38.5703125" style="227" bestFit="1" customWidth="1"/>
    <col min="15621" max="15621" width="13.28515625" style="227" customWidth="1"/>
    <col min="15622" max="15622" width="20.5703125" style="227" customWidth="1"/>
    <col min="15623" max="15623" width="13.7109375" style="227" customWidth="1"/>
    <col min="15624" max="15624" width="13.5703125" style="227" customWidth="1"/>
    <col min="15625" max="15872" width="9.140625" style="227"/>
    <col min="15873" max="15873" width="54.28515625" style="227" bestFit="1" customWidth="1"/>
    <col min="15874" max="15874" width="19.140625" style="227" customWidth="1"/>
    <col min="15875" max="15875" width="21.85546875" style="227" bestFit="1" customWidth="1"/>
    <col min="15876" max="15876" width="38.5703125" style="227" bestFit="1" customWidth="1"/>
    <col min="15877" max="15877" width="13.28515625" style="227" customWidth="1"/>
    <col min="15878" max="15878" width="20.5703125" style="227" customWidth="1"/>
    <col min="15879" max="15879" width="13.7109375" style="227" customWidth="1"/>
    <col min="15880" max="15880" width="13.5703125" style="227" customWidth="1"/>
    <col min="15881" max="16128" width="9.140625" style="227"/>
    <col min="16129" max="16129" width="54.28515625" style="227" bestFit="1" customWidth="1"/>
    <col min="16130" max="16130" width="19.140625" style="227" customWidth="1"/>
    <col min="16131" max="16131" width="21.85546875" style="227" bestFit="1" customWidth="1"/>
    <col min="16132" max="16132" width="38.5703125" style="227" bestFit="1" customWidth="1"/>
    <col min="16133" max="16133" width="13.28515625" style="227" customWidth="1"/>
    <col min="16134" max="16134" width="20.5703125" style="227" customWidth="1"/>
    <col min="16135" max="16135" width="13.7109375" style="227" customWidth="1"/>
    <col min="16136" max="16136" width="13.5703125" style="227" customWidth="1"/>
    <col min="16137" max="16384" width="9.140625" style="227"/>
  </cols>
  <sheetData>
    <row r="1" spans="1:6" ht="18" x14ac:dyDescent="0.25">
      <c r="A1" s="350" t="s">
        <v>3977</v>
      </c>
      <c r="C1" s="290"/>
    </row>
    <row r="2" spans="1:6" ht="20.25" thickBot="1" x14ac:dyDescent="0.35">
      <c r="A2" s="349" t="s">
        <v>3976</v>
      </c>
    </row>
    <row r="3" spans="1:6" ht="13.5" thickTop="1" x14ac:dyDescent="0.2">
      <c r="A3" s="278" t="s">
        <v>3957</v>
      </c>
    </row>
    <row r="4" spans="1:6" ht="25.5" customHeight="1" x14ac:dyDescent="0.2">
      <c r="A4" s="261" t="s">
        <v>3886</v>
      </c>
      <c r="B4" s="261" t="s">
        <v>3573</v>
      </c>
      <c r="C4" s="261" t="s">
        <v>3956</v>
      </c>
      <c r="D4" s="261" t="s">
        <v>3945</v>
      </c>
      <c r="E4" s="261" t="s">
        <v>3944</v>
      </c>
      <c r="F4" s="260" t="s">
        <v>3955</v>
      </c>
    </row>
    <row r="5" spans="1:6" x14ac:dyDescent="0.2">
      <c r="A5" s="331" t="s">
        <v>2346</v>
      </c>
      <c r="B5" s="330" t="s">
        <v>2345</v>
      </c>
      <c r="C5" s="348">
        <f>SUMIF('Staff data'!$B:$B,$B5,'Staff data'!$O:$O)</f>
        <v>1.1760432675430872</v>
      </c>
      <c r="D5" s="270">
        <f>+$H$55</f>
        <v>397</v>
      </c>
      <c r="E5" s="275">
        <f>D5/D7</f>
        <v>0.36388634280476628</v>
      </c>
      <c r="F5" s="254">
        <f>C5*E5</f>
        <v>0.42794608360642128</v>
      </c>
    </row>
    <row r="6" spans="1:6" x14ac:dyDescent="0.2">
      <c r="A6" s="331" t="s">
        <v>3665</v>
      </c>
      <c r="B6" s="330" t="s">
        <v>3664</v>
      </c>
      <c r="C6" s="348">
        <f>SUMIF('Staff data'!$B:$B,$B6,'Staff data'!$O:$O)</f>
        <v>1.179521345610711</v>
      </c>
      <c r="D6" s="276">
        <f>+$H$56+$H$57</f>
        <v>694</v>
      </c>
      <c r="E6" s="275">
        <f>D6/D7</f>
        <v>0.63611365719523372</v>
      </c>
      <c r="F6" s="254">
        <f>C6*E6</f>
        <v>0.75030963689627261</v>
      </c>
    </row>
    <row r="7" spans="1:6" x14ac:dyDescent="0.2">
      <c r="A7" s="232" t="s">
        <v>3926</v>
      </c>
      <c r="B7" s="267"/>
      <c r="C7" s="254"/>
      <c r="D7" s="270">
        <f>SUM(D5:D6)</f>
        <v>1091</v>
      </c>
      <c r="E7" s="284">
        <f>SUM(E5:E6)</f>
        <v>1</v>
      </c>
      <c r="F7" s="271">
        <f>SUM(F5:F6)</f>
        <v>1.178255720502694</v>
      </c>
    </row>
    <row r="8" spans="1:6" x14ac:dyDescent="0.2">
      <c r="A8" s="282"/>
      <c r="B8" s="283"/>
      <c r="C8" s="287"/>
      <c r="D8" s="282"/>
      <c r="E8" s="282"/>
      <c r="F8" s="281"/>
    </row>
    <row r="9" spans="1:6" x14ac:dyDescent="0.2">
      <c r="B9" s="262"/>
      <c r="C9" s="245"/>
      <c r="F9" s="245"/>
    </row>
    <row r="10" spans="1:6" x14ac:dyDescent="0.2">
      <c r="A10" s="278" t="s">
        <v>3954</v>
      </c>
      <c r="B10" s="262"/>
      <c r="C10" s="245"/>
      <c r="F10" s="245"/>
    </row>
    <row r="11" spans="1:6" ht="25.5" customHeight="1" x14ac:dyDescent="0.2">
      <c r="A11" s="261" t="s">
        <v>3886</v>
      </c>
      <c r="B11" s="261" t="s">
        <v>3573</v>
      </c>
      <c r="C11" s="286" t="s">
        <v>3953</v>
      </c>
      <c r="D11" s="261" t="s">
        <v>3945</v>
      </c>
      <c r="E11" s="261" t="s">
        <v>3944</v>
      </c>
      <c r="F11" s="288" t="s">
        <v>3952</v>
      </c>
    </row>
    <row r="12" spans="1:6" x14ac:dyDescent="0.2">
      <c r="A12" s="331" t="str">
        <f>+$A$5</f>
        <v>EALING HOSPITAL NHS TRUST</v>
      </c>
      <c r="B12" s="330" t="str">
        <f>+$B$5</f>
        <v>RC3</v>
      </c>
      <c r="C12" s="348">
        <f>SUMIF('Buildings data'!$B$2:$B$755,$B12,'Buildings data'!$L$2:$L$755)</f>
        <v>1.154326716430494</v>
      </c>
      <c r="D12" s="270">
        <f>+$H$55</f>
        <v>397</v>
      </c>
      <c r="E12" s="325">
        <f>D12/$D$14</f>
        <v>0.36388634280476628</v>
      </c>
      <c r="F12" s="254">
        <f>C12*E12</f>
        <v>0.42004372724372696</v>
      </c>
    </row>
    <row r="13" spans="1:6" x14ac:dyDescent="0.2">
      <c r="A13" s="331" t="str">
        <f>+$A$6</f>
        <v>NORTH WEST LONDON HOSPITALS NHS TRUST</v>
      </c>
      <c r="B13" s="330" t="str">
        <f>+$B$6</f>
        <v>RV8</v>
      </c>
      <c r="C13" s="348">
        <f>SUMIF('Buildings data'!$B$2:$B$755,$B13,'Buildings data'!$L$2:$L$755)</f>
        <v>1.1443756240474725</v>
      </c>
      <c r="D13" s="276">
        <f>+$H$56+$H$57</f>
        <v>694</v>
      </c>
      <c r="E13" s="325">
        <f>D13/$D$14</f>
        <v>0.63611365719523372</v>
      </c>
      <c r="F13" s="254">
        <f>C13*E13</f>
        <v>0.7279529634179156</v>
      </c>
    </row>
    <row r="14" spans="1:6" x14ac:dyDescent="0.2">
      <c r="A14" s="232" t="s">
        <v>3926</v>
      </c>
      <c r="B14" s="267"/>
      <c r="C14" s="254"/>
      <c r="D14" s="270">
        <f>SUM(D12:D13)</f>
        <v>1091</v>
      </c>
      <c r="E14" s="284">
        <f>SUM(E12:E13)</f>
        <v>1</v>
      </c>
      <c r="F14" s="271">
        <f>SUM(F12:F13)</f>
        <v>1.1479966906616426</v>
      </c>
    </row>
    <row r="15" spans="1:6" x14ac:dyDescent="0.2">
      <c r="A15" s="282"/>
      <c r="B15" s="283"/>
      <c r="C15" s="287"/>
      <c r="D15" s="282"/>
      <c r="E15" s="282"/>
      <c r="F15" s="281"/>
    </row>
    <row r="16" spans="1:6" x14ac:dyDescent="0.2">
      <c r="B16" s="262"/>
      <c r="C16" s="245"/>
    </row>
    <row r="17" spans="1:9" x14ac:dyDescent="0.2">
      <c r="A17" s="278" t="s">
        <v>2735</v>
      </c>
      <c r="B17" s="262"/>
      <c r="C17" s="245"/>
    </row>
    <row r="18" spans="1:9" ht="25.5" x14ac:dyDescent="0.2">
      <c r="A18" s="261" t="s">
        <v>3886</v>
      </c>
      <c r="B18" s="261" t="s">
        <v>3573</v>
      </c>
      <c r="C18" s="286" t="s">
        <v>3951</v>
      </c>
      <c r="D18" s="261" t="s">
        <v>3945</v>
      </c>
      <c r="E18" s="261" t="s">
        <v>3944</v>
      </c>
      <c r="F18" s="260" t="s">
        <v>3950</v>
      </c>
    </row>
    <row r="19" spans="1:9" x14ac:dyDescent="0.2">
      <c r="A19" s="331" t="str">
        <f>+$A$5</f>
        <v>EALING HOSPITAL NHS TRUST</v>
      </c>
      <c r="B19" s="330" t="str">
        <f>+$B$5</f>
        <v>RC3</v>
      </c>
      <c r="C19" s="347">
        <f>VLOOKUP($B19,'M&amp;D data'!$C$13:$G$234,5,FALSE)</f>
        <v>1.0185025427599708</v>
      </c>
      <c r="D19" s="270">
        <f>+$H$55</f>
        <v>397</v>
      </c>
      <c r="E19" s="325">
        <f>D19/$D$14</f>
        <v>0.36388634280476628</v>
      </c>
      <c r="F19" s="346">
        <f>+C19*E19</f>
        <v>0.37061916542228085</v>
      </c>
    </row>
    <row r="20" spans="1:9" x14ac:dyDescent="0.2">
      <c r="A20" s="331" t="str">
        <f>+$A$6</f>
        <v>NORTH WEST LONDON HOSPITALS NHS TRUST</v>
      </c>
      <c r="B20" s="330" t="str">
        <f>+$B$6</f>
        <v>RV8</v>
      </c>
      <c r="C20" s="347">
        <f>VLOOKUP($B20,'M&amp;D data'!$C$13:$G$234,5,FALSE)</f>
        <v>1.0185025427599708</v>
      </c>
      <c r="D20" s="276">
        <f>+$H$56+$H$57</f>
        <v>694</v>
      </c>
      <c r="E20" s="325">
        <f>D20/$D$14</f>
        <v>0.63611365719523372</v>
      </c>
      <c r="F20" s="346">
        <f>+C20*E20</f>
        <v>0.64788337733768986</v>
      </c>
    </row>
    <row r="21" spans="1:9" x14ac:dyDescent="0.2">
      <c r="A21" s="232" t="s">
        <v>3926</v>
      </c>
      <c r="B21" s="267"/>
      <c r="C21" s="346"/>
      <c r="D21" s="270">
        <f>SUM(D19:D20)</f>
        <v>1091</v>
      </c>
      <c r="E21" s="284">
        <f>SUM(E19:E20)</f>
        <v>1</v>
      </c>
      <c r="F21" s="345">
        <f>SUM(F19:F20)</f>
        <v>1.0185025427599708</v>
      </c>
    </row>
    <row r="22" spans="1:9" x14ac:dyDescent="0.2">
      <c r="A22" s="282"/>
      <c r="B22" s="283"/>
      <c r="C22" s="282"/>
      <c r="D22" s="281"/>
      <c r="E22" s="280" t="s">
        <v>3931</v>
      </c>
      <c r="F22" s="344">
        <f>SUMPRODUCT(E19:E20,C19:C20)-F21</f>
        <v>0</v>
      </c>
    </row>
    <row r="23" spans="1:9" x14ac:dyDescent="0.2">
      <c r="B23" s="262"/>
    </row>
    <row r="24" spans="1:9" x14ac:dyDescent="0.2">
      <c r="A24" s="278" t="s">
        <v>2733</v>
      </c>
      <c r="B24" s="262"/>
      <c r="C24" s="226"/>
      <c r="D24" s="226"/>
    </row>
    <row r="25" spans="1:9" ht="38.25" x14ac:dyDescent="0.2">
      <c r="A25" s="244" t="s">
        <v>3886</v>
      </c>
      <c r="B25" s="244" t="s">
        <v>3573</v>
      </c>
      <c r="C25" s="244" t="s">
        <v>3949</v>
      </c>
      <c r="D25" s="260" t="s">
        <v>3948</v>
      </c>
      <c r="E25" s="260" t="s">
        <v>3947</v>
      </c>
      <c r="F25" s="244" t="s">
        <v>3946</v>
      </c>
      <c r="G25" s="244" t="s">
        <v>3945</v>
      </c>
      <c r="H25" s="277" t="s">
        <v>3944</v>
      </c>
      <c r="I25" s="244" t="s">
        <v>3943</v>
      </c>
    </row>
    <row r="26" spans="1:9" x14ac:dyDescent="0.2">
      <c r="A26" s="341" t="str">
        <f>+$A$5</f>
        <v>EALING HOSPITAL NHS TRUST</v>
      </c>
      <c r="B26" s="340" t="str">
        <f>+$B$5</f>
        <v>RC3</v>
      </c>
      <c r="C26" s="328">
        <f>VLOOKUP($B26,'Land data'!$B$2:$D$234,3,FALSE)</f>
        <v>5.3048999999999999</v>
      </c>
      <c r="D26" s="322">
        <f>VLOOKUP($B26,'Land data'!$B$2:$E$234,4,FALSE)</f>
        <v>16053</v>
      </c>
      <c r="E26" s="270">
        <f>D26/C26</f>
        <v>3026.0702369507435</v>
      </c>
      <c r="F26" s="232"/>
      <c r="G26" s="322">
        <f>+$H$55</f>
        <v>397</v>
      </c>
      <c r="H26" s="323">
        <f>G26/$D$14</f>
        <v>0.36388634280476628</v>
      </c>
      <c r="I26" s="274">
        <f>E26/E29</f>
        <v>2.6676888797428435</v>
      </c>
    </row>
    <row r="27" spans="1:9" x14ac:dyDescent="0.2">
      <c r="A27" s="341" t="str">
        <f>+$A$6</f>
        <v>NORTH WEST LONDON HOSPITALS NHS TRUST</v>
      </c>
      <c r="B27" s="340" t="str">
        <f>+$B$6</f>
        <v>RV8</v>
      </c>
      <c r="C27" s="328">
        <f>VLOOKUP($B27,'Land data'!$B$2:$D$234,3,FALSE)</f>
        <v>21.0654</v>
      </c>
      <c r="D27" s="270">
        <f>VLOOKUP($B27,'Land data'!$B$2:$E$234,4,FALSE)</f>
        <v>36322</v>
      </c>
      <c r="E27" s="270">
        <f>D27/C27</f>
        <v>1724.2492428342209</v>
      </c>
      <c r="F27" s="232"/>
      <c r="G27" s="326">
        <f>+$H$56+$H$57</f>
        <v>694</v>
      </c>
      <c r="H27" s="323">
        <f>G27/$D$14</f>
        <v>0.63611365719523372</v>
      </c>
      <c r="I27" s="274">
        <f>E27/E29</f>
        <v>1.5200442061281676</v>
      </c>
    </row>
    <row r="28" spans="1:9" x14ac:dyDescent="0.2">
      <c r="A28" s="235" t="s">
        <v>3926</v>
      </c>
      <c r="B28" s="234"/>
      <c r="C28" s="266">
        <f>SUM(C26:C27)</f>
        <v>26.3703</v>
      </c>
      <c r="D28" s="270">
        <f>SUM(D26:D27)</f>
        <v>52375</v>
      </c>
      <c r="E28" s="270">
        <f>D28/C28</f>
        <v>1986.135918059332</v>
      </c>
      <c r="F28" s="271">
        <f>+E28/E29</f>
        <v>1.7509153084310805</v>
      </c>
      <c r="G28" s="322">
        <f>SUM(G26:G27)</f>
        <v>1091</v>
      </c>
      <c r="H28" s="269">
        <f>SUM(H26:H27)</f>
        <v>1</v>
      </c>
      <c r="I28" s="268">
        <f>SUMPRODUCT(H26:H27,I26:I27)</f>
        <v>1.9376564292491816</v>
      </c>
    </row>
    <row r="29" spans="1:9" x14ac:dyDescent="0.2">
      <c r="A29" s="233" t="s">
        <v>3942</v>
      </c>
      <c r="B29" s="240"/>
      <c r="C29" s="373">
        <f>SUM('PCT data'!$M$3:$M$154)+SUM('Land data'!$D$2:$D$234)</f>
        <v>7611.3175000000019</v>
      </c>
      <c r="D29" s="322">
        <f>SUM('PCT data'!$N$3:$N$154)+SUM('Land data'!$E$2:$E$234)</f>
        <v>8633833.4000000004</v>
      </c>
      <c r="E29" s="322">
        <f>D29/C29</f>
        <v>1134.3415118341861</v>
      </c>
      <c r="F29" s="232"/>
      <c r="G29" s="233"/>
      <c r="H29" s="233"/>
      <c r="I29" s="233"/>
    </row>
    <row r="30" spans="1:9" x14ac:dyDescent="0.2">
      <c r="A30" s="228" t="s">
        <v>3941</v>
      </c>
      <c r="C30" s="369"/>
      <c r="D30" s="369"/>
      <c r="F30" s="264"/>
      <c r="G30" s="263"/>
    </row>
    <row r="31" spans="1:9" x14ac:dyDescent="0.2">
      <c r="A31" s="228" t="s">
        <v>3940</v>
      </c>
    </row>
    <row r="32" spans="1:9" x14ac:dyDescent="0.2">
      <c r="A32" s="228"/>
    </row>
    <row r="33" spans="1:8" x14ac:dyDescent="0.2">
      <c r="A33" s="229" t="s">
        <v>3933</v>
      </c>
    </row>
    <row r="34" spans="1:8" ht="38.25" x14ac:dyDescent="0.2">
      <c r="A34" s="261" t="s">
        <v>3939</v>
      </c>
      <c r="B34" s="260" t="s">
        <v>3938</v>
      </c>
      <c r="C34" s="260" t="s">
        <v>3937</v>
      </c>
      <c r="D34" s="260" t="s">
        <v>3936</v>
      </c>
      <c r="E34" s="260" t="s">
        <v>3927</v>
      </c>
    </row>
    <row r="35" spans="1:8" x14ac:dyDescent="0.2">
      <c r="A35" s="259" t="s">
        <v>2734</v>
      </c>
      <c r="B35" s="258">
        <f>F7</f>
        <v>1.178255720502694</v>
      </c>
      <c r="C35" s="255">
        <f>Staff_Weight</f>
        <v>0.54914759484508857</v>
      </c>
      <c r="D35" s="254">
        <f>B35*C35</f>
        <v>0.64703629502652138</v>
      </c>
      <c r="E35" s="232"/>
    </row>
    <row r="36" spans="1:8" x14ac:dyDescent="0.2">
      <c r="A36" s="257" t="s">
        <v>3935</v>
      </c>
      <c r="B36" s="256">
        <f>F14</f>
        <v>1.1479966906616426</v>
      </c>
      <c r="C36" s="255">
        <f>Building_Weight</f>
        <v>2.6635675286214532E-2</v>
      </c>
      <c r="D36" s="254">
        <f>B36*C36</f>
        <v>3.0577667082112382E-2</v>
      </c>
      <c r="E36" s="232"/>
    </row>
    <row r="37" spans="1:8" x14ac:dyDescent="0.2">
      <c r="A37" s="257" t="s">
        <v>2735</v>
      </c>
      <c r="B37" s="256">
        <f>F21</f>
        <v>1.0185025427599708</v>
      </c>
      <c r="C37" s="255">
        <f>MnD_Weight</f>
        <v>0.13904710383678176</v>
      </c>
      <c r="D37" s="254">
        <f>B37*C37</f>
        <v>0.14161982882117191</v>
      </c>
      <c r="E37" s="232"/>
    </row>
    <row r="38" spans="1:8" x14ac:dyDescent="0.2">
      <c r="A38" s="232" t="s">
        <v>3969</v>
      </c>
      <c r="B38" s="256">
        <f>F28</f>
        <v>1.7509153084310805</v>
      </c>
      <c r="C38" s="255">
        <f>Land_Weight</f>
        <v>4.4820020140147153E-3</v>
      </c>
      <c r="D38" s="254">
        <f>B38*C38</f>
        <v>7.8476059387572981E-3</v>
      </c>
      <c r="E38" s="232"/>
    </row>
    <row r="39" spans="1:8" ht="13.5" thickBot="1" x14ac:dyDescent="0.25">
      <c r="A39" s="252" t="s">
        <v>632</v>
      </c>
      <c r="B39" s="253">
        <v>1</v>
      </c>
      <c r="C39" s="321">
        <f>Other_Weight</f>
        <v>0.28068762401790043</v>
      </c>
      <c r="D39" s="253">
        <f>B39*C39</f>
        <v>0.28068762401790043</v>
      </c>
      <c r="E39" s="252"/>
    </row>
    <row r="40" spans="1:8" ht="16.5" thickBot="1" x14ac:dyDescent="0.3">
      <c r="A40" s="251" t="s">
        <v>3933</v>
      </c>
      <c r="B40" s="250"/>
      <c r="C40" s="249">
        <f>SUM(C35:C39)</f>
        <v>1</v>
      </c>
      <c r="D40" s="248">
        <f>SUMPRODUCT(B35:B39,C35:C39)</f>
        <v>1.1077690208864635</v>
      </c>
      <c r="E40" s="247">
        <f ca="1">D40/B42</f>
        <v>1.1958757544836707</v>
      </c>
    </row>
    <row r="42" spans="1:8" x14ac:dyDescent="0.2">
      <c r="A42" s="246" t="s">
        <v>3932</v>
      </c>
      <c r="B42" s="245">
        <f ca="1">Lowest_Underlying_MFF</f>
        <v>0.92632450882387185</v>
      </c>
    </row>
    <row r="43" spans="1:8" x14ac:dyDescent="0.2">
      <c r="A43" s="229"/>
    </row>
    <row r="44" spans="1:8" x14ac:dyDescent="0.2">
      <c r="A44" s="229" t="s">
        <v>3931</v>
      </c>
    </row>
    <row r="45" spans="1:8" ht="51" x14ac:dyDescent="0.2">
      <c r="A45" s="244" t="s">
        <v>3886</v>
      </c>
      <c r="B45" s="244" t="s">
        <v>3573</v>
      </c>
      <c r="C45" s="244" t="s">
        <v>3930</v>
      </c>
      <c r="D45" s="244" t="s">
        <v>3968</v>
      </c>
      <c r="E45" s="244" t="s">
        <v>3928</v>
      </c>
      <c r="F45" s="244" t="s">
        <v>3927</v>
      </c>
      <c r="H45" s="243"/>
    </row>
    <row r="46" spans="1:8" x14ac:dyDescent="0.2">
      <c r="A46" s="331" t="str">
        <f>+$A$5</f>
        <v>EALING HOSPITAL NHS TRUST</v>
      </c>
      <c r="B46" s="330" t="str">
        <f>+$B$5</f>
        <v>RC3</v>
      </c>
      <c r="C46" s="239">
        <f ca="1">($C$35*C5+$C$36*C12+$C$37*C19+$C$38*I26+$C$39*$B$39)/$B$42</f>
        <v>1.1991819633265737</v>
      </c>
      <c r="D46" s="238">
        <f ca="1">+VLOOKUP(B46,MFF_2014_15,4,FALSE)-ROUND(C46,6)</f>
        <v>0</v>
      </c>
      <c r="E46" s="242">
        <f ca="1">INDEX('All Trusts'!$E$6:$E$261,MATCH($B46,'All Trusts'!$B$6:$B$261,0),1)-C46</f>
        <v>0</v>
      </c>
      <c r="F46" s="319"/>
    </row>
    <row r="47" spans="1:8" x14ac:dyDescent="0.2">
      <c r="A47" s="331" t="str">
        <f>+$A$6</f>
        <v>NORTH WEST LONDON HOSPITALS NHS TRUST</v>
      </c>
      <c r="B47" s="330" t="str">
        <f>+$B$6</f>
        <v>RV8</v>
      </c>
      <c r="C47" s="239">
        <f ca="1">($C$35*C6+$C$36*C13+$C$37*C20+$C$38*I27+$C$39*$B$39)/$B$42</f>
        <v>1.1954048619273083</v>
      </c>
      <c r="D47" s="238">
        <f ca="1">+VLOOKUP(B47,MFF_2014_15,4,FALSE)-ROUND(C47,6)</f>
        <v>0</v>
      </c>
      <c r="E47" s="242">
        <f ca="1">INDEX('All Trusts'!$E$6:$E$261,MATCH($B47,'All Trusts'!$B$6:$B$261,0),1)-C47</f>
        <v>0</v>
      </c>
      <c r="F47" s="319"/>
    </row>
    <row r="48" spans="1:8" x14ac:dyDescent="0.2">
      <c r="A48" s="235" t="s">
        <v>3926</v>
      </c>
      <c r="B48" s="234" t="s">
        <v>3224</v>
      </c>
      <c r="C48" s="233"/>
      <c r="D48" s="233"/>
      <c r="E48" s="232"/>
      <c r="F48" s="231">
        <f ca="1">ROUND(E40,6)</f>
        <v>1.1958759999999999</v>
      </c>
    </row>
    <row r="51" spans="1:8" x14ac:dyDescent="0.2">
      <c r="A51" s="229" t="s">
        <v>3925</v>
      </c>
    </row>
    <row r="52" spans="1:8" x14ac:dyDescent="0.2">
      <c r="A52" s="228" t="s">
        <v>3924</v>
      </c>
    </row>
    <row r="53" spans="1:8" ht="13.5" thickBot="1" x14ac:dyDescent="0.25">
      <c r="A53" s="227" t="s">
        <v>3921</v>
      </c>
      <c r="C53" s="368">
        <v>1</v>
      </c>
      <c r="D53" s="368">
        <f>C53+1</f>
        <v>2</v>
      </c>
      <c r="E53" s="368">
        <f t="shared" ref="E53:H53" si="0">D53+1</f>
        <v>3</v>
      </c>
      <c r="F53" s="368">
        <f t="shared" si="0"/>
        <v>4</v>
      </c>
      <c r="G53" s="368">
        <f t="shared" si="0"/>
        <v>5</v>
      </c>
      <c r="H53" s="368">
        <f t="shared" si="0"/>
        <v>6</v>
      </c>
    </row>
    <row r="54" spans="1:8" ht="26.25" thickBot="1" x14ac:dyDescent="0.25">
      <c r="A54" s="85" t="s">
        <v>3573</v>
      </c>
      <c r="B54" s="85" t="s">
        <v>2755</v>
      </c>
      <c r="C54" s="85" t="s">
        <v>2756</v>
      </c>
      <c r="D54" s="85" t="s">
        <v>2757</v>
      </c>
      <c r="E54" s="85" t="s">
        <v>2758</v>
      </c>
      <c r="F54" s="85" t="s">
        <v>2759</v>
      </c>
      <c r="G54" s="85" t="s">
        <v>2760</v>
      </c>
      <c r="H54" s="85" t="s">
        <v>3945</v>
      </c>
    </row>
    <row r="55" spans="1:8" ht="13.5" thickBot="1" x14ac:dyDescent="0.25">
      <c r="A55" s="337" t="s">
        <v>2345</v>
      </c>
      <c r="B55" s="337" t="s">
        <v>2346</v>
      </c>
      <c r="C55" s="337" t="s">
        <v>1846</v>
      </c>
      <c r="D55" s="337" t="str">
        <f>VLOOKUP($C55,'Buildings data'!$D:$I,D$53,FALSE)</f>
        <v>EALING HOSPITAL NHS TRUST</v>
      </c>
      <c r="E55" s="337" t="str">
        <f>VLOOKUP($C55,'Buildings data'!$D:$I,E$53,FALSE)</f>
        <v>UB1 3HW</v>
      </c>
      <c r="F55" s="337" t="str">
        <f>VLOOKUP($C55,'Buildings data'!$D:$I,F$53,FALSE)</f>
        <v>UB13</v>
      </c>
      <c r="G55" s="337" t="str">
        <f>VLOOKUP($C55,'Buildings data'!$D:$I,G$53,FALSE)</f>
        <v>5HX</v>
      </c>
      <c r="H55" s="337">
        <f>VLOOKUP($C55,'Buildings data'!$D:$I,H$53,FALSE)</f>
        <v>397</v>
      </c>
    </row>
    <row r="56" spans="1:8" x14ac:dyDescent="0.2">
      <c r="A56" s="343" t="s">
        <v>3664</v>
      </c>
      <c r="B56" s="343" t="s">
        <v>3665</v>
      </c>
      <c r="C56" s="343" t="s">
        <v>2259</v>
      </c>
      <c r="D56" s="343" t="str">
        <f>VLOOKUP($C56,'Buildings data'!$D:$I,D$53,FALSE)</f>
        <v>CENTRAL MIDDLESEX HOSPITAL</v>
      </c>
      <c r="E56" s="343" t="str">
        <f>VLOOKUP($C56,'Buildings data'!$D:$I,E$53,FALSE)</f>
        <v>NW10 7NS</v>
      </c>
      <c r="F56" s="343" t="str">
        <f>VLOOKUP($C56,'Buildings data'!$D:$I,F$53,FALSE)</f>
        <v>NW107</v>
      </c>
      <c r="G56" s="343" t="str">
        <f>VLOOKUP($C56,'Buildings data'!$D:$I,G$53,FALSE)</f>
        <v>5K5</v>
      </c>
      <c r="H56" s="343">
        <f>VLOOKUP($C56,'Buildings data'!$D:$I,H$53,FALSE)</f>
        <v>168</v>
      </c>
    </row>
    <row r="57" spans="1:8" ht="13.5" thickBot="1" x14ac:dyDescent="0.25">
      <c r="A57" s="338" t="s">
        <v>3664</v>
      </c>
      <c r="B57" s="338" t="s">
        <v>3665</v>
      </c>
      <c r="C57" s="338" t="s">
        <v>2261</v>
      </c>
      <c r="D57" s="338" t="str">
        <f>VLOOKUP($C57,'Buildings data'!$D:$I,D$53,FALSE)</f>
        <v>NORTHWICK PARK &amp; ST MARK'S HOSPITALS</v>
      </c>
      <c r="E57" s="338" t="str">
        <f>VLOOKUP($C57,'Buildings data'!$D:$I,E$53,FALSE)</f>
        <v>HA1 3UJ</v>
      </c>
      <c r="F57" s="338" t="str">
        <f>VLOOKUP($C57,'Buildings data'!$D:$I,F$53,FALSE)</f>
        <v>HA13</v>
      </c>
      <c r="G57" s="338" t="str">
        <f>VLOOKUP($C57,'Buildings data'!$D:$I,G$53,FALSE)</f>
        <v>5K5</v>
      </c>
      <c r="H57" s="338">
        <f>VLOOKUP($C57,'Buildings data'!$D:$I,H$53,FALSE)</f>
        <v>526</v>
      </c>
    </row>
    <row r="59" spans="1:8" x14ac:dyDescent="0.2">
      <c r="A59" s="228" t="s">
        <v>3920</v>
      </c>
    </row>
    <row r="60" spans="1:8" x14ac:dyDescent="0.2">
      <c r="A60" s="227" t="s">
        <v>3919</v>
      </c>
    </row>
  </sheetData>
  <conditionalFormatting sqref="C46:C47">
    <cfRule type="cellIs" dxfId="7" priority="1" operator="lessThan">
      <formula>$F$48</formula>
    </cfRule>
    <cfRule type="cellIs" dxfId="6" priority="2" operator="greaterThan">
      <formula>$F$48</formula>
    </cfRule>
  </conditionalFormatting>
  <pageMargins left="0.7" right="0.7" top="0.75" bottom="0.75" header="0.3" footer="0.3"/>
  <pageSetup paperSize="2058" orientation="portrait" horizontalDpi="300" verticalDpi="30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rgb="FF00B050"/>
  </sheetPr>
  <dimension ref="A1:I59"/>
  <sheetViews>
    <sheetView workbookViewId="0"/>
  </sheetViews>
  <sheetFormatPr defaultRowHeight="12.75" x14ac:dyDescent="0.2"/>
  <cols>
    <col min="1" max="1" width="54.28515625" style="227" bestFit="1" customWidth="1"/>
    <col min="2" max="2" width="17" style="227" customWidth="1"/>
    <col min="3" max="3" width="21.85546875" style="227" bestFit="1" customWidth="1"/>
    <col min="4" max="4" width="38.5703125" style="227" bestFit="1" customWidth="1"/>
    <col min="5" max="5" width="13.28515625" style="227" customWidth="1"/>
    <col min="6" max="6" width="20.5703125" style="227" customWidth="1"/>
    <col min="7" max="7" width="13.7109375" style="227" customWidth="1"/>
    <col min="8" max="8" width="13.5703125" style="227" customWidth="1"/>
    <col min="9" max="9" width="12" style="227" customWidth="1"/>
    <col min="10" max="250" width="9.140625" style="227"/>
    <col min="251" max="251" width="54.28515625" style="227" bestFit="1" customWidth="1"/>
    <col min="252" max="252" width="19.140625" style="227" customWidth="1"/>
    <col min="253" max="253" width="21.85546875" style="227" bestFit="1" customWidth="1"/>
    <col min="254" max="254" width="38.5703125" style="227" bestFit="1" customWidth="1"/>
    <col min="255" max="255" width="13.28515625" style="227" customWidth="1"/>
    <col min="256" max="256" width="20.5703125" style="227" customWidth="1"/>
    <col min="257" max="257" width="13.7109375" style="227" customWidth="1"/>
    <col min="258" max="258" width="13.5703125" style="227" customWidth="1"/>
    <col min="259" max="506" width="9.140625" style="227"/>
    <col min="507" max="507" width="54.28515625" style="227" bestFit="1" customWidth="1"/>
    <col min="508" max="508" width="19.140625" style="227" customWidth="1"/>
    <col min="509" max="509" width="21.85546875" style="227" bestFit="1" customWidth="1"/>
    <col min="510" max="510" width="38.5703125" style="227" bestFit="1" customWidth="1"/>
    <col min="511" max="511" width="13.28515625" style="227" customWidth="1"/>
    <col min="512" max="512" width="20.5703125" style="227" customWidth="1"/>
    <col min="513" max="513" width="13.7109375" style="227" customWidth="1"/>
    <col min="514" max="514" width="13.5703125" style="227" customWidth="1"/>
    <col min="515" max="762" width="9.140625" style="227"/>
    <col min="763" max="763" width="54.28515625" style="227" bestFit="1" customWidth="1"/>
    <col min="764" max="764" width="19.140625" style="227" customWidth="1"/>
    <col min="765" max="765" width="21.85546875" style="227" bestFit="1" customWidth="1"/>
    <col min="766" max="766" width="38.5703125" style="227" bestFit="1" customWidth="1"/>
    <col min="767" max="767" width="13.28515625" style="227" customWidth="1"/>
    <col min="768" max="768" width="20.5703125" style="227" customWidth="1"/>
    <col min="769" max="769" width="13.7109375" style="227" customWidth="1"/>
    <col min="770" max="770" width="13.5703125" style="227" customWidth="1"/>
    <col min="771" max="1018" width="9.140625" style="227"/>
    <col min="1019" max="1019" width="54.28515625" style="227" bestFit="1" customWidth="1"/>
    <col min="1020" max="1020" width="19.140625" style="227" customWidth="1"/>
    <col min="1021" max="1021" width="21.85546875" style="227" bestFit="1" customWidth="1"/>
    <col min="1022" max="1022" width="38.5703125" style="227" bestFit="1" customWidth="1"/>
    <col min="1023" max="1023" width="13.28515625" style="227" customWidth="1"/>
    <col min="1024" max="1024" width="20.5703125" style="227" customWidth="1"/>
    <col min="1025" max="1025" width="13.7109375" style="227" customWidth="1"/>
    <col min="1026" max="1026" width="13.5703125" style="227" customWidth="1"/>
    <col min="1027" max="1274" width="9.140625" style="227"/>
    <col min="1275" max="1275" width="54.28515625" style="227" bestFit="1" customWidth="1"/>
    <col min="1276" max="1276" width="19.140625" style="227" customWidth="1"/>
    <col min="1277" max="1277" width="21.85546875" style="227" bestFit="1" customWidth="1"/>
    <col min="1278" max="1278" width="38.5703125" style="227" bestFit="1" customWidth="1"/>
    <col min="1279" max="1279" width="13.28515625" style="227" customWidth="1"/>
    <col min="1280" max="1280" width="20.5703125" style="227" customWidth="1"/>
    <col min="1281" max="1281" width="13.7109375" style="227" customWidth="1"/>
    <col min="1282" max="1282" width="13.5703125" style="227" customWidth="1"/>
    <col min="1283" max="1530" width="9.140625" style="227"/>
    <col min="1531" max="1531" width="54.28515625" style="227" bestFit="1" customWidth="1"/>
    <col min="1532" max="1532" width="19.140625" style="227" customWidth="1"/>
    <col min="1533" max="1533" width="21.85546875" style="227" bestFit="1" customWidth="1"/>
    <col min="1534" max="1534" width="38.5703125" style="227" bestFit="1" customWidth="1"/>
    <col min="1535" max="1535" width="13.28515625" style="227" customWidth="1"/>
    <col min="1536" max="1536" width="20.5703125" style="227" customWidth="1"/>
    <col min="1537" max="1537" width="13.7109375" style="227" customWidth="1"/>
    <col min="1538" max="1538" width="13.5703125" style="227" customWidth="1"/>
    <col min="1539" max="1786" width="9.140625" style="227"/>
    <col min="1787" max="1787" width="54.28515625" style="227" bestFit="1" customWidth="1"/>
    <col min="1788" max="1788" width="19.140625" style="227" customWidth="1"/>
    <col min="1789" max="1789" width="21.85546875" style="227" bestFit="1" customWidth="1"/>
    <col min="1790" max="1790" width="38.5703125" style="227" bestFit="1" customWidth="1"/>
    <col min="1791" max="1791" width="13.28515625" style="227" customWidth="1"/>
    <col min="1792" max="1792" width="20.5703125" style="227" customWidth="1"/>
    <col min="1793" max="1793" width="13.7109375" style="227" customWidth="1"/>
    <col min="1794" max="1794" width="13.5703125" style="227" customWidth="1"/>
    <col min="1795" max="2042" width="9.140625" style="227"/>
    <col min="2043" max="2043" width="54.28515625" style="227" bestFit="1" customWidth="1"/>
    <col min="2044" max="2044" width="19.140625" style="227" customWidth="1"/>
    <col min="2045" max="2045" width="21.85546875" style="227" bestFit="1" customWidth="1"/>
    <col min="2046" max="2046" width="38.5703125" style="227" bestFit="1" customWidth="1"/>
    <col min="2047" max="2047" width="13.28515625" style="227" customWidth="1"/>
    <col min="2048" max="2048" width="20.5703125" style="227" customWidth="1"/>
    <col min="2049" max="2049" width="13.7109375" style="227" customWidth="1"/>
    <col min="2050" max="2050" width="13.5703125" style="227" customWidth="1"/>
    <col min="2051" max="2298" width="9.140625" style="227"/>
    <col min="2299" max="2299" width="54.28515625" style="227" bestFit="1" customWidth="1"/>
    <col min="2300" max="2300" width="19.140625" style="227" customWidth="1"/>
    <col min="2301" max="2301" width="21.85546875" style="227" bestFit="1" customWidth="1"/>
    <col min="2302" max="2302" width="38.5703125" style="227" bestFit="1" customWidth="1"/>
    <col min="2303" max="2303" width="13.28515625" style="227" customWidth="1"/>
    <col min="2304" max="2304" width="20.5703125" style="227" customWidth="1"/>
    <col min="2305" max="2305" width="13.7109375" style="227" customWidth="1"/>
    <col min="2306" max="2306" width="13.5703125" style="227" customWidth="1"/>
    <col min="2307" max="2554" width="9.140625" style="227"/>
    <col min="2555" max="2555" width="54.28515625" style="227" bestFit="1" customWidth="1"/>
    <col min="2556" max="2556" width="19.140625" style="227" customWidth="1"/>
    <col min="2557" max="2557" width="21.85546875" style="227" bestFit="1" customWidth="1"/>
    <col min="2558" max="2558" width="38.5703125" style="227" bestFit="1" customWidth="1"/>
    <col min="2559" max="2559" width="13.28515625" style="227" customWidth="1"/>
    <col min="2560" max="2560" width="20.5703125" style="227" customWidth="1"/>
    <col min="2561" max="2561" width="13.7109375" style="227" customWidth="1"/>
    <col min="2562" max="2562" width="13.5703125" style="227" customWidth="1"/>
    <col min="2563" max="2810" width="9.140625" style="227"/>
    <col min="2811" max="2811" width="54.28515625" style="227" bestFit="1" customWidth="1"/>
    <col min="2812" max="2812" width="19.140625" style="227" customWidth="1"/>
    <col min="2813" max="2813" width="21.85546875" style="227" bestFit="1" customWidth="1"/>
    <col min="2814" max="2814" width="38.5703125" style="227" bestFit="1" customWidth="1"/>
    <col min="2815" max="2815" width="13.28515625" style="227" customWidth="1"/>
    <col min="2816" max="2816" width="20.5703125" style="227" customWidth="1"/>
    <col min="2817" max="2817" width="13.7109375" style="227" customWidth="1"/>
    <col min="2818" max="2818" width="13.5703125" style="227" customWidth="1"/>
    <col min="2819" max="3066" width="9.140625" style="227"/>
    <col min="3067" max="3067" width="54.28515625" style="227" bestFit="1" customWidth="1"/>
    <col min="3068" max="3068" width="19.140625" style="227" customWidth="1"/>
    <col min="3069" max="3069" width="21.85546875" style="227" bestFit="1" customWidth="1"/>
    <col min="3070" max="3070" width="38.5703125" style="227" bestFit="1" customWidth="1"/>
    <col min="3071" max="3071" width="13.28515625" style="227" customWidth="1"/>
    <col min="3072" max="3072" width="20.5703125" style="227" customWidth="1"/>
    <col min="3073" max="3073" width="13.7109375" style="227" customWidth="1"/>
    <col min="3074" max="3074" width="13.5703125" style="227" customWidth="1"/>
    <col min="3075" max="3322" width="9.140625" style="227"/>
    <col min="3323" max="3323" width="54.28515625" style="227" bestFit="1" customWidth="1"/>
    <col min="3324" max="3324" width="19.140625" style="227" customWidth="1"/>
    <col min="3325" max="3325" width="21.85546875" style="227" bestFit="1" customWidth="1"/>
    <col min="3326" max="3326" width="38.5703125" style="227" bestFit="1" customWidth="1"/>
    <col min="3327" max="3327" width="13.28515625" style="227" customWidth="1"/>
    <col min="3328" max="3328" width="20.5703125" style="227" customWidth="1"/>
    <col min="3329" max="3329" width="13.7109375" style="227" customWidth="1"/>
    <col min="3330" max="3330" width="13.5703125" style="227" customWidth="1"/>
    <col min="3331" max="3578" width="9.140625" style="227"/>
    <col min="3579" max="3579" width="54.28515625" style="227" bestFit="1" customWidth="1"/>
    <col min="3580" max="3580" width="19.140625" style="227" customWidth="1"/>
    <col min="3581" max="3581" width="21.85546875" style="227" bestFit="1" customWidth="1"/>
    <col min="3582" max="3582" width="38.5703125" style="227" bestFit="1" customWidth="1"/>
    <col min="3583" max="3583" width="13.28515625" style="227" customWidth="1"/>
    <col min="3584" max="3584" width="20.5703125" style="227" customWidth="1"/>
    <col min="3585" max="3585" width="13.7109375" style="227" customWidth="1"/>
    <col min="3586" max="3586" width="13.5703125" style="227" customWidth="1"/>
    <col min="3587" max="3834" width="9.140625" style="227"/>
    <col min="3835" max="3835" width="54.28515625" style="227" bestFit="1" customWidth="1"/>
    <col min="3836" max="3836" width="19.140625" style="227" customWidth="1"/>
    <col min="3837" max="3837" width="21.85546875" style="227" bestFit="1" customWidth="1"/>
    <col min="3838" max="3838" width="38.5703125" style="227" bestFit="1" customWidth="1"/>
    <col min="3839" max="3839" width="13.28515625" style="227" customWidth="1"/>
    <col min="3840" max="3840" width="20.5703125" style="227" customWidth="1"/>
    <col min="3841" max="3841" width="13.7109375" style="227" customWidth="1"/>
    <col min="3842" max="3842" width="13.5703125" style="227" customWidth="1"/>
    <col min="3843" max="4090" width="9.140625" style="227"/>
    <col min="4091" max="4091" width="54.28515625" style="227" bestFit="1" customWidth="1"/>
    <col min="4092" max="4092" width="19.140625" style="227" customWidth="1"/>
    <col min="4093" max="4093" width="21.85546875" style="227" bestFit="1" customWidth="1"/>
    <col min="4094" max="4094" width="38.5703125" style="227" bestFit="1" customWidth="1"/>
    <col min="4095" max="4095" width="13.28515625" style="227" customWidth="1"/>
    <col min="4096" max="4096" width="20.5703125" style="227" customWidth="1"/>
    <col min="4097" max="4097" width="13.7109375" style="227" customWidth="1"/>
    <col min="4098" max="4098" width="13.5703125" style="227" customWidth="1"/>
    <col min="4099" max="4346" width="9.140625" style="227"/>
    <col min="4347" max="4347" width="54.28515625" style="227" bestFit="1" customWidth="1"/>
    <col min="4348" max="4348" width="19.140625" style="227" customWidth="1"/>
    <col min="4349" max="4349" width="21.85546875" style="227" bestFit="1" customWidth="1"/>
    <col min="4350" max="4350" width="38.5703125" style="227" bestFit="1" customWidth="1"/>
    <col min="4351" max="4351" width="13.28515625" style="227" customWidth="1"/>
    <col min="4352" max="4352" width="20.5703125" style="227" customWidth="1"/>
    <col min="4353" max="4353" width="13.7109375" style="227" customWidth="1"/>
    <col min="4354" max="4354" width="13.5703125" style="227" customWidth="1"/>
    <col min="4355" max="4602" width="9.140625" style="227"/>
    <col min="4603" max="4603" width="54.28515625" style="227" bestFit="1" customWidth="1"/>
    <col min="4604" max="4604" width="19.140625" style="227" customWidth="1"/>
    <col min="4605" max="4605" width="21.85546875" style="227" bestFit="1" customWidth="1"/>
    <col min="4606" max="4606" width="38.5703125" style="227" bestFit="1" customWidth="1"/>
    <col min="4607" max="4607" width="13.28515625" style="227" customWidth="1"/>
    <col min="4608" max="4608" width="20.5703125" style="227" customWidth="1"/>
    <col min="4609" max="4609" width="13.7109375" style="227" customWidth="1"/>
    <col min="4610" max="4610" width="13.5703125" style="227" customWidth="1"/>
    <col min="4611" max="4858" width="9.140625" style="227"/>
    <col min="4859" max="4859" width="54.28515625" style="227" bestFit="1" customWidth="1"/>
    <col min="4860" max="4860" width="19.140625" style="227" customWidth="1"/>
    <col min="4861" max="4861" width="21.85546875" style="227" bestFit="1" customWidth="1"/>
    <col min="4862" max="4862" width="38.5703125" style="227" bestFit="1" customWidth="1"/>
    <col min="4863" max="4863" width="13.28515625" style="227" customWidth="1"/>
    <col min="4864" max="4864" width="20.5703125" style="227" customWidth="1"/>
    <col min="4865" max="4865" width="13.7109375" style="227" customWidth="1"/>
    <col min="4866" max="4866" width="13.5703125" style="227" customWidth="1"/>
    <col min="4867" max="5114" width="9.140625" style="227"/>
    <col min="5115" max="5115" width="54.28515625" style="227" bestFit="1" customWidth="1"/>
    <col min="5116" max="5116" width="19.140625" style="227" customWidth="1"/>
    <col min="5117" max="5117" width="21.85546875" style="227" bestFit="1" customWidth="1"/>
    <col min="5118" max="5118" width="38.5703125" style="227" bestFit="1" customWidth="1"/>
    <col min="5119" max="5119" width="13.28515625" style="227" customWidth="1"/>
    <col min="5120" max="5120" width="20.5703125" style="227" customWidth="1"/>
    <col min="5121" max="5121" width="13.7109375" style="227" customWidth="1"/>
    <col min="5122" max="5122" width="13.5703125" style="227" customWidth="1"/>
    <col min="5123" max="5370" width="9.140625" style="227"/>
    <col min="5371" max="5371" width="54.28515625" style="227" bestFit="1" customWidth="1"/>
    <col min="5372" max="5372" width="19.140625" style="227" customWidth="1"/>
    <col min="5373" max="5373" width="21.85546875" style="227" bestFit="1" customWidth="1"/>
    <col min="5374" max="5374" width="38.5703125" style="227" bestFit="1" customWidth="1"/>
    <col min="5375" max="5375" width="13.28515625" style="227" customWidth="1"/>
    <col min="5376" max="5376" width="20.5703125" style="227" customWidth="1"/>
    <col min="5377" max="5377" width="13.7109375" style="227" customWidth="1"/>
    <col min="5378" max="5378" width="13.5703125" style="227" customWidth="1"/>
    <col min="5379" max="5626" width="9.140625" style="227"/>
    <col min="5627" max="5627" width="54.28515625" style="227" bestFit="1" customWidth="1"/>
    <col min="5628" max="5628" width="19.140625" style="227" customWidth="1"/>
    <col min="5629" max="5629" width="21.85546875" style="227" bestFit="1" customWidth="1"/>
    <col min="5630" max="5630" width="38.5703125" style="227" bestFit="1" customWidth="1"/>
    <col min="5631" max="5631" width="13.28515625" style="227" customWidth="1"/>
    <col min="5632" max="5632" width="20.5703125" style="227" customWidth="1"/>
    <col min="5633" max="5633" width="13.7109375" style="227" customWidth="1"/>
    <col min="5634" max="5634" width="13.5703125" style="227" customWidth="1"/>
    <col min="5635" max="5882" width="9.140625" style="227"/>
    <col min="5883" max="5883" width="54.28515625" style="227" bestFit="1" customWidth="1"/>
    <col min="5884" max="5884" width="19.140625" style="227" customWidth="1"/>
    <col min="5885" max="5885" width="21.85546875" style="227" bestFit="1" customWidth="1"/>
    <col min="5886" max="5886" width="38.5703125" style="227" bestFit="1" customWidth="1"/>
    <col min="5887" max="5887" width="13.28515625" style="227" customWidth="1"/>
    <col min="5888" max="5888" width="20.5703125" style="227" customWidth="1"/>
    <col min="5889" max="5889" width="13.7109375" style="227" customWidth="1"/>
    <col min="5890" max="5890" width="13.5703125" style="227" customWidth="1"/>
    <col min="5891" max="6138" width="9.140625" style="227"/>
    <col min="6139" max="6139" width="54.28515625" style="227" bestFit="1" customWidth="1"/>
    <col min="6140" max="6140" width="19.140625" style="227" customWidth="1"/>
    <col min="6141" max="6141" width="21.85546875" style="227" bestFit="1" customWidth="1"/>
    <col min="6142" max="6142" width="38.5703125" style="227" bestFit="1" customWidth="1"/>
    <col min="6143" max="6143" width="13.28515625" style="227" customWidth="1"/>
    <col min="6144" max="6144" width="20.5703125" style="227" customWidth="1"/>
    <col min="6145" max="6145" width="13.7109375" style="227" customWidth="1"/>
    <col min="6146" max="6146" width="13.5703125" style="227" customWidth="1"/>
    <col min="6147" max="6394" width="9.140625" style="227"/>
    <col min="6395" max="6395" width="54.28515625" style="227" bestFit="1" customWidth="1"/>
    <col min="6396" max="6396" width="19.140625" style="227" customWidth="1"/>
    <col min="6397" max="6397" width="21.85546875" style="227" bestFit="1" customWidth="1"/>
    <col min="6398" max="6398" width="38.5703125" style="227" bestFit="1" customWidth="1"/>
    <col min="6399" max="6399" width="13.28515625" style="227" customWidth="1"/>
    <col min="6400" max="6400" width="20.5703125" style="227" customWidth="1"/>
    <col min="6401" max="6401" width="13.7109375" style="227" customWidth="1"/>
    <col min="6402" max="6402" width="13.5703125" style="227" customWidth="1"/>
    <col min="6403" max="6650" width="9.140625" style="227"/>
    <col min="6651" max="6651" width="54.28515625" style="227" bestFit="1" customWidth="1"/>
    <col min="6652" max="6652" width="19.140625" style="227" customWidth="1"/>
    <col min="6653" max="6653" width="21.85546875" style="227" bestFit="1" customWidth="1"/>
    <col min="6654" max="6654" width="38.5703125" style="227" bestFit="1" customWidth="1"/>
    <col min="6655" max="6655" width="13.28515625" style="227" customWidth="1"/>
    <col min="6656" max="6656" width="20.5703125" style="227" customWidth="1"/>
    <col min="6657" max="6657" width="13.7109375" style="227" customWidth="1"/>
    <col min="6658" max="6658" width="13.5703125" style="227" customWidth="1"/>
    <col min="6659" max="6906" width="9.140625" style="227"/>
    <col min="6907" max="6907" width="54.28515625" style="227" bestFit="1" customWidth="1"/>
    <col min="6908" max="6908" width="19.140625" style="227" customWidth="1"/>
    <col min="6909" max="6909" width="21.85546875" style="227" bestFit="1" customWidth="1"/>
    <col min="6910" max="6910" width="38.5703125" style="227" bestFit="1" customWidth="1"/>
    <col min="6911" max="6911" width="13.28515625" style="227" customWidth="1"/>
    <col min="6912" max="6912" width="20.5703125" style="227" customWidth="1"/>
    <col min="6913" max="6913" width="13.7109375" style="227" customWidth="1"/>
    <col min="6914" max="6914" width="13.5703125" style="227" customWidth="1"/>
    <col min="6915" max="7162" width="9.140625" style="227"/>
    <col min="7163" max="7163" width="54.28515625" style="227" bestFit="1" customWidth="1"/>
    <col min="7164" max="7164" width="19.140625" style="227" customWidth="1"/>
    <col min="7165" max="7165" width="21.85546875" style="227" bestFit="1" customWidth="1"/>
    <col min="7166" max="7166" width="38.5703125" style="227" bestFit="1" customWidth="1"/>
    <col min="7167" max="7167" width="13.28515625" style="227" customWidth="1"/>
    <col min="7168" max="7168" width="20.5703125" style="227" customWidth="1"/>
    <col min="7169" max="7169" width="13.7109375" style="227" customWidth="1"/>
    <col min="7170" max="7170" width="13.5703125" style="227" customWidth="1"/>
    <col min="7171" max="7418" width="9.140625" style="227"/>
    <col min="7419" max="7419" width="54.28515625" style="227" bestFit="1" customWidth="1"/>
    <col min="7420" max="7420" width="19.140625" style="227" customWidth="1"/>
    <col min="7421" max="7421" width="21.85546875" style="227" bestFit="1" customWidth="1"/>
    <col min="7422" max="7422" width="38.5703125" style="227" bestFit="1" customWidth="1"/>
    <col min="7423" max="7423" width="13.28515625" style="227" customWidth="1"/>
    <col min="7424" max="7424" width="20.5703125" style="227" customWidth="1"/>
    <col min="7425" max="7425" width="13.7109375" style="227" customWidth="1"/>
    <col min="7426" max="7426" width="13.5703125" style="227" customWidth="1"/>
    <col min="7427" max="7674" width="9.140625" style="227"/>
    <col min="7675" max="7675" width="54.28515625" style="227" bestFit="1" customWidth="1"/>
    <col min="7676" max="7676" width="19.140625" style="227" customWidth="1"/>
    <col min="7677" max="7677" width="21.85546875" style="227" bestFit="1" customWidth="1"/>
    <col min="7678" max="7678" width="38.5703125" style="227" bestFit="1" customWidth="1"/>
    <col min="7679" max="7679" width="13.28515625" style="227" customWidth="1"/>
    <col min="7680" max="7680" width="20.5703125" style="227" customWidth="1"/>
    <col min="7681" max="7681" width="13.7109375" style="227" customWidth="1"/>
    <col min="7682" max="7682" width="13.5703125" style="227" customWidth="1"/>
    <col min="7683" max="7930" width="9.140625" style="227"/>
    <col min="7931" max="7931" width="54.28515625" style="227" bestFit="1" customWidth="1"/>
    <col min="7932" max="7932" width="19.140625" style="227" customWidth="1"/>
    <col min="7933" max="7933" width="21.85546875" style="227" bestFit="1" customWidth="1"/>
    <col min="7934" max="7934" width="38.5703125" style="227" bestFit="1" customWidth="1"/>
    <col min="7935" max="7935" width="13.28515625" style="227" customWidth="1"/>
    <col min="7936" max="7936" width="20.5703125" style="227" customWidth="1"/>
    <col min="7937" max="7937" width="13.7109375" style="227" customWidth="1"/>
    <col min="7938" max="7938" width="13.5703125" style="227" customWidth="1"/>
    <col min="7939" max="8186" width="9.140625" style="227"/>
    <col min="8187" max="8187" width="54.28515625" style="227" bestFit="1" customWidth="1"/>
    <col min="8188" max="8188" width="19.140625" style="227" customWidth="1"/>
    <col min="8189" max="8189" width="21.85546875" style="227" bestFit="1" customWidth="1"/>
    <col min="8190" max="8190" width="38.5703125" style="227" bestFit="1" customWidth="1"/>
    <col min="8191" max="8191" width="13.28515625" style="227" customWidth="1"/>
    <col min="8192" max="8192" width="20.5703125" style="227" customWidth="1"/>
    <col min="8193" max="8193" width="13.7109375" style="227" customWidth="1"/>
    <col min="8194" max="8194" width="13.5703125" style="227" customWidth="1"/>
    <col min="8195" max="8442" width="9.140625" style="227"/>
    <col min="8443" max="8443" width="54.28515625" style="227" bestFit="1" customWidth="1"/>
    <col min="8444" max="8444" width="19.140625" style="227" customWidth="1"/>
    <col min="8445" max="8445" width="21.85546875" style="227" bestFit="1" customWidth="1"/>
    <col min="8446" max="8446" width="38.5703125" style="227" bestFit="1" customWidth="1"/>
    <col min="8447" max="8447" width="13.28515625" style="227" customWidth="1"/>
    <col min="8448" max="8448" width="20.5703125" style="227" customWidth="1"/>
    <col min="8449" max="8449" width="13.7109375" style="227" customWidth="1"/>
    <col min="8450" max="8450" width="13.5703125" style="227" customWidth="1"/>
    <col min="8451" max="8698" width="9.140625" style="227"/>
    <col min="8699" max="8699" width="54.28515625" style="227" bestFit="1" customWidth="1"/>
    <col min="8700" max="8700" width="19.140625" style="227" customWidth="1"/>
    <col min="8701" max="8701" width="21.85546875" style="227" bestFit="1" customWidth="1"/>
    <col min="8702" max="8702" width="38.5703125" style="227" bestFit="1" customWidth="1"/>
    <col min="8703" max="8703" width="13.28515625" style="227" customWidth="1"/>
    <col min="8704" max="8704" width="20.5703125" style="227" customWidth="1"/>
    <col min="8705" max="8705" width="13.7109375" style="227" customWidth="1"/>
    <col min="8706" max="8706" width="13.5703125" style="227" customWidth="1"/>
    <col min="8707" max="8954" width="9.140625" style="227"/>
    <col min="8955" max="8955" width="54.28515625" style="227" bestFit="1" customWidth="1"/>
    <col min="8956" max="8956" width="19.140625" style="227" customWidth="1"/>
    <col min="8957" max="8957" width="21.85546875" style="227" bestFit="1" customWidth="1"/>
    <col min="8958" max="8958" width="38.5703125" style="227" bestFit="1" customWidth="1"/>
    <col min="8959" max="8959" width="13.28515625" style="227" customWidth="1"/>
    <col min="8960" max="8960" width="20.5703125" style="227" customWidth="1"/>
    <col min="8961" max="8961" width="13.7109375" style="227" customWidth="1"/>
    <col min="8962" max="8962" width="13.5703125" style="227" customWidth="1"/>
    <col min="8963" max="9210" width="9.140625" style="227"/>
    <col min="9211" max="9211" width="54.28515625" style="227" bestFit="1" customWidth="1"/>
    <col min="9212" max="9212" width="19.140625" style="227" customWidth="1"/>
    <col min="9213" max="9213" width="21.85546875" style="227" bestFit="1" customWidth="1"/>
    <col min="9214" max="9214" width="38.5703125" style="227" bestFit="1" customWidth="1"/>
    <col min="9215" max="9215" width="13.28515625" style="227" customWidth="1"/>
    <col min="9216" max="9216" width="20.5703125" style="227" customWidth="1"/>
    <col min="9217" max="9217" width="13.7109375" style="227" customWidth="1"/>
    <col min="9218" max="9218" width="13.5703125" style="227" customWidth="1"/>
    <col min="9219" max="9466" width="9.140625" style="227"/>
    <col min="9467" max="9467" width="54.28515625" style="227" bestFit="1" customWidth="1"/>
    <col min="9468" max="9468" width="19.140625" style="227" customWidth="1"/>
    <col min="9469" max="9469" width="21.85546875" style="227" bestFit="1" customWidth="1"/>
    <col min="9470" max="9470" width="38.5703125" style="227" bestFit="1" customWidth="1"/>
    <col min="9471" max="9471" width="13.28515625" style="227" customWidth="1"/>
    <col min="9472" max="9472" width="20.5703125" style="227" customWidth="1"/>
    <col min="9473" max="9473" width="13.7109375" style="227" customWidth="1"/>
    <col min="9474" max="9474" width="13.5703125" style="227" customWidth="1"/>
    <col min="9475" max="9722" width="9.140625" style="227"/>
    <col min="9723" max="9723" width="54.28515625" style="227" bestFit="1" customWidth="1"/>
    <col min="9724" max="9724" width="19.140625" style="227" customWidth="1"/>
    <col min="9725" max="9725" width="21.85546875" style="227" bestFit="1" customWidth="1"/>
    <col min="9726" max="9726" width="38.5703125" style="227" bestFit="1" customWidth="1"/>
    <col min="9727" max="9727" width="13.28515625" style="227" customWidth="1"/>
    <col min="9728" max="9728" width="20.5703125" style="227" customWidth="1"/>
    <col min="9729" max="9729" width="13.7109375" style="227" customWidth="1"/>
    <col min="9730" max="9730" width="13.5703125" style="227" customWidth="1"/>
    <col min="9731" max="9978" width="9.140625" style="227"/>
    <col min="9979" max="9979" width="54.28515625" style="227" bestFit="1" customWidth="1"/>
    <col min="9980" max="9980" width="19.140625" style="227" customWidth="1"/>
    <col min="9981" max="9981" width="21.85546875" style="227" bestFit="1" customWidth="1"/>
    <col min="9982" max="9982" width="38.5703125" style="227" bestFit="1" customWidth="1"/>
    <col min="9983" max="9983" width="13.28515625" style="227" customWidth="1"/>
    <col min="9984" max="9984" width="20.5703125" style="227" customWidth="1"/>
    <col min="9985" max="9985" width="13.7109375" style="227" customWidth="1"/>
    <col min="9986" max="9986" width="13.5703125" style="227" customWidth="1"/>
    <col min="9987" max="10234" width="9.140625" style="227"/>
    <col min="10235" max="10235" width="54.28515625" style="227" bestFit="1" customWidth="1"/>
    <col min="10236" max="10236" width="19.140625" style="227" customWidth="1"/>
    <col min="10237" max="10237" width="21.85546875" style="227" bestFit="1" customWidth="1"/>
    <col min="10238" max="10238" width="38.5703125" style="227" bestFit="1" customWidth="1"/>
    <col min="10239" max="10239" width="13.28515625" style="227" customWidth="1"/>
    <col min="10240" max="10240" width="20.5703125" style="227" customWidth="1"/>
    <col min="10241" max="10241" width="13.7109375" style="227" customWidth="1"/>
    <col min="10242" max="10242" width="13.5703125" style="227" customWidth="1"/>
    <col min="10243" max="10490" width="9.140625" style="227"/>
    <col min="10491" max="10491" width="54.28515625" style="227" bestFit="1" customWidth="1"/>
    <col min="10492" max="10492" width="19.140625" style="227" customWidth="1"/>
    <col min="10493" max="10493" width="21.85546875" style="227" bestFit="1" customWidth="1"/>
    <col min="10494" max="10494" width="38.5703125" style="227" bestFit="1" customWidth="1"/>
    <col min="10495" max="10495" width="13.28515625" style="227" customWidth="1"/>
    <col min="10496" max="10496" width="20.5703125" style="227" customWidth="1"/>
    <col min="10497" max="10497" width="13.7109375" style="227" customWidth="1"/>
    <col min="10498" max="10498" width="13.5703125" style="227" customWidth="1"/>
    <col min="10499" max="10746" width="9.140625" style="227"/>
    <col min="10747" max="10747" width="54.28515625" style="227" bestFit="1" customWidth="1"/>
    <col min="10748" max="10748" width="19.140625" style="227" customWidth="1"/>
    <col min="10749" max="10749" width="21.85546875" style="227" bestFit="1" customWidth="1"/>
    <col min="10750" max="10750" width="38.5703125" style="227" bestFit="1" customWidth="1"/>
    <col min="10751" max="10751" width="13.28515625" style="227" customWidth="1"/>
    <col min="10752" max="10752" width="20.5703125" style="227" customWidth="1"/>
    <col min="10753" max="10753" width="13.7109375" style="227" customWidth="1"/>
    <col min="10754" max="10754" width="13.5703125" style="227" customWidth="1"/>
    <col min="10755" max="11002" width="9.140625" style="227"/>
    <col min="11003" max="11003" width="54.28515625" style="227" bestFit="1" customWidth="1"/>
    <col min="11004" max="11004" width="19.140625" style="227" customWidth="1"/>
    <col min="11005" max="11005" width="21.85546875" style="227" bestFit="1" customWidth="1"/>
    <col min="11006" max="11006" width="38.5703125" style="227" bestFit="1" customWidth="1"/>
    <col min="11007" max="11007" width="13.28515625" style="227" customWidth="1"/>
    <col min="11008" max="11008" width="20.5703125" style="227" customWidth="1"/>
    <col min="11009" max="11009" width="13.7109375" style="227" customWidth="1"/>
    <col min="11010" max="11010" width="13.5703125" style="227" customWidth="1"/>
    <col min="11011" max="11258" width="9.140625" style="227"/>
    <col min="11259" max="11259" width="54.28515625" style="227" bestFit="1" customWidth="1"/>
    <col min="11260" max="11260" width="19.140625" style="227" customWidth="1"/>
    <col min="11261" max="11261" width="21.85546875" style="227" bestFit="1" customWidth="1"/>
    <col min="11262" max="11262" width="38.5703125" style="227" bestFit="1" customWidth="1"/>
    <col min="11263" max="11263" width="13.28515625" style="227" customWidth="1"/>
    <col min="11264" max="11264" width="20.5703125" style="227" customWidth="1"/>
    <col min="11265" max="11265" width="13.7109375" style="227" customWidth="1"/>
    <col min="11266" max="11266" width="13.5703125" style="227" customWidth="1"/>
    <col min="11267" max="11514" width="9.140625" style="227"/>
    <col min="11515" max="11515" width="54.28515625" style="227" bestFit="1" customWidth="1"/>
    <col min="11516" max="11516" width="19.140625" style="227" customWidth="1"/>
    <col min="11517" max="11517" width="21.85546875" style="227" bestFit="1" customWidth="1"/>
    <col min="11518" max="11518" width="38.5703125" style="227" bestFit="1" customWidth="1"/>
    <col min="11519" max="11519" width="13.28515625" style="227" customWidth="1"/>
    <col min="11520" max="11520" width="20.5703125" style="227" customWidth="1"/>
    <col min="11521" max="11521" width="13.7109375" style="227" customWidth="1"/>
    <col min="11522" max="11522" width="13.5703125" style="227" customWidth="1"/>
    <col min="11523" max="11770" width="9.140625" style="227"/>
    <col min="11771" max="11771" width="54.28515625" style="227" bestFit="1" customWidth="1"/>
    <col min="11772" max="11772" width="19.140625" style="227" customWidth="1"/>
    <col min="11773" max="11773" width="21.85546875" style="227" bestFit="1" customWidth="1"/>
    <col min="11774" max="11774" width="38.5703125" style="227" bestFit="1" customWidth="1"/>
    <col min="11775" max="11775" width="13.28515625" style="227" customWidth="1"/>
    <col min="11776" max="11776" width="20.5703125" style="227" customWidth="1"/>
    <col min="11777" max="11777" width="13.7109375" style="227" customWidth="1"/>
    <col min="11778" max="11778" width="13.5703125" style="227" customWidth="1"/>
    <col min="11779" max="12026" width="9.140625" style="227"/>
    <col min="12027" max="12027" width="54.28515625" style="227" bestFit="1" customWidth="1"/>
    <col min="12028" max="12028" width="19.140625" style="227" customWidth="1"/>
    <col min="12029" max="12029" width="21.85546875" style="227" bestFit="1" customWidth="1"/>
    <col min="12030" max="12030" width="38.5703125" style="227" bestFit="1" customWidth="1"/>
    <col min="12031" max="12031" width="13.28515625" style="227" customWidth="1"/>
    <col min="12032" max="12032" width="20.5703125" style="227" customWidth="1"/>
    <col min="12033" max="12033" width="13.7109375" style="227" customWidth="1"/>
    <col min="12034" max="12034" width="13.5703125" style="227" customWidth="1"/>
    <col min="12035" max="12282" width="9.140625" style="227"/>
    <col min="12283" max="12283" width="54.28515625" style="227" bestFit="1" customWidth="1"/>
    <col min="12284" max="12284" width="19.140625" style="227" customWidth="1"/>
    <col min="12285" max="12285" width="21.85546875" style="227" bestFit="1" customWidth="1"/>
    <col min="12286" max="12286" width="38.5703125" style="227" bestFit="1" customWidth="1"/>
    <col min="12287" max="12287" width="13.28515625" style="227" customWidth="1"/>
    <col min="12288" max="12288" width="20.5703125" style="227" customWidth="1"/>
    <col min="12289" max="12289" width="13.7109375" style="227" customWidth="1"/>
    <col min="12290" max="12290" width="13.5703125" style="227" customWidth="1"/>
    <col min="12291" max="12538" width="9.140625" style="227"/>
    <col min="12539" max="12539" width="54.28515625" style="227" bestFit="1" customWidth="1"/>
    <col min="12540" max="12540" width="19.140625" style="227" customWidth="1"/>
    <col min="12541" max="12541" width="21.85546875" style="227" bestFit="1" customWidth="1"/>
    <col min="12542" max="12542" width="38.5703125" style="227" bestFit="1" customWidth="1"/>
    <col min="12543" max="12543" width="13.28515625" style="227" customWidth="1"/>
    <col min="12544" max="12544" width="20.5703125" style="227" customWidth="1"/>
    <col min="12545" max="12545" width="13.7109375" style="227" customWidth="1"/>
    <col min="12546" max="12546" width="13.5703125" style="227" customWidth="1"/>
    <col min="12547" max="12794" width="9.140625" style="227"/>
    <col min="12795" max="12795" width="54.28515625" style="227" bestFit="1" customWidth="1"/>
    <col min="12796" max="12796" width="19.140625" style="227" customWidth="1"/>
    <col min="12797" max="12797" width="21.85546875" style="227" bestFit="1" customWidth="1"/>
    <col min="12798" max="12798" width="38.5703125" style="227" bestFit="1" customWidth="1"/>
    <col min="12799" max="12799" width="13.28515625" style="227" customWidth="1"/>
    <col min="12800" max="12800" width="20.5703125" style="227" customWidth="1"/>
    <col min="12801" max="12801" width="13.7109375" style="227" customWidth="1"/>
    <col min="12802" max="12802" width="13.5703125" style="227" customWidth="1"/>
    <col min="12803" max="13050" width="9.140625" style="227"/>
    <col min="13051" max="13051" width="54.28515625" style="227" bestFit="1" customWidth="1"/>
    <col min="13052" max="13052" width="19.140625" style="227" customWidth="1"/>
    <col min="13053" max="13053" width="21.85546875" style="227" bestFit="1" customWidth="1"/>
    <col min="13054" max="13054" width="38.5703125" style="227" bestFit="1" customWidth="1"/>
    <col min="13055" max="13055" width="13.28515625" style="227" customWidth="1"/>
    <col min="13056" max="13056" width="20.5703125" style="227" customWidth="1"/>
    <col min="13057" max="13057" width="13.7109375" style="227" customWidth="1"/>
    <col min="13058" max="13058" width="13.5703125" style="227" customWidth="1"/>
    <col min="13059" max="13306" width="9.140625" style="227"/>
    <col min="13307" max="13307" width="54.28515625" style="227" bestFit="1" customWidth="1"/>
    <col min="13308" max="13308" width="19.140625" style="227" customWidth="1"/>
    <col min="13309" max="13309" width="21.85546875" style="227" bestFit="1" customWidth="1"/>
    <col min="13310" max="13310" width="38.5703125" style="227" bestFit="1" customWidth="1"/>
    <col min="13311" max="13311" width="13.28515625" style="227" customWidth="1"/>
    <col min="13312" max="13312" width="20.5703125" style="227" customWidth="1"/>
    <col min="13313" max="13313" width="13.7109375" style="227" customWidth="1"/>
    <col min="13314" max="13314" width="13.5703125" style="227" customWidth="1"/>
    <col min="13315" max="13562" width="9.140625" style="227"/>
    <col min="13563" max="13563" width="54.28515625" style="227" bestFit="1" customWidth="1"/>
    <col min="13564" max="13564" width="19.140625" style="227" customWidth="1"/>
    <col min="13565" max="13565" width="21.85546875" style="227" bestFit="1" customWidth="1"/>
    <col min="13566" max="13566" width="38.5703125" style="227" bestFit="1" customWidth="1"/>
    <col min="13567" max="13567" width="13.28515625" style="227" customWidth="1"/>
    <col min="13568" max="13568" width="20.5703125" style="227" customWidth="1"/>
    <col min="13569" max="13569" width="13.7109375" style="227" customWidth="1"/>
    <col min="13570" max="13570" width="13.5703125" style="227" customWidth="1"/>
    <col min="13571" max="13818" width="9.140625" style="227"/>
    <col min="13819" max="13819" width="54.28515625" style="227" bestFit="1" customWidth="1"/>
    <col min="13820" max="13820" width="19.140625" style="227" customWidth="1"/>
    <col min="13821" max="13821" width="21.85546875" style="227" bestFit="1" customWidth="1"/>
    <col min="13822" max="13822" width="38.5703125" style="227" bestFit="1" customWidth="1"/>
    <col min="13823" max="13823" width="13.28515625" style="227" customWidth="1"/>
    <col min="13824" max="13824" width="20.5703125" style="227" customWidth="1"/>
    <col min="13825" max="13825" width="13.7109375" style="227" customWidth="1"/>
    <col min="13826" max="13826" width="13.5703125" style="227" customWidth="1"/>
    <col min="13827" max="14074" width="9.140625" style="227"/>
    <col min="14075" max="14075" width="54.28515625" style="227" bestFit="1" customWidth="1"/>
    <col min="14076" max="14076" width="19.140625" style="227" customWidth="1"/>
    <col min="14077" max="14077" width="21.85546875" style="227" bestFit="1" customWidth="1"/>
    <col min="14078" max="14078" width="38.5703125" style="227" bestFit="1" customWidth="1"/>
    <col min="14079" max="14079" width="13.28515625" style="227" customWidth="1"/>
    <col min="14080" max="14080" width="20.5703125" style="227" customWidth="1"/>
    <col min="14081" max="14081" width="13.7109375" style="227" customWidth="1"/>
    <col min="14082" max="14082" width="13.5703125" style="227" customWidth="1"/>
    <col min="14083" max="14330" width="9.140625" style="227"/>
    <col min="14331" max="14331" width="54.28515625" style="227" bestFit="1" customWidth="1"/>
    <col min="14332" max="14332" width="19.140625" style="227" customWidth="1"/>
    <col min="14333" max="14333" width="21.85546875" style="227" bestFit="1" customWidth="1"/>
    <col min="14334" max="14334" width="38.5703125" style="227" bestFit="1" customWidth="1"/>
    <col min="14335" max="14335" width="13.28515625" style="227" customWidth="1"/>
    <col min="14336" max="14336" width="20.5703125" style="227" customWidth="1"/>
    <col min="14337" max="14337" width="13.7109375" style="227" customWidth="1"/>
    <col min="14338" max="14338" width="13.5703125" style="227" customWidth="1"/>
    <col min="14339" max="14586" width="9.140625" style="227"/>
    <col min="14587" max="14587" width="54.28515625" style="227" bestFit="1" customWidth="1"/>
    <col min="14588" max="14588" width="19.140625" style="227" customWidth="1"/>
    <col min="14589" max="14589" width="21.85546875" style="227" bestFit="1" customWidth="1"/>
    <col min="14590" max="14590" width="38.5703125" style="227" bestFit="1" customWidth="1"/>
    <col min="14591" max="14591" width="13.28515625" style="227" customWidth="1"/>
    <col min="14592" max="14592" width="20.5703125" style="227" customWidth="1"/>
    <col min="14593" max="14593" width="13.7109375" style="227" customWidth="1"/>
    <col min="14594" max="14594" width="13.5703125" style="227" customWidth="1"/>
    <col min="14595" max="14842" width="9.140625" style="227"/>
    <col min="14843" max="14843" width="54.28515625" style="227" bestFit="1" customWidth="1"/>
    <col min="14844" max="14844" width="19.140625" style="227" customWidth="1"/>
    <col min="14845" max="14845" width="21.85546875" style="227" bestFit="1" customWidth="1"/>
    <col min="14846" max="14846" width="38.5703125" style="227" bestFit="1" customWidth="1"/>
    <col min="14847" max="14847" width="13.28515625" style="227" customWidth="1"/>
    <col min="14848" max="14848" width="20.5703125" style="227" customWidth="1"/>
    <col min="14849" max="14849" width="13.7109375" style="227" customWidth="1"/>
    <col min="14850" max="14850" width="13.5703125" style="227" customWidth="1"/>
    <col min="14851" max="15098" width="9.140625" style="227"/>
    <col min="15099" max="15099" width="54.28515625" style="227" bestFit="1" customWidth="1"/>
    <col min="15100" max="15100" width="19.140625" style="227" customWidth="1"/>
    <col min="15101" max="15101" width="21.85546875" style="227" bestFit="1" customWidth="1"/>
    <col min="15102" max="15102" width="38.5703125" style="227" bestFit="1" customWidth="1"/>
    <col min="15103" max="15103" width="13.28515625" style="227" customWidth="1"/>
    <col min="15104" max="15104" width="20.5703125" style="227" customWidth="1"/>
    <col min="15105" max="15105" width="13.7109375" style="227" customWidth="1"/>
    <col min="15106" max="15106" width="13.5703125" style="227" customWidth="1"/>
    <col min="15107" max="15354" width="9.140625" style="227"/>
    <col min="15355" max="15355" width="54.28515625" style="227" bestFit="1" customWidth="1"/>
    <col min="15356" max="15356" width="19.140625" style="227" customWidth="1"/>
    <col min="15357" max="15357" width="21.85546875" style="227" bestFit="1" customWidth="1"/>
    <col min="15358" max="15358" width="38.5703125" style="227" bestFit="1" customWidth="1"/>
    <col min="15359" max="15359" width="13.28515625" style="227" customWidth="1"/>
    <col min="15360" max="15360" width="20.5703125" style="227" customWidth="1"/>
    <col min="15361" max="15361" width="13.7109375" style="227" customWidth="1"/>
    <col min="15362" max="15362" width="13.5703125" style="227" customWidth="1"/>
    <col min="15363" max="15610" width="9.140625" style="227"/>
    <col min="15611" max="15611" width="54.28515625" style="227" bestFit="1" customWidth="1"/>
    <col min="15612" max="15612" width="19.140625" style="227" customWidth="1"/>
    <col min="15613" max="15613" width="21.85546875" style="227" bestFit="1" customWidth="1"/>
    <col min="15614" max="15614" width="38.5703125" style="227" bestFit="1" customWidth="1"/>
    <col min="15615" max="15615" width="13.28515625" style="227" customWidth="1"/>
    <col min="15616" max="15616" width="20.5703125" style="227" customWidth="1"/>
    <col min="15617" max="15617" width="13.7109375" style="227" customWidth="1"/>
    <col min="15618" max="15618" width="13.5703125" style="227" customWidth="1"/>
    <col min="15619" max="15866" width="9.140625" style="227"/>
    <col min="15867" max="15867" width="54.28515625" style="227" bestFit="1" customWidth="1"/>
    <col min="15868" max="15868" width="19.140625" style="227" customWidth="1"/>
    <col min="15869" max="15869" width="21.85546875" style="227" bestFit="1" customWidth="1"/>
    <col min="15870" max="15870" width="38.5703125" style="227" bestFit="1" customWidth="1"/>
    <col min="15871" max="15871" width="13.28515625" style="227" customWidth="1"/>
    <col min="15872" max="15872" width="20.5703125" style="227" customWidth="1"/>
    <col min="15873" max="15873" width="13.7109375" style="227" customWidth="1"/>
    <col min="15874" max="15874" width="13.5703125" style="227" customWidth="1"/>
    <col min="15875" max="16122" width="9.140625" style="227"/>
    <col min="16123" max="16123" width="54.28515625" style="227" bestFit="1" customWidth="1"/>
    <col min="16124" max="16124" width="19.140625" style="227" customWidth="1"/>
    <col min="16125" max="16125" width="21.85546875" style="227" bestFit="1" customWidth="1"/>
    <col min="16126" max="16126" width="38.5703125" style="227" bestFit="1" customWidth="1"/>
    <col min="16127" max="16127" width="13.28515625" style="227" customWidth="1"/>
    <col min="16128" max="16128" width="20.5703125" style="227" customWidth="1"/>
    <col min="16129" max="16129" width="13.7109375" style="227" customWidth="1"/>
    <col min="16130" max="16130" width="13.5703125" style="227" customWidth="1"/>
    <col min="16131" max="16384" width="9.140625" style="227"/>
  </cols>
  <sheetData>
    <row r="1" spans="1:6" ht="18" x14ac:dyDescent="0.25">
      <c r="A1" s="290" t="s">
        <v>3978</v>
      </c>
    </row>
    <row r="2" spans="1:6" ht="18" x14ac:dyDescent="0.25">
      <c r="A2" s="290"/>
    </row>
    <row r="3" spans="1:6" x14ac:dyDescent="0.2">
      <c r="A3" s="278" t="s">
        <v>3957</v>
      </c>
    </row>
    <row r="4" spans="1:6" ht="25.5" customHeight="1" x14ac:dyDescent="0.2">
      <c r="A4" s="261" t="s">
        <v>3886</v>
      </c>
      <c r="B4" s="261" t="s">
        <v>3573</v>
      </c>
      <c r="C4" s="261" t="s">
        <v>3956</v>
      </c>
      <c r="D4" s="261" t="s">
        <v>3945</v>
      </c>
      <c r="E4" s="261" t="s">
        <v>3944</v>
      </c>
      <c r="F4" s="260" t="s">
        <v>3955</v>
      </c>
    </row>
    <row r="5" spans="1:6" x14ac:dyDescent="0.2">
      <c r="A5" s="331" t="s">
        <v>3725</v>
      </c>
      <c r="B5" s="330" t="s">
        <v>3724</v>
      </c>
      <c r="C5" s="348">
        <f>SUMIF('Staff data'!$B:$B,$B5,'Staff data'!$O:$O)</f>
        <v>0.9904008825513253</v>
      </c>
      <c r="D5" s="270">
        <f>+$H$55</f>
        <v>63</v>
      </c>
      <c r="E5" s="275">
        <f>D5/D7</f>
        <v>8.5365853658536592E-2</v>
      </c>
      <c r="F5" s="254">
        <f>C5*E5</f>
        <v>8.4546416803161925E-2</v>
      </c>
    </row>
    <row r="6" spans="1:6" x14ac:dyDescent="0.2">
      <c r="A6" s="331" t="s">
        <v>3731</v>
      </c>
      <c r="B6" s="330" t="s">
        <v>3730</v>
      </c>
      <c r="C6" s="348">
        <f>SUMIF('Staff data'!$B:$B,$B6,'Staff data'!$O:$O)</f>
        <v>0.99202242885104264</v>
      </c>
      <c r="D6" s="276">
        <f>+$H$56</f>
        <v>675</v>
      </c>
      <c r="E6" s="275">
        <f>D6/D7</f>
        <v>0.91463414634146345</v>
      </c>
      <c r="F6" s="254">
        <f>C6*E6</f>
        <v>0.90733758736375858</v>
      </c>
    </row>
    <row r="7" spans="1:6" x14ac:dyDescent="0.2">
      <c r="A7" s="232" t="s">
        <v>3926</v>
      </c>
      <c r="B7" s="267"/>
      <c r="C7" s="254"/>
      <c r="D7" s="270">
        <f>SUM(D5:D6)</f>
        <v>738</v>
      </c>
      <c r="E7" s="284">
        <f>SUM(E5:E6)</f>
        <v>1</v>
      </c>
      <c r="F7" s="271">
        <f>SUM(F5:F6)</f>
        <v>0.99188400416692046</v>
      </c>
    </row>
    <row r="8" spans="1:6" x14ac:dyDescent="0.2">
      <c r="A8" s="282"/>
      <c r="B8" s="283"/>
      <c r="C8" s="287"/>
      <c r="D8" s="282"/>
      <c r="E8" s="282"/>
      <c r="F8" s="281"/>
    </row>
    <row r="9" spans="1:6" x14ac:dyDescent="0.2">
      <c r="B9" s="262"/>
      <c r="C9" s="245"/>
      <c r="F9" s="245"/>
    </row>
    <row r="10" spans="1:6" x14ac:dyDescent="0.2">
      <c r="A10" s="278" t="s">
        <v>3954</v>
      </c>
      <c r="B10" s="262"/>
      <c r="C10" s="245"/>
      <c r="F10" s="245"/>
    </row>
    <row r="11" spans="1:6" ht="25.5" customHeight="1" x14ac:dyDescent="0.2">
      <c r="A11" s="261" t="s">
        <v>3886</v>
      </c>
      <c r="B11" s="261" t="s">
        <v>3573</v>
      </c>
      <c r="C11" s="286" t="s">
        <v>3953</v>
      </c>
      <c r="D11" s="261" t="s">
        <v>3945</v>
      </c>
      <c r="E11" s="261" t="s">
        <v>3944</v>
      </c>
      <c r="F11" s="288" t="s">
        <v>3952</v>
      </c>
    </row>
    <row r="12" spans="1:6" x14ac:dyDescent="0.2">
      <c r="A12" s="331" t="str">
        <f>+$A$5</f>
        <v>ROYAL NATIONAL HOSPITAL FOR RHEUMATIC DISEASES NHS FOUNDATION TRUST</v>
      </c>
      <c r="B12" s="330" t="str">
        <f>+$B$5</f>
        <v>RBB</v>
      </c>
      <c r="C12" s="348">
        <f>SUMIF('Buildings data'!$B$2:$B$755,$B12,'Buildings data'!$L$2:$L$755)</f>
        <v>1.0150114230682019</v>
      </c>
      <c r="D12" s="270">
        <f>+$H$55</f>
        <v>63</v>
      </c>
      <c r="E12" s="325">
        <f>D12/$D$14</f>
        <v>8.5365853658536592E-2</v>
      </c>
      <c r="F12" s="254">
        <f>C12*E12</f>
        <v>8.6647316603383095E-2</v>
      </c>
    </row>
    <row r="13" spans="1:6" x14ac:dyDescent="0.2">
      <c r="A13" s="331" t="str">
        <f>+$A$6</f>
        <v>ROYAL UNITED HOSPITAL BATH NHS TRUST</v>
      </c>
      <c r="B13" s="330" t="str">
        <f>+$B$6</f>
        <v>RD1</v>
      </c>
      <c r="C13" s="348">
        <f>SUMIF('Buildings data'!$B$2:$B$755,$B13,'Buildings data'!$L$2:$L$755)</f>
        <v>1.0150114230682019</v>
      </c>
      <c r="D13" s="276">
        <f>+$H$56</f>
        <v>675</v>
      </c>
      <c r="E13" s="325">
        <f>D13/$D$14</f>
        <v>0.91463414634146345</v>
      </c>
      <c r="F13" s="254">
        <f>C13*E13</f>
        <v>0.92836410646481882</v>
      </c>
    </row>
    <row r="14" spans="1:6" x14ac:dyDescent="0.2">
      <c r="A14" s="232" t="s">
        <v>3926</v>
      </c>
      <c r="B14" s="267"/>
      <c r="C14" s="254"/>
      <c r="D14" s="270">
        <f>SUM(D12:D13)</f>
        <v>738</v>
      </c>
      <c r="E14" s="284">
        <f>SUM(E12:E13)</f>
        <v>1</v>
      </c>
      <c r="F14" s="271">
        <f>SUM(F12:F13)</f>
        <v>1.0150114230682019</v>
      </c>
    </row>
    <row r="15" spans="1:6" x14ac:dyDescent="0.2">
      <c r="A15" s="282"/>
      <c r="B15" s="283"/>
      <c r="C15" s="287"/>
      <c r="D15" s="282"/>
      <c r="E15" s="282"/>
      <c r="F15" s="281"/>
    </row>
    <row r="16" spans="1:6" x14ac:dyDescent="0.2">
      <c r="B16" s="262"/>
      <c r="C16" s="245"/>
    </row>
    <row r="17" spans="1:9" x14ac:dyDescent="0.2">
      <c r="A17" s="278" t="s">
        <v>2735</v>
      </c>
      <c r="B17" s="262"/>
      <c r="C17" s="245"/>
    </row>
    <row r="18" spans="1:9" ht="25.5" x14ac:dyDescent="0.2">
      <c r="A18" s="261" t="s">
        <v>3886</v>
      </c>
      <c r="B18" s="261" t="s">
        <v>3573</v>
      </c>
      <c r="C18" s="286" t="s">
        <v>3951</v>
      </c>
      <c r="D18" s="261" t="s">
        <v>3945</v>
      </c>
      <c r="E18" s="261" t="s">
        <v>3944</v>
      </c>
      <c r="F18" s="260" t="s">
        <v>3950</v>
      </c>
    </row>
    <row r="19" spans="1:9" x14ac:dyDescent="0.2">
      <c r="A19" s="331" t="str">
        <f>+$A$5</f>
        <v>ROYAL NATIONAL HOSPITAL FOR RHEUMATIC DISEASES NHS FOUNDATION TRUST</v>
      </c>
      <c r="B19" s="330" t="str">
        <f>+$B$5</f>
        <v>RBB</v>
      </c>
      <c r="C19" s="347">
        <f>VLOOKUP($B19,'M&amp;D data'!$C$13:$G$234,5,FALSE)</f>
        <v>0.99619990923086066</v>
      </c>
      <c r="D19" s="270">
        <f>+$H$55</f>
        <v>63</v>
      </c>
      <c r="E19" s="325">
        <f>D19/$D$14</f>
        <v>8.5365853658536592E-2</v>
      </c>
      <c r="F19" s="346">
        <f>+E19*C19</f>
        <v>8.5041455666049093E-2</v>
      </c>
    </row>
    <row r="20" spans="1:9" x14ac:dyDescent="0.2">
      <c r="A20" s="331" t="str">
        <f>+$A$6</f>
        <v>ROYAL UNITED HOSPITAL BATH NHS TRUST</v>
      </c>
      <c r="B20" s="330" t="str">
        <f>+$B$6</f>
        <v>RD1</v>
      </c>
      <c r="C20" s="347">
        <f>VLOOKUP($B20,'M&amp;D data'!$C$13:$G$234,5,FALSE)</f>
        <v>0.99619990923086066</v>
      </c>
      <c r="D20" s="276">
        <f>+$H$56</f>
        <v>675</v>
      </c>
      <c r="E20" s="325">
        <f>D20/$D$14</f>
        <v>0.91463414634146345</v>
      </c>
      <c r="F20" s="346">
        <f>+E20*C20</f>
        <v>0.91115845356481162</v>
      </c>
    </row>
    <row r="21" spans="1:9" x14ac:dyDescent="0.2">
      <c r="A21" s="232" t="s">
        <v>3926</v>
      </c>
      <c r="B21" s="267"/>
      <c r="C21" s="346"/>
      <c r="D21" s="270">
        <f>SUM(D19:D20)</f>
        <v>738</v>
      </c>
      <c r="E21" s="284">
        <f>SUM(E19:E20)</f>
        <v>1</v>
      </c>
      <c r="F21" s="345">
        <f>SUM(F19:F20)</f>
        <v>0.99619990923086066</v>
      </c>
    </row>
    <row r="22" spans="1:9" x14ac:dyDescent="0.2">
      <c r="A22" s="282"/>
      <c r="B22" s="283"/>
      <c r="C22" s="282"/>
      <c r="D22" s="281"/>
      <c r="E22" s="280" t="s">
        <v>3931</v>
      </c>
      <c r="F22" s="329">
        <f>SUMPRODUCT(E19:E20,C19:C20)-F21</f>
        <v>0</v>
      </c>
    </row>
    <row r="23" spans="1:9" x14ac:dyDescent="0.2">
      <c r="B23" s="262"/>
    </row>
    <row r="24" spans="1:9" x14ac:dyDescent="0.2">
      <c r="A24" s="278" t="s">
        <v>2733</v>
      </c>
      <c r="B24" s="262"/>
      <c r="C24" s="226"/>
      <c r="D24" s="226"/>
    </row>
    <row r="25" spans="1:9" ht="38.25" x14ac:dyDescent="0.2">
      <c r="A25" s="244" t="s">
        <v>3886</v>
      </c>
      <c r="B25" s="244" t="s">
        <v>3573</v>
      </c>
      <c r="C25" s="244" t="s">
        <v>3949</v>
      </c>
      <c r="D25" s="260" t="s">
        <v>3948</v>
      </c>
      <c r="E25" s="260" t="s">
        <v>3947</v>
      </c>
      <c r="F25" s="244" t="s">
        <v>3946</v>
      </c>
      <c r="G25" s="244" t="s">
        <v>3945</v>
      </c>
      <c r="H25" s="277" t="s">
        <v>3944</v>
      </c>
      <c r="I25" s="244" t="s">
        <v>3943</v>
      </c>
    </row>
    <row r="26" spans="1:9" x14ac:dyDescent="0.2">
      <c r="A26" s="341" t="str">
        <f>+$A$5</f>
        <v>ROYAL NATIONAL HOSPITAL FOR RHEUMATIC DISEASES NHS FOUNDATION TRUST</v>
      </c>
      <c r="B26" s="340" t="str">
        <f>+$B$5</f>
        <v>RBB</v>
      </c>
      <c r="C26" s="328">
        <f>VLOOKUP($B26,'Land data'!$B$2:$D$234,3,FALSE)</f>
        <v>0.31</v>
      </c>
      <c r="D26" s="322">
        <f>VLOOKUP($B26,'Land data'!$B$2:$E$234,4,FALSE)</f>
        <v>2292</v>
      </c>
      <c r="E26" s="270">
        <f>D26/C26</f>
        <v>7393.5483870967746</v>
      </c>
      <c r="F26" s="232"/>
      <c r="G26" s="270">
        <f>+$H$55</f>
        <v>63</v>
      </c>
      <c r="H26" s="323">
        <f>G26/$D$14</f>
        <v>8.5365853658536592E-2</v>
      </c>
      <c r="I26" s="274">
        <f>E26/E29</f>
        <v>6.5179210228687605</v>
      </c>
    </row>
    <row r="27" spans="1:9" x14ac:dyDescent="0.2">
      <c r="A27" s="341" t="str">
        <f>+$A$6</f>
        <v>ROYAL UNITED HOSPITAL BATH NHS TRUST</v>
      </c>
      <c r="B27" s="340" t="str">
        <f>+$B$6</f>
        <v>RD1</v>
      </c>
      <c r="C27" s="328">
        <f>VLOOKUP($B27,'Land data'!$B$2:$D$234,3,FALSE)</f>
        <v>19.5</v>
      </c>
      <c r="D27" s="270">
        <f>VLOOKUP($B27,'Land data'!$B$2:$E$234,4,FALSE)</f>
        <v>48673</v>
      </c>
      <c r="E27" s="270">
        <f>D27/C27</f>
        <v>2496.0512820512822</v>
      </c>
      <c r="F27" s="232"/>
      <c r="G27" s="276">
        <f>+$H$56</f>
        <v>675</v>
      </c>
      <c r="H27" s="323">
        <f>G27/$D$14</f>
        <v>0.91463414634146345</v>
      </c>
      <c r="I27" s="274">
        <f>E27/E29</f>
        <v>2.2004407455875121</v>
      </c>
    </row>
    <row r="28" spans="1:9" x14ac:dyDescent="0.2">
      <c r="A28" s="235" t="s">
        <v>3926</v>
      </c>
      <c r="B28" s="234"/>
      <c r="C28" s="266">
        <f>SUM(C26:C27)</f>
        <v>19.809999999999999</v>
      </c>
      <c r="D28" s="270">
        <f>SUM(D26:D27)</f>
        <v>50965</v>
      </c>
      <c r="E28" s="270">
        <f>D28/C28</f>
        <v>2572.6905603230693</v>
      </c>
      <c r="F28" s="271">
        <f>+E28/E29</f>
        <v>2.268003536398072</v>
      </c>
      <c r="G28" s="322">
        <f>SUM(G26:G27)</f>
        <v>738</v>
      </c>
      <c r="H28" s="269">
        <f>SUM(H26:H27)</f>
        <v>1</v>
      </c>
      <c r="I28" s="268">
        <f>SUMPRODUCT(H26:H27,I26:I27)</f>
        <v>2.569006135111521</v>
      </c>
    </row>
    <row r="29" spans="1:9" x14ac:dyDescent="0.2">
      <c r="A29" s="233" t="s">
        <v>3942</v>
      </c>
      <c r="B29" s="240"/>
      <c r="C29" s="373">
        <f>SUM('PCT data'!$M$3:$M$154)+SUM('Land data'!$D$2:$D$234)</f>
        <v>7611.3175000000019</v>
      </c>
      <c r="D29" s="322">
        <f>SUM('PCT data'!$N$3:$N$154)+SUM('Land data'!$E$2:$E$234)</f>
        <v>8633833.4000000004</v>
      </c>
      <c r="E29" s="322">
        <f>D29/C29</f>
        <v>1134.3415118341861</v>
      </c>
      <c r="F29" s="232"/>
      <c r="G29" s="233"/>
      <c r="H29" s="233"/>
      <c r="I29" s="233"/>
    </row>
    <row r="30" spans="1:9" x14ac:dyDescent="0.2">
      <c r="A30" s="228" t="s">
        <v>3941</v>
      </c>
      <c r="F30" s="264"/>
      <c r="G30" s="263"/>
    </row>
    <row r="31" spans="1:9" x14ac:dyDescent="0.2">
      <c r="A31" s="228" t="s">
        <v>3940</v>
      </c>
    </row>
    <row r="32" spans="1:9" x14ac:dyDescent="0.2">
      <c r="A32" s="228"/>
    </row>
    <row r="33" spans="1:8" x14ac:dyDescent="0.2">
      <c r="A33" s="229" t="s">
        <v>3933</v>
      </c>
    </row>
    <row r="34" spans="1:8" ht="38.25" x14ac:dyDescent="0.2">
      <c r="A34" s="261" t="s">
        <v>3939</v>
      </c>
      <c r="B34" s="260" t="s">
        <v>3938</v>
      </c>
      <c r="C34" s="260" t="s">
        <v>3937</v>
      </c>
      <c r="D34" s="260" t="s">
        <v>3936</v>
      </c>
      <c r="E34" s="260" t="s">
        <v>3927</v>
      </c>
    </row>
    <row r="35" spans="1:8" x14ac:dyDescent="0.2">
      <c r="A35" s="259" t="s">
        <v>2734</v>
      </c>
      <c r="B35" s="258">
        <f>F7</f>
        <v>0.99188400416692046</v>
      </c>
      <c r="C35" s="255">
        <f>Staff_Weight</f>
        <v>0.54914759484508857</v>
      </c>
      <c r="D35" s="254">
        <f>B35*C35</f>
        <v>0.54469071525358015</v>
      </c>
      <c r="E35" s="232"/>
    </row>
    <row r="36" spans="1:8" x14ac:dyDescent="0.2">
      <c r="A36" s="257" t="s">
        <v>3935</v>
      </c>
      <c r="B36" s="256">
        <f>F14</f>
        <v>1.0150114230682019</v>
      </c>
      <c r="C36" s="255">
        <f>Building_Weight</f>
        <v>2.6635675286214532E-2</v>
      </c>
      <c r="D36" s="254">
        <f>B36*C36</f>
        <v>2.7035514676643148E-2</v>
      </c>
      <c r="E36" s="232"/>
    </row>
    <row r="37" spans="1:8" x14ac:dyDescent="0.2">
      <c r="A37" s="257" t="s">
        <v>2735</v>
      </c>
      <c r="B37" s="256">
        <f>F21</f>
        <v>0.99619990923086066</v>
      </c>
      <c r="C37" s="255">
        <f>MnD_Weight</f>
        <v>0.13904710383678176</v>
      </c>
      <c r="D37" s="254">
        <f>B37*C37</f>
        <v>0.13851871222101605</v>
      </c>
      <c r="E37" s="232"/>
    </row>
    <row r="38" spans="1:8" x14ac:dyDescent="0.2">
      <c r="A38" s="232" t="s">
        <v>3969</v>
      </c>
      <c r="B38" s="256">
        <f>F28</f>
        <v>2.268003536398072</v>
      </c>
      <c r="C38" s="255">
        <f>Land_Weight</f>
        <v>4.4820020140147153E-3</v>
      </c>
      <c r="D38" s="254">
        <f>B38*C38</f>
        <v>1.0165196417928655E-2</v>
      </c>
      <c r="E38" s="232"/>
    </row>
    <row r="39" spans="1:8" ht="13.5" thickBot="1" x14ac:dyDescent="0.25">
      <c r="A39" s="252" t="s">
        <v>632</v>
      </c>
      <c r="B39" s="253">
        <v>1</v>
      </c>
      <c r="C39" s="321">
        <f>Other_Weight</f>
        <v>0.28068762401790043</v>
      </c>
      <c r="D39" s="253">
        <f>B39*C39</f>
        <v>0.28068762401790043</v>
      </c>
      <c r="E39" s="252"/>
    </row>
    <row r="40" spans="1:8" ht="16.5" thickBot="1" x14ac:dyDescent="0.3">
      <c r="A40" s="251" t="s">
        <v>3933</v>
      </c>
      <c r="B40" s="250"/>
      <c r="C40" s="249">
        <f>SUM(C35:C39)</f>
        <v>1</v>
      </c>
      <c r="D40" s="248">
        <f>SUMPRODUCT(B35:B39,C35:C39)</f>
        <v>1.0010977625870685</v>
      </c>
      <c r="E40" s="247">
        <f ca="1">D40/B42</f>
        <v>1.0807203664060818</v>
      </c>
    </row>
    <row r="42" spans="1:8" x14ac:dyDescent="0.2">
      <c r="A42" s="246" t="s">
        <v>3932</v>
      </c>
      <c r="B42" s="227">
        <f ca="1">Lowest_Underlying_MFF</f>
        <v>0.92632450882387185</v>
      </c>
    </row>
    <row r="43" spans="1:8" x14ac:dyDescent="0.2">
      <c r="A43" s="229"/>
    </row>
    <row r="44" spans="1:8" x14ac:dyDescent="0.2">
      <c r="A44" s="229" t="s">
        <v>3931</v>
      </c>
    </row>
    <row r="45" spans="1:8" ht="51" x14ac:dyDescent="0.2">
      <c r="A45" s="244" t="s">
        <v>3886</v>
      </c>
      <c r="B45" s="244" t="s">
        <v>3573</v>
      </c>
      <c r="C45" s="244" t="s">
        <v>3930</v>
      </c>
      <c r="D45" s="244" t="s">
        <v>3968</v>
      </c>
      <c r="E45" s="244" t="s">
        <v>3928</v>
      </c>
      <c r="F45" s="244" t="s">
        <v>3927</v>
      </c>
      <c r="H45" s="243"/>
    </row>
    <row r="46" spans="1:8" x14ac:dyDescent="0.2">
      <c r="A46" s="331" t="str">
        <f>+$A$5</f>
        <v>ROYAL NATIONAL HOSPITAL FOR RHEUMATIC DISEASES NHS FOUNDATION TRUST</v>
      </c>
      <c r="B46" s="330" t="str">
        <f>+$B$5</f>
        <v>RBB</v>
      </c>
      <c r="C46" s="239">
        <f ca="1">($C$35*C5+$C$36*C12+$C$37*C19+$C$38*I26+$C$39*$B$39)/$B$42</f>
        <v>1.100404274034567</v>
      </c>
      <c r="D46" s="238">
        <f ca="1">+VLOOKUP(B46,MFF_2014_15,4,FALSE)-ROUND(C46,6)</f>
        <v>0</v>
      </c>
      <c r="E46" s="242">
        <f ca="1">INDEX('All Trusts'!$E$6:$E$261,MATCH($B46,'All Trusts'!$B$6:$B$261,0),1)-C46</f>
        <v>0</v>
      </c>
      <c r="F46" s="319"/>
    </row>
    <row r="47" spans="1:8" x14ac:dyDescent="0.2">
      <c r="A47" s="331" t="str">
        <f>+$A$6</f>
        <v>ROYAL UNITED HOSPITAL BATH NHS TRUST</v>
      </c>
      <c r="B47" s="330" t="str">
        <f>+$B$6</f>
        <v>RD1</v>
      </c>
      <c r="C47" s="239">
        <f ca="1">($C$35*C6+$C$36*C13+$C$37*C20+$C$38*I27+$C$39*$B$39)/$B$42</f>
        <v>1.0804755267413941</v>
      </c>
      <c r="D47" s="238">
        <f ca="1">+VLOOKUP(B47,MFF_2014_15,4,FALSE)-ROUND(C47,6)</f>
        <v>0</v>
      </c>
      <c r="E47" s="242">
        <f ca="1">INDEX('All Trusts'!$E$6:$E$261,MATCH($B47,'All Trusts'!$B$6:$B$261,0),1)-C47</f>
        <v>0</v>
      </c>
      <c r="F47" s="319"/>
    </row>
    <row r="48" spans="1:8" x14ac:dyDescent="0.2">
      <c r="A48" s="235" t="s">
        <v>3926</v>
      </c>
      <c r="B48" s="234"/>
      <c r="C48" s="233"/>
      <c r="D48" s="233"/>
      <c r="E48" s="232"/>
      <c r="F48" s="231">
        <f ca="1">ROUND(E40,6)</f>
        <v>1.0807199999999999</v>
      </c>
    </row>
    <row r="51" spans="1:8" x14ac:dyDescent="0.2">
      <c r="A51" s="229" t="s">
        <v>3925</v>
      </c>
    </row>
    <row r="52" spans="1:8" x14ac:dyDescent="0.2">
      <c r="A52" s="228" t="s">
        <v>3924</v>
      </c>
    </row>
    <row r="53" spans="1:8" ht="13.5" thickBot="1" x14ac:dyDescent="0.25">
      <c r="A53" s="227" t="s">
        <v>3921</v>
      </c>
      <c r="C53" s="368">
        <v>1</v>
      </c>
      <c r="D53" s="368">
        <f>C53+1</f>
        <v>2</v>
      </c>
      <c r="E53" s="368">
        <f t="shared" ref="E53:H53" si="0">D53+1</f>
        <v>3</v>
      </c>
      <c r="F53" s="368">
        <f t="shared" si="0"/>
        <v>4</v>
      </c>
      <c r="G53" s="368">
        <f t="shared" si="0"/>
        <v>5</v>
      </c>
      <c r="H53" s="368">
        <f t="shared" si="0"/>
        <v>6</v>
      </c>
    </row>
    <row r="54" spans="1:8" ht="26.25" thickBot="1" x14ac:dyDescent="0.25">
      <c r="A54" s="85" t="s">
        <v>3573</v>
      </c>
      <c r="B54" s="85" t="s">
        <v>2755</v>
      </c>
      <c r="C54" s="85" t="s">
        <v>2756</v>
      </c>
      <c r="D54" s="85" t="s">
        <v>2757</v>
      </c>
      <c r="E54" s="85" t="s">
        <v>2758</v>
      </c>
      <c r="F54" s="85" t="s">
        <v>2759</v>
      </c>
      <c r="G54" s="85" t="s">
        <v>2760</v>
      </c>
      <c r="H54" s="85" t="s">
        <v>2761</v>
      </c>
    </row>
    <row r="55" spans="1:8" ht="13.5" thickBot="1" x14ac:dyDescent="0.25">
      <c r="A55" s="67" t="s">
        <v>3724</v>
      </c>
      <c r="B55" s="67" t="s">
        <v>3725</v>
      </c>
      <c r="C55" s="67" t="s">
        <v>1801</v>
      </c>
      <c r="D55" s="67" t="str">
        <f>VLOOKUP($C55,'Buildings data'!$D:$I,D$53,FALSE)</f>
        <v>ROYAL NATIONAL HOSPITAL FOR RHEUMATIC DISEASES</v>
      </c>
      <c r="E55" s="67" t="str">
        <f>VLOOKUP($C55,'Buildings data'!$D:$I,E$53,FALSE)</f>
        <v>BA1 1RL</v>
      </c>
      <c r="F55" s="67" t="str">
        <f>VLOOKUP($C55,'Buildings data'!$D:$I,F$53,FALSE)</f>
        <v>BA11</v>
      </c>
      <c r="G55" s="67" t="str">
        <f>VLOOKUP($C55,'Buildings data'!$D:$I,G$53,FALSE)</f>
        <v>5FL</v>
      </c>
      <c r="H55" s="67">
        <f>VLOOKUP($C55,'Buildings data'!$D:$I,H$53,FALSE)</f>
        <v>63</v>
      </c>
    </row>
    <row r="56" spans="1:8" ht="13.5" thickBot="1" x14ac:dyDescent="0.25">
      <c r="A56" s="67" t="s">
        <v>3730</v>
      </c>
      <c r="B56" s="67" t="s">
        <v>3731</v>
      </c>
      <c r="C56" s="67" t="s">
        <v>1872</v>
      </c>
      <c r="D56" s="67" t="str">
        <f>VLOOKUP($C56,'Buildings data'!$D:$I,D$53,FALSE)</f>
        <v>ROYAL UNITED HOSPITAL</v>
      </c>
      <c r="E56" s="67" t="str">
        <f>VLOOKUP($C56,'Buildings data'!$D:$I,E$53,FALSE)</f>
        <v>BA1 3NG</v>
      </c>
      <c r="F56" s="67" t="str">
        <f>VLOOKUP($C56,'Buildings data'!$D:$I,F$53,FALSE)</f>
        <v>BA13</v>
      </c>
      <c r="G56" s="67" t="str">
        <f>VLOOKUP($C56,'Buildings data'!$D:$I,G$53,FALSE)</f>
        <v>5FL</v>
      </c>
      <c r="H56" s="67">
        <f>VLOOKUP($C56,'Buildings data'!$D:$I,H$53,FALSE)</f>
        <v>675</v>
      </c>
    </row>
    <row r="58" spans="1:8" x14ac:dyDescent="0.2">
      <c r="A58" s="228" t="s">
        <v>3920</v>
      </c>
    </row>
    <row r="59" spans="1:8" x14ac:dyDescent="0.2">
      <c r="A59" s="227" t="s">
        <v>3919</v>
      </c>
    </row>
  </sheetData>
  <conditionalFormatting sqref="C46:C47">
    <cfRule type="cellIs" dxfId="5" priority="1" operator="lessThan">
      <formula>$F$48</formula>
    </cfRule>
    <cfRule type="cellIs" dxfId="4" priority="2" operator="greaterThan">
      <formula>$F$48</formula>
    </cfRule>
  </conditionalFormatting>
  <pageMargins left="0.7" right="0.7" top="0.75" bottom="0.75" header="0.3" footer="0.3"/>
  <pageSetup paperSize="2058"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241"/>
  <sheetViews>
    <sheetView workbookViewId="0">
      <selection activeCell="A4" sqref="A4"/>
    </sheetView>
  </sheetViews>
  <sheetFormatPr defaultRowHeight="12.75" x14ac:dyDescent="0.2"/>
  <cols>
    <col min="1" max="1" width="9.28515625" style="205" customWidth="1"/>
    <col min="2" max="2" width="67.28515625" style="205" bestFit="1" customWidth="1"/>
    <col min="3" max="3" width="8.7109375" style="205" bestFit="1" customWidth="1"/>
    <col min="4" max="4" width="9.7109375" style="205" customWidth="1"/>
    <col min="6" max="16384" width="9.140625" style="205"/>
  </cols>
  <sheetData>
    <row r="1" spans="1:4" ht="12.75" customHeight="1" x14ac:dyDescent="0.2">
      <c r="A1" s="645" t="s">
        <v>3918</v>
      </c>
      <c r="B1" s="645"/>
      <c r="C1" s="223"/>
    </row>
    <row r="2" spans="1:4" ht="11.25" customHeight="1" thickBot="1" x14ac:dyDescent="0.25">
      <c r="A2" s="225" t="s">
        <v>3917</v>
      </c>
      <c r="B2" s="224"/>
      <c r="C2" s="223"/>
    </row>
    <row r="3" spans="1:4" ht="34.5" thickBot="1" x14ac:dyDescent="0.25">
      <c r="A3" s="222" t="s">
        <v>3368</v>
      </c>
      <c r="B3" s="221" t="s">
        <v>3369</v>
      </c>
      <c r="C3" s="221" t="s">
        <v>3370</v>
      </c>
      <c r="D3" s="220" t="s">
        <v>3916</v>
      </c>
    </row>
    <row r="4" spans="1:4" x14ac:dyDescent="0.2">
      <c r="A4" s="219" t="s">
        <v>3516</v>
      </c>
      <c r="B4" s="218" t="s">
        <v>3517</v>
      </c>
      <c r="C4" s="218" t="s">
        <v>3886</v>
      </c>
      <c r="D4" s="217">
        <f ca="1">ROUND(INDEX('All Trusts'!$S$7:$S$261,MATCH($A4,'All Trusts'!$B$7:$B$261,0),1),6)</f>
        <v>1.0363910000000001</v>
      </c>
    </row>
    <row r="5" spans="1:4" x14ac:dyDescent="0.2">
      <c r="A5" s="211" t="s">
        <v>2785</v>
      </c>
      <c r="B5" s="210" t="s">
        <v>2786</v>
      </c>
      <c r="C5" s="210" t="s">
        <v>3886</v>
      </c>
      <c r="D5" s="209">
        <f ca="1">ROUND(INDEX('All Trusts'!$S$7:$S$261,MATCH($A5,'All Trusts'!$B$7:$B$261,0),1),6)</f>
        <v>1.0921650000000001</v>
      </c>
    </row>
    <row r="6" spans="1:4" x14ac:dyDescent="0.2">
      <c r="A6" s="211" t="s">
        <v>2784</v>
      </c>
      <c r="B6" s="210" t="s">
        <v>650</v>
      </c>
      <c r="C6" s="210" t="s">
        <v>3886</v>
      </c>
      <c r="D6" s="209">
        <f ca="1">ROUND(INDEX('All Trusts'!$S$7:$S$261,MATCH($A6,'All Trusts'!$B$7:$B$261,0),1),6)</f>
        <v>1.032492</v>
      </c>
    </row>
    <row r="7" spans="1:4" x14ac:dyDescent="0.2">
      <c r="A7" s="211" t="s">
        <v>577</v>
      </c>
      <c r="B7" s="210" t="s">
        <v>3915</v>
      </c>
      <c r="C7" s="210" t="s">
        <v>3886</v>
      </c>
      <c r="D7" s="209">
        <f ca="1">ROUND(INDEX('All Trusts'!$S$7:$S$261,MATCH($A7,'All Trusts'!$B$7:$B$261,0),1),6)</f>
        <v>1.032675</v>
      </c>
    </row>
    <row r="8" spans="1:4" x14ac:dyDescent="0.2">
      <c r="A8" s="211" t="s">
        <v>3374</v>
      </c>
      <c r="B8" s="210" t="s">
        <v>3375</v>
      </c>
      <c r="C8" s="210" t="s">
        <v>3886</v>
      </c>
      <c r="D8" s="209">
        <f ca="1">ROUND(INDEX('All Trusts'!$S$7:$S$261,MATCH($A8,'All Trusts'!$B$7:$B$261,0),1),6)</f>
        <v>1.0510729999999999</v>
      </c>
    </row>
    <row r="9" spans="1:4" x14ac:dyDescent="0.2">
      <c r="A9" s="211" t="s">
        <v>3518</v>
      </c>
      <c r="B9" s="210" t="s">
        <v>3519</v>
      </c>
      <c r="C9" s="210" t="s">
        <v>3886</v>
      </c>
      <c r="D9" s="209">
        <f ca="1">ROUND(INDEX('All Trusts'!$S$7:$S$261,MATCH($A9,'All Trusts'!$B$7:$B$261,0),1),6)</f>
        <v>1.2128019999999999</v>
      </c>
    </row>
    <row r="10" spans="1:4" x14ac:dyDescent="0.2">
      <c r="A10" s="211" t="s">
        <v>659</v>
      </c>
      <c r="B10" s="210" t="s">
        <v>3883</v>
      </c>
      <c r="C10" s="210" t="s">
        <v>3886</v>
      </c>
      <c r="D10" s="209">
        <f ca="1">ROUND(INDEX('All Trusts'!$S$7:$S$261,MATCH($A10,'All Trusts'!$B$7:$B$261,0),1),6)</f>
        <v>1.0619609999999999</v>
      </c>
    </row>
    <row r="11" spans="1:4" x14ac:dyDescent="0.2">
      <c r="A11" s="215" t="s">
        <v>3914</v>
      </c>
      <c r="B11" s="214" t="s">
        <v>3913</v>
      </c>
      <c r="C11" s="214" t="s">
        <v>3886</v>
      </c>
      <c r="D11" s="213">
        <f ca="1">ROUND(INDEX('All Trusts'!$S$7:$S$261,MATCH($A11,'All Trusts'!$B$7:$B$261,0),1),6)</f>
        <v>1.1958759999999999</v>
      </c>
    </row>
    <row r="12" spans="1:4" x14ac:dyDescent="0.2">
      <c r="A12" s="211" t="s">
        <v>3728</v>
      </c>
      <c r="B12" s="210" t="s">
        <v>3729</v>
      </c>
      <c r="C12" s="210" t="s">
        <v>3886</v>
      </c>
      <c r="D12" s="209">
        <f ca="1">ROUND(INDEX('All Trusts'!$S$7:$S$261,MATCH($A12,'All Trusts'!$B$7:$B$261,0),1),6)</f>
        <v>1.1599820000000001</v>
      </c>
    </row>
    <row r="13" spans="1:4" x14ac:dyDescent="0.2">
      <c r="A13" s="211" t="s">
        <v>687</v>
      </c>
      <c r="B13" s="210" t="s">
        <v>688</v>
      </c>
      <c r="C13" s="210" t="s">
        <v>3886</v>
      </c>
      <c r="D13" s="209">
        <f ca="1">ROUND(INDEX('All Trusts'!$S$7:$S$261,MATCH($A13,'All Trusts'!$B$7:$B$261,0),1),6)</f>
        <v>1.053007</v>
      </c>
    </row>
    <row r="14" spans="1:4" x14ac:dyDescent="0.2">
      <c r="A14" s="211" t="s">
        <v>701</v>
      </c>
      <c r="B14" s="210" t="s">
        <v>702</v>
      </c>
      <c r="C14" s="210" t="s">
        <v>3886</v>
      </c>
      <c r="D14" s="209">
        <f ca="1">ROUND(INDEX('All Trusts'!$S$7:$S$261,MATCH($A14,'All Trusts'!$B$7:$B$261,0),1),6)</f>
        <v>1.035644</v>
      </c>
    </row>
    <row r="15" spans="1:4" x14ac:dyDescent="0.2">
      <c r="A15" s="211" t="s">
        <v>664</v>
      </c>
      <c r="B15" s="210" t="s">
        <v>665</v>
      </c>
      <c r="C15" s="210" t="s">
        <v>3886</v>
      </c>
      <c r="D15" s="209">
        <f ca="1">ROUND(INDEX('All Trusts'!$S$7:$S$261,MATCH($A15,'All Trusts'!$B$7:$B$261,0),1),6)</f>
        <v>1.0840689999999999</v>
      </c>
    </row>
    <row r="16" spans="1:4" x14ac:dyDescent="0.2">
      <c r="A16" s="215" t="s">
        <v>2790</v>
      </c>
      <c r="B16" s="214" t="s">
        <v>3912</v>
      </c>
      <c r="C16" s="214" t="s">
        <v>3886</v>
      </c>
      <c r="D16" s="213">
        <f ca="1">ROUND(INDEX('All Trusts'!$S$7:$S$261,MATCH($A16,'All Trusts'!$B$7:$B$261,0),1),6)</f>
        <v>1.013242</v>
      </c>
    </row>
    <row r="17" spans="1:4" x14ac:dyDescent="0.2">
      <c r="A17" s="211" t="s">
        <v>2289</v>
      </c>
      <c r="B17" s="210" t="s">
        <v>2290</v>
      </c>
      <c r="C17" s="210" t="s">
        <v>3886</v>
      </c>
      <c r="D17" s="209">
        <f ca="1">ROUND(INDEX('All Trusts'!$S$7:$S$261,MATCH($A17,'All Trusts'!$B$7:$B$261,0),1),6)</f>
        <v>1.0336920000000001</v>
      </c>
    </row>
    <row r="18" spans="1:4" x14ac:dyDescent="0.2">
      <c r="A18" s="211" t="s">
        <v>569</v>
      </c>
      <c r="B18" s="210" t="s">
        <v>570</v>
      </c>
      <c r="C18" s="210" t="s">
        <v>3886</v>
      </c>
      <c r="D18" s="209">
        <f ca="1">ROUND(INDEX('All Trusts'!$S$7:$S$261,MATCH($A18,'All Trusts'!$B$7:$B$261,0),1),6)</f>
        <v>1.078193</v>
      </c>
    </row>
    <row r="19" spans="1:4" x14ac:dyDescent="0.2">
      <c r="A19" s="215" t="s">
        <v>3720</v>
      </c>
      <c r="B19" s="216" t="s">
        <v>3521</v>
      </c>
      <c r="C19" s="216" t="s">
        <v>3886</v>
      </c>
      <c r="D19" s="213">
        <f ca="1">ROUND(INDEX('All Trusts'!$S$7:$S$261,MATCH($A19,'All Trusts'!$B$7:$B$261,0),1),6)</f>
        <v>1.219624</v>
      </c>
    </row>
    <row r="20" spans="1:4" x14ac:dyDescent="0.2">
      <c r="A20" s="211" t="s">
        <v>3726</v>
      </c>
      <c r="B20" s="210" t="s">
        <v>3727</v>
      </c>
      <c r="C20" s="210" t="s">
        <v>3886</v>
      </c>
      <c r="D20" s="209">
        <f ca="1">ROUND(INDEX('All Trusts'!$S$7:$S$261,MATCH($A20,'All Trusts'!$B$7:$B$261,0),1),6)</f>
        <v>1.179951</v>
      </c>
    </row>
    <row r="21" spans="1:4" x14ac:dyDescent="0.2">
      <c r="A21" s="211" t="s">
        <v>3656</v>
      </c>
      <c r="B21" s="210" t="s">
        <v>3657</v>
      </c>
      <c r="C21" s="210" t="s">
        <v>3886</v>
      </c>
      <c r="D21" s="209">
        <f ca="1">ROUND(INDEX('All Trusts'!$S$7:$S$261,MATCH($A21,'All Trusts'!$B$7:$B$261,0),1),6)</f>
        <v>1.201214</v>
      </c>
    </row>
    <row r="22" spans="1:4" x14ac:dyDescent="0.2">
      <c r="A22" s="211" t="s">
        <v>598</v>
      </c>
      <c r="B22" s="210" t="s">
        <v>3522</v>
      </c>
      <c r="C22" s="210" t="s">
        <v>3886</v>
      </c>
      <c r="D22" s="209">
        <f ca="1">ROUND(INDEX('All Trusts'!$S$7:$S$261,MATCH($A22,'All Trusts'!$B$7:$B$261,0),1),6)</f>
        <v>1.183046</v>
      </c>
    </row>
    <row r="23" spans="1:4" x14ac:dyDescent="0.2">
      <c r="A23" s="211" t="s">
        <v>416</v>
      </c>
      <c r="B23" s="210" t="s">
        <v>417</v>
      </c>
      <c r="C23" s="210" t="s">
        <v>3886</v>
      </c>
      <c r="D23" s="209">
        <f ca="1">ROUND(INDEX('All Trusts'!$S$7:$S$261,MATCH($A23,'All Trusts'!$B$7:$B$261,0),1),6)</f>
        <v>1.1728689999999999</v>
      </c>
    </row>
    <row r="24" spans="1:4" x14ac:dyDescent="0.2">
      <c r="A24" s="211" t="s">
        <v>355</v>
      </c>
      <c r="B24" s="210" t="s">
        <v>3911</v>
      </c>
      <c r="C24" s="210" t="s">
        <v>3886</v>
      </c>
      <c r="D24" s="209">
        <f ca="1">ROUND(INDEX('All Trusts'!$S$7:$S$261,MATCH($A24,'All Trusts'!$B$7:$B$261,0),1),6)</f>
        <v>1.207517</v>
      </c>
    </row>
    <row r="25" spans="1:4" x14ac:dyDescent="0.2">
      <c r="A25" s="211" t="s">
        <v>588</v>
      </c>
      <c r="B25" s="210" t="s">
        <v>589</v>
      </c>
      <c r="C25" s="210" t="s">
        <v>3886</v>
      </c>
      <c r="D25" s="209">
        <f ca="1">ROUND(INDEX('All Trusts'!$S$7:$S$261,MATCH($A25,'All Trusts'!$B$7:$B$261,0),1),6)</f>
        <v>1.02973</v>
      </c>
    </row>
    <row r="26" spans="1:4" x14ac:dyDescent="0.2">
      <c r="A26" s="211" t="s">
        <v>2339</v>
      </c>
      <c r="B26" s="210" t="s">
        <v>2340</v>
      </c>
      <c r="C26" s="210" t="s">
        <v>3886</v>
      </c>
      <c r="D26" s="209">
        <f ca="1">ROUND(INDEX('All Trusts'!$S$7:$S$261,MATCH($A26,'All Trusts'!$B$7:$B$261,0),1),6)</f>
        <v>1.0473680000000001</v>
      </c>
    </row>
    <row r="27" spans="1:4" x14ac:dyDescent="0.2">
      <c r="A27" s="211" t="s">
        <v>672</v>
      </c>
      <c r="B27" s="210" t="s">
        <v>1288</v>
      </c>
      <c r="C27" s="210" t="s">
        <v>3886</v>
      </c>
      <c r="D27" s="209">
        <f ca="1">ROUND(INDEX('All Trusts'!$S$7:$S$261,MATCH($A27,'All Trusts'!$B$7:$B$261,0),1),6)</f>
        <v>1.034403</v>
      </c>
    </row>
    <row r="28" spans="1:4" x14ac:dyDescent="0.2">
      <c r="A28" s="211" t="s">
        <v>693</v>
      </c>
      <c r="B28" s="210" t="s">
        <v>694</v>
      </c>
      <c r="C28" s="210" t="s">
        <v>3886</v>
      </c>
      <c r="D28" s="209">
        <f ca="1">ROUND(INDEX('All Trusts'!$S$7:$S$261,MATCH($A28,'All Trusts'!$B$7:$B$261,0),1),6)</f>
        <v>1.038864</v>
      </c>
    </row>
    <row r="29" spans="1:4" x14ac:dyDescent="0.2">
      <c r="A29" s="211" t="s">
        <v>575</v>
      </c>
      <c r="B29" s="210" t="s">
        <v>4328</v>
      </c>
      <c r="C29" s="210" t="s">
        <v>3886</v>
      </c>
      <c r="D29" s="209">
        <f ca="1">ROUND(INDEX('All Trusts'!$S$7:$S$261,MATCH($A29,'All Trusts'!$B$7:$B$261,0),1),6)</f>
        <v>1.043069</v>
      </c>
    </row>
    <row r="30" spans="1:4" x14ac:dyDescent="0.2">
      <c r="A30" s="211" t="s">
        <v>373</v>
      </c>
      <c r="B30" s="210" t="s">
        <v>3910</v>
      </c>
      <c r="C30" s="210" t="s">
        <v>3886</v>
      </c>
      <c r="D30" s="209">
        <f ca="1">ROUND(INDEX('All Trusts'!$S$7:$S$261,MATCH($A30,'All Trusts'!$B$7:$B$261,0),1),6)</f>
        <v>1.0417700000000001</v>
      </c>
    </row>
    <row r="31" spans="1:4" x14ac:dyDescent="0.2">
      <c r="A31" s="211" t="s">
        <v>3382</v>
      </c>
      <c r="B31" s="210" t="s">
        <v>3383</v>
      </c>
      <c r="C31" s="210" t="s">
        <v>3886</v>
      </c>
      <c r="D31" s="209">
        <f ca="1">ROUND(INDEX('All Trusts'!$S$7:$S$261,MATCH($A31,'All Trusts'!$B$7:$B$261,0),1),6)</f>
        <v>1.039863</v>
      </c>
    </row>
    <row r="32" spans="1:4" x14ac:dyDescent="0.2">
      <c r="A32" s="211" t="s">
        <v>391</v>
      </c>
      <c r="B32" s="210" t="s">
        <v>392</v>
      </c>
      <c r="C32" s="210" t="s">
        <v>3886</v>
      </c>
      <c r="D32" s="209">
        <f ca="1">ROUND(INDEX('All Trusts'!$S$7:$S$261,MATCH($A32,'All Trusts'!$B$7:$B$261,0),1),6)</f>
        <v>1.043693</v>
      </c>
    </row>
    <row r="33" spans="1:4" x14ac:dyDescent="0.2">
      <c r="A33" s="211" t="s">
        <v>594</v>
      </c>
      <c r="B33" s="210" t="s">
        <v>595</v>
      </c>
      <c r="C33" s="210" t="s">
        <v>3886</v>
      </c>
      <c r="D33" s="209">
        <f ca="1">ROUND(INDEX('All Trusts'!$S$7:$S$261,MATCH($A33,'All Trusts'!$B$7:$B$261,0),1),6)</f>
        <v>1.066837</v>
      </c>
    </row>
    <row r="34" spans="1:4" x14ac:dyDescent="0.2">
      <c r="A34" s="211" t="s">
        <v>3670</v>
      </c>
      <c r="B34" s="210" t="s">
        <v>3671</v>
      </c>
      <c r="C34" s="210" t="s">
        <v>3886</v>
      </c>
      <c r="D34" s="209">
        <f ca="1">ROUND(INDEX('All Trusts'!$S$7:$S$261,MATCH($A34,'All Trusts'!$B$7:$B$261,0),1),6)</f>
        <v>1.019398</v>
      </c>
    </row>
    <row r="35" spans="1:4" x14ac:dyDescent="0.2">
      <c r="A35" s="211" t="s">
        <v>2271</v>
      </c>
      <c r="B35" s="210" t="s">
        <v>2272</v>
      </c>
      <c r="C35" s="210" t="s">
        <v>3886</v>
      </c>
      <c r="D35" s="209">
        <f ca="1">ROUND(INDEX('All Trusts'!$S$7:$S$261,MATCH($A35,'All Trusts'!$B$7:$B$261,0),1),6)</f>
        <v>1.0886910000000001</v>
      </c>
    </row>
    <row r="36" spans="1:4" x14ac:dyDescent="0.2">
      <c r="A36" s="211" t="s">
        <v>379</v>
      </c>
      <c r="B36" s="210" t="s">
        <v>3909</v>
      </c>
      <c r="C36" s="210" t="s">
        <v>3886</v>
      </c>
      <c r="D36" s="209">
        <f ca="1">ROUND(INDEX('All Trusts'!$S$7:$S$261,MATCH($A36,'All Trusts'!$B$7:$B$261,0),1),6)</f>
        <v>1.1202650000000001</v>
      </c>
    </row>
    <row r="37" spans="1:4" x14ac:dyDescent="0.2">
      <c r="A37" s="211" t="s">
        <v>703</v>
      </c>
      <c r="B37" s="210" t="s">
        <v>1289</v>
      </c>
      <c r="C37" s="210" t="s">
        <v>3886</v>
      </c>
      <c r="D37" s="209">
        <f ca="1">ROUND(INDEX('All Trusts'!$S$7:$S$261,MATCH($A37,'All Trusts'!$B$7:$B$261,0),1),6)</f>
        <v>1.0340419999999999</v>
      </c>
    </row>
    <row r="38" spans="1:4" x14ac:dyDescent="0.2">
      <c r="A38" s="211" t="s">
        <v>2387</v>
      </c>
      <c r="B38" s="210" t="s">
        <v>2388</v>
      </c>
      <c r="C38" s="210" t="s">
        <v>3886</v>
      </c>
      <c r="D38" s="209">
        <f ca="1">ROUND(INDEX('All Trusts'!$S$7:$S$261,MATCH($A38,'All Trusts'!$B$7:$B$261,0),1),6)</f>
        <v>1.0393399999999999</v>
      </c>
    </row>
    <row r="39" spans="1:4" x14ac:dyDescent="0.2">
      <c r="A39" s="211" t="s">
        <v>3380</v>
      </c>
      <c r="B39" s="210" t="s">
        <v>1290</v>
      </c>
      <c r="C39" s="210" t="s">
        <v>3886</v>
      </c>
      <c r="D39" s="209">
        <f ca="1">ROUND(INDEX('All Trusts'!$S$7:$S$261,MATCH($A39,'All Trusts'!$B$7:$B$261,0),1),6)</f>
        <v>1.0304629999999999</v>
      </c>
    </row>
    <row r="40" spans="1:4" x14ac:dyDescent="0.2">
      <c r="A40" s="211" t="s">
        <v>2776</v>
      </c>
      <c r="B40" s="210" t="s">
        <v>2777</v>
      </c>
      <c r="C40" s="210" t="s">
        <v>3886</v>
      </c>
      <c r="D40" s="209">
        <f ca="1">ROUND(INDEX('All Trusts'!$S$7:$S$261,MATCH($A40,'All Trusts'!$B$7:$B$261,0),1),6)</f>
        <v>1.032715</v>
      </c>
    </row>
    <row r="41" spans="1:4" x14ac:dyDescent="0.2">
      <c r="A41" s="211" t="s">
        <v>606</v>
      </c>
      <c r="B41" s="210" t="s">
        <v>1291</v>
      </c>
      <c r="C41" s="210" t="s">
        <v>3886</v>
      </c>
      <c r="D41" s="209">
        <f ca="1">ROUND(INDEX('All Trusts'!$S$7:$S$261,MATCH($A41,'All Trusts'!$B$7:$B$261,0),1),6)</f>
        <v>1.025949</v>
      </c>
    </row>
    <row r="42" spans="1:4" x14ac:dyDescent="0.2">
      <c r="A42" s="215" t="s">
        <v>3730</v>
      </c>
      <c r="B42" s="214" t="s">
        <v>3908</v>
      </c>
      <c r="C42" s="214" t="s">
        <v>3886</v>
      </c>
      <c r="D42" s="213">
        <f ca="1">ROUND(INDEX('All Trusts'!$S$7:$S$261,MATCH($A42,'All Trusts'!$B$7:$B$261,0),1),6)</f>
        <v>1.0807199999999999</v>
      </c>
    </row>
    <row r="43" spans="1:4" x14ac:dyDescent="0.2">
      <c r="A43" s="211" t="s">
        <v>3700</v>
      </c>
      <c r="B43" s="210" t="s">
        <v>3701</v>
      </c>
      <c r="C43" s="210" t="s">
        <v>3886</v>
      </c>
      <c r="D43" s="209">
        <f ca="1">ROUND(INDEX('All Trusts'!$S$7:$S$261,MATCH($A43,'All Trusts'!$B$7:$B$261,0),1),6)</f>
        <v>1.0666310000000001</v>
      </c>
    </row>
    <row r="44" spans="1:4" ht="11.25" customHeight="1" x14ac:dyDescent="0.2">
      <c r="A44" s="211" t="s">
        <v>399</v>
      </c>
      <c r="B44" s="210" t="s">
        <v>3907</v>
      </c>
      <c r="C44" s="210" t="s">
        <v>3886</v>
      </c>
      <c r="D44" s="209">
        <f ca="1">ROUND(INDEX('All Trusts'!$S$7:$S$261,MATCH($A44,'All Trusts'!$B$7:$B$261,0),1),6)</f>
        <v>1.106109</v>
      </c>
    </row>
    <row r="45" spans="1:4" ht="11.25" customHeight="1" x14ac:dyDescent="0.2">
      <c r="A45" s="211" t="s">
        <v>2269</v>
      </c>
      <c r="B45" s="210" t="s">
        <v>2270</v>
      </c>
      <c r="C45" s="210" t="s">
        <v>3886</v>
      </c>
      <c r="D45" s="209">
        <f ca="1">ROUND(INDEX('All Trusts'!$S$7:$S$261,MATCH($A45,'All Trusts'!$B$7:$B$261,0),1),6)</f>
        <v>1.1228450000000001</v>
      </c>
    </row>
    <row r="46" spans="1:4" ht="11.25" customHeight="1" x14ac:dyDescent="0.2">
      <c r="A46" s="211" t="s">
        <v>2326</v>
      </c>
      <c r="B46" s="210" t="s">
        <v>0</v>
      </c>
      <c r="C46" s="210" t="s">
        <v>3886</v>
      </c>
      <c r="D46" s="209">
        <f ca="1">ROUND(INDEX('All Trusts'!$S$7:$S$261,MATCH($A46,'All Trusts'!$B$7:$B$261,0),1),6)</f>
        <v>1.0547070000000001</v>
      </c>
    </row>
    <row r="47" spans="1:4" ht="11.25" customHeight="1" x14ac:dyDescent="0.2">
      <c r="A47" s="211" t="s">
        <v>545</v>
      </c>
      <c r="B47" s="210" t="s">
        <v>2327</v>
      </c>
      <c r="C47" s="210" t="s">
        <v>3886</v>
      </c>
      <c r="D47" s="209">
        <f ca="1">ROUND(INDEX('All Trusts'!$S$7:$S$261,MATCH($A47,'All Trusts'!$B$7:$B$261,0),1),6)</f>
        <v>1.070317</v>
      </c>
    </row>
    <row r="48" spans="1:4" x14ac:dyDescent="0.2">
      <c r="A48" s="215" t="s">
        <v>2365</v>
      </c>
      <c r="B48" s="214" t="s">
        <v>3906</v>
      </c>
      <c r="C48" s="214" t="s">
        <v>3886</v>
      </c>
      <c r="D48" s="213">
        <f ca="1">ROUND(INDEX('All Trusts'!$S$7:$S$261,MATCH($A48,'All Trusts'!$B$7:$B$261,0),1),6)</f>
        <v>1.1651530000000001</v>
      </c>
    </row>
    <row r="49" spans="1:4" x14ac:dyDescent="0.2">
      <c r="A49" s="211" t="s">
        <v>2341</v>
      </c>
      <c r="B49" s="210" t="s">
        <v>1292</v>
      </c>
      <c r="C49" s="210" t="s">
        <v>3886</v>
      </c>
      <c r="D49" s="209">
        <f ca="1">ROUND(INDEX('All Trusts'!$S$7:$S$261,MATCH($A49,'All Trusts'!$B$7:$B$261,0),1),6)</f>
        <v>1.0655680000000001</v>
      </c>
    </row>
    <row r="50" spans="1:4" x14ac:dyDescent="0.2">
      <c r="A50" s="211" t="s">
        <v>610</v>
      </c>
      <c r="B50" s="210" t="s">
        <v>611</v>
      </c>
      <c r="C50" s="210" t="s">
        <v>3886</v>
      </c>
      <c r="D50" s="209">
        <f ca="1">ROUND(INDEX('All Trusts'!$S$7:$S$261,MATCH($A50,'All Trusts'!$B$7:$B$261,0),1),6)</f>
        <v>1.064683</v>
      </c>
    </row>
    <row r="51" spans="1:4" x14ac:dyDescent="0.2">
      <c r="A51" s="211" t="s">
        <v>558</v>
      </c>
      <c r="B51" s="210" t="s">
        <v>559</v>
      </c>
      <c r="C51" s="210" t="s">
        <v>3886</v>
      </c>
      <c r="D51" s="209">
        <f ca="1">ROUND(INDEX('All Trusts'!$S$7:$S$261,MATCH($A51,'All Trusts'!$B$7:$B$261,0),1),6)</f>
        <v>1.0294110000000001</v>
      </c>
    </row>
    <row r="52" spans="1:4" x14ac:dyDescent="0.2">
      <c r="A52" s="211" t="s">
        <v>3716</v>
      </c>
      <c r="B52" s="210" t="s">
        <v>3717</v>
      </c>
      <c r="C52" s="210" t="s">
        <v>3886</v>
      </c>
      <c r="D52" s="209">
        <f ca="1">ROUND(INDEX('All Trusts'!$S$7:$S$261,MATCH($A52,'All Trusts'!$B$7:$B$261,0),1),6)</f>
        <v>1.0031890000000001</v>
      </c>
    </row>
    <row r="53" spans="1:4" x14ac:dyDescent="0.2">
      <c r="A53" s="211" t="s">
        <v>3378</v>
      </c>
      <c r="B53" s="210" t="s">
        <v>3905</v>
      </c>
      <c r="C53" s="210" t="s">
        <v>3886</v>
      </c>
      <c r="D53" s="209">
        <f ca="1">ROUND(INDEX('All Trusts'!$S$7:$S$261,MATCH($A53,'All Trusts'!$B$7:$B$261,0),1),6)</f>
        <v>1.0387200000000001</v>
      </c>
    </row>
    <row r="54" spans="1:4" x14ac:dyDescent="0.2">
      <c r="A54" s="211" t="s">
        <v>2324</v>
      </c>
      <c r="B54" s="210" t="s">
        <v>1293</v>
      </c>
      <c r="C54" s="210" t="s">
        <v>3886</v>
      </c>
      <c r="D54" s="209">
        <f ca="1">ROUND(INDEX('All Trusts'!$S$7:$S$261,MATCH($A54,'All Trusts'!$B$7:$B$261,0),1),6)</f>
        <v>1.039401</v>
      </c>
    </row>
    <row r="55" spans="1:4" x14ac:dyDescent="0.2">
      <c r="A55" s="211" t="s">
        <v>375</v>
      </c>
      <c r="B55" s="210" t="s">
        <v>376</v>
      </c>
      <c r="C55" s="210" t="s">
        <v>3886</v>
      </c>
      <c r="D55" s="209">
        <f ca="1">ROUND(INDEX('All Trusts'!$S$7:$S$261,MATCH($A55,'All Trusts'!$B$7:$B$261,0),1),6)</f>
        <v>1.0404500000000001</v>
      </c>
    </row>
    <row r="56" spans="1:4" x14ac:dyDescent="0.2">
      <c r="A56" s="211" t="s">
        <v>3872</v>
      </c>
      <c r="B56" s="210" t="s">
        <v>3873</v>
      </c>
      <c r="C56" s="210" t="s">
        <v>3886</v>
      </c>
      <c r="D56" s="209">
        <f ca="1">ROUND(INDEX('All Trusts'!$S$7:$S$261,MATCH($A56,'All Trusts'!$B$7:$B$261,0),1),6)</f>
        <v>1.0403370000000001</v>
      </c>
    </row>
    <row r="57" spans="1:4" x14ac:dyDescent="0.2">
      <c r="A57" s="211" t="s">
        <v>3388</v>
      </c>
      <c r="B57" s="210" t="s">
        <v>3389</v>
      </c>
      <c r="C57" s="210" t="s">
        <v>3886</v>
      </c>
      <c r="D57" s="209">
        <f ca="1">ROUND(INDEX('All Trusts'!$S$7:$S$261,MATCH($A57,'All Trusts'!$B$7:$B$261,0),1),6)</f>
        <v>1.1743950000000001</v>
      </c>
    </row>
    <row r="58" spans="1:4" x14ac:dyDescent="0.2">
      <c r="A58" s="211" t="s">
        <v>2265</v>
      </c>
      <c r="B58" s="210" t="s">
        <v>2266</v>
      </c>
      <c r="C58" s="210" t="s">
        <v>3886</v>
      </c>
      <c r="D58" s="209">
        <f ca="1">ROUND(INDEX('All Trusts'!$S$7:$S$261,MATCH($A58,'All Trusts'!$B$7:$B$261,0),1),6)</f>
        <v>1.0323279999999999</v>
      </c>
    </row>
    <row r="59" spans="1:4" x14ac:dyDescent="0.2">
      <c r="A59" s="211" t="s">
        <v>608</v>
      </c>
      <c r="B59" s="210" t="s">
        <v>609</v>
      </c>
      <c r="C59" s="210" t="s">
        <v>3886</v>
      </c>
      <c r="D59" s="209">
        <f ca="1">ROUND(INDEX('All Trusts'!$S$7:$S$261,MATCH($A59,'All Trusts'!$B$7:$B$261,0),1),6)</f>
        <v>1.0272030000000001</v>
      </c>
    </row>
    <row r="60" spans="1:4" x14ac:dyDescent="0.2">
      <c r="A60" s="211" t="s">
        <v>2320</v>
      </c>
      <c r="B60" s="210" t="s">
        <v>2321</v>
      </c>
      <c r="C60" s="210" t="s">
        <v>3886</v>
      </c>
      <c r="D60" s="209">
        <f ca="1">ROUND(INDEX('All Trusts'!$S$7:$S$261,MATCH($A60,'All Trusts'!$B$7:$B$261,0),1),6)</f>
        <v>1.0288889999999999</v>
      </c>
    </row>
    <row r="61" spans="1:4" x14ac:dyDescent="0.2">
      <c r="A61" s="211" t="s">
        <v>361</v>
      </c>
      <c r="B61" s="210" t="s">
        <v>1295</v>
      </c>
      <c r="C61" s="210" t="s">
        <v>3886</v>
      </c>
      <c r="D61" s="209">
        <f ca="1">ROUND(INDEX('All Trusts'!$S$7:$S$261,MATCH($A61,'All Trusts'!$B$7:$B$261,0),1),6)</f>
        <v>1.0401210000000001</v>
      </c>
    </row>
    <row r="62" spans="1:4" x14ac:dyDescent="0.2">
      <c r="A62" s="211" t="s">
        <v>3690</v>
      </c>
      <c r="B62" s="210" t="s">
        <v>3691</v>
      </c>
      <c r="C62" s="210" t="s">
        <v>3886</v>
      </c>
      <c r="D62" s="209">
        <f ca="1">ROUND(INDEX('All Trusts'!$S$7:$S$261,MATCH($A62,'All Trusts'!$B$7:$B$261,0),1),6)</f>
        <v>1.080171</v>
      </c>
    </row>
    <row r="63" spans="1:4" x14ac:dyDescent="0.2">
      <c r="A63" s="211" t="s">
        <v>3696</v>
      </c>
      <c r="B63" s="210" t="s">
        <v>3697</v>
      </c>
      <c r="C63" s="210" t="s">
        <v>3886</v>
      </c>
      <c r="D63" s="209">
        <f ca="1">ROUND(INDEX('All Trusts'!$S$7:$S$261,MATCH($A63,'All Trusts'!$B$7:$B$261,0),1),6)</f>
        <v>1.060238</v>
      </c>
    </row>
    <row r="64" spans="1:4" x14ac:dyDescent="0.2">
      <c r="A64" s="211" t="s">
        <v>1336</v>
      </c>
      <c r="B64" s="210" t="s">
        <v>1337</v>
      </c>
      <c r="C64" s="210" t="s">
        <v>3886</v>
      </c>
      <c r="D64" s="209">
        <f ca="1">ROUND(INDEX('All Trusts'!$S$7:$S$261,MATCH($A64,'All Trusts'!$B$7:$B$261,0),1),6)</f>
        <v>1.018651</v>
      </c>
    </row>
    <row r="65" spans="1:4" x14ac:dyDescent="0.2">
      <c r="A65" s="211" t="s">
        <v>1334</v>
      </c>
      <c r="B65" s="210" t="s">
        <v>1335</v>
      </c>
      <c r="C65" s="210" t="s">
        <v>3886</v>
      </c>
      <c r="D65" s="209">
        <f ca="1">ROUND(INDEX('All Trusts'!$S$7:$S$261,MATCH($A65,'All Trusts'!$B$7:$B$261,0),1),6)</f>
        <v>1.04491</v>
      </c>
    </row>
    <row r="66" spans="1:4" x14ac:dyDescent="0.2">
      <c r="A66" s="211" t="s">
        <v>683</v>
      </c>
      <c r="B66" s="210" t="s">
        <v>1296</v>
      </c>
      <c r="C66" s="210" t="s">
        <v>3886</v>
      </c>
      <c r="D66" s="209">
        <f ca="1">ROUND(INDEX('All Trusts'!$S$7:$S$261,MATCH($A66,'All Trusts'!$B$7:$B$261,0),1),6)</f>
        <v>1.0437719999999999</v>
      </c>
    </row>
    <row r="67" spans="1:4" x14ac:dyDescent="0.2">
      <c r="A67" s="211" t="s">
        <v>2302</v>
      </c>
      <c r="B67" s="210" t="s">
        <v>2303</v>
      </c>
      <c r="C67" s="210" t="s">
        <v>3886</v>
      </c>
      <c r="D67" s="209">
        <f ca="1">ROUND(INDEX('All Trusts'!$S$7:$S$261,MATCH($A67,'All Trusts'!$B$7:$B$261,0),1),6)</f>
        <v>1.088546</v>
      </c>
    </row>
    <row r="68" spans="1:4" x14ac:dyDescent="0.2">
      <c r="A68" s="211" t="s">
        <v>2787</v>
      </c>
      <c r="B68" s="210" t="s">
        <v>2788</v>
      </c>
      <c r="C68" s="210" t="s">
        <v>3886</v>
      </c>
      <c r="D68" s="209">
        <f ca="1">ROUND(INDEX('All Trusts'!$S$7:$S$261,MATCH($A68,'All Trusts'!$B$7:$B$261,0),1),6)</f>
        <v>1.035666</v>
      </c>
    </row>
    <row r="69" spans="1:4" x14ac:dyDescent="0.2">
      <c r="A69" s="211" t="s">
        <v>3718</v>
      </c>
      <c r="B69" s="210" t="s">
        <v>3719</v>
      </c>
      <c r="C69" s="210" t="s">
        <v>3886</v>
      </c>
      <c r="D69" s="209">
        <f ca="1">ROUND(INDEX('All Trusts'!$S$7:$S$261,MATCH($A69,'All Trusts'!$B$7:$B$261,0),1),6)</f>
        <v>1.0211479999999999</v>
      </c>
    </row>
    <row r="70" spans="1:4" x14ac:dyDescent="0.2">
      <c r="A70" s="211" t="s">
        <v>3680</v>
      </c>
      <c r="B70" s="210" t="s">
        <v>3904</v>
      </c>
      <c r="C70" s="210" t="s">
        <v>3886</v>
      </c>
      <c r="D70" s="209">
        <f ca="1">ROUND(INDEX('All Trusts'!$S$7:$S$261,MATCH($A70,'All Trusts'!$B$7:$B$261,0),1),6)</f>
        <v>1.0324310000000001</v>
      </c>
    </row>
    <row r="71" spans="1:4" x14ac:dyDescent="0.2">
      <c r="A71" s="211" t="s">
        <v>567</v>
      </c>
      <c r="B71" s="210" t="s">
        <v>1297</v>
      </c>
      <c r="C71" s="210" t="s">
        <v>3886</v>
      </c>
      <c r="D71" s="209">
        <f ca="1">ROUND(INDEX('All Trusts'!$S$7:$S$261,MATCH($A71,'All Trusts'!$B$7:$B$261,0),1),6)</f>
        <v>1.0876030000000001</v>
      </c>
    </row>
    <row r="72" spans="1:4" x14ac:dyDescent="0.2">
      <c r="A72" s="211" t="s">
        <v>2778</v>
      </c>
      <c r="B72" s="210" t="s">
        <v>2779</v>
      </c>
      <c r="C72" s="210" t="s">
        <v>3886</v>
      </c>
      <c r="D72" s="209">
        <f ca="1">ROUND(INDEX('All Trusts'!$S$7:$S$261,MATCH($A72,'All Trusts'!$B$7:$B$261,0),1),6)</f>
        <v>1.0294220000000001</v>
      </c>
    </row>
    <row r="73" spans="1:4" x14ac:dyDescent="0.2">
      <c r="A73" s="211" t="s">
        <v>3702</v>
      </c>
      <c r="B73" s="210" t="s">
        <v>3703</v>
      </c>
      <c r="C73" s="210" t="s">
        <v>3886</v>
      </c>
      <c r="D73" s="209">
        <f ca="1">ROUND(INDEX('All Trusts'!$S$7:$S$261,MATCH($A73,'All Trusts'!$B$7:$B$261,0),1),6)</f>
        <v>1.0889770000000001</v>
      </c>
    </row>
    <row r="74" spans="1:4" x14ac:dyDescent="0.2">
      <c r="A74" s="211" t="s">
        <v>3710</v>
      </c>
      <c r="B74" s="210" t="s">
        <v>3711</v>
      </c>
      <c r="C74" s="210" t="s">
        <v>3886</v>
      </c>
      <c r="D74" s="209">
        <f ca="1">ROUND(INDEX('All Trusts'!$S$7:$S$261,MATCH($A74,'All Trusts'!$B$7:$B$261,0),1),6)</f>
        <v>1.149759</v>
      </c>
    </row>
    <row r="75" spans="1:4" x14ac:dyDescent="0.2">
      <c r="A75" s="211" t="s">
        <v>2381</v>
      </c>
      <c r="B75" s="210" t="s">
        <v>2382</v>
      </c>
      <c r="C75" s="210" t="s">
        <v>3886</v>
      </c>
      <c r="D75" s="209">
        <f ca="1">ROUND(INDEX('All Trusts'!$S$7:$S$261,MATCH($A75,'All Trusts'!$B$7:$B$261,0),1),6)</f>
        <v>1.277029</v>
      </c>
    </row>
    <row r="76" spans="1:4" x14ac:dyDescent="0.2">
      <c r="A76" s="211" t="s">
        <v>600</v>
      </c>
      <c r="B76" s="210" t="s">
        <v>3903</v>
      </c>
      <c r="C76" s="210" t="s">
        <v>3886</v>
      </c>
      <c r="D76" s="209">
        <f ca="1">ROUND(INDEX('All Trusts'!$S$7:$S$261,MATCH($A76,'All Trusts'!$B$7:$B$261,0),1),6)</f>
        <v>1.2043010000000001</v>
      </c>
    </row>
    <row r="77" spans="1:4" x14ac:dyDescent="0.2">
      <c r="A77" s="211" t="s">
        <v>385</v>
      </c>
      <c r="B77" s="210" t="s">
        <v>1299</v>
      </c>
      <c r="C77" s="210" t="s">
        <v>3886</v>
      </c>
      <c r="D77" s="209">
        <f ca="1">ROUND(INDEX('All Trusts'!$S$7:$S$261,MATCH($A77,'All Trusts'!$B$7:$B$261,0),1),6)</f>
        <v>1.2044729999999999</v>
      </c>
    </row>
    <row r="78" spans="1:4" x14ac:dyDescent="0.2">
      <c r="A78" s="211" t="s">
        <v>573</v>
      </c>
      <c r="B78" s="210" t="s">
        <v>3902</v>
      </c>
      <c r="C78" s="210" t="s">
        <v>3886</v>
      </c>
      <c r="D78" s="209">
        <f ca="1">ROUND(INDEX('All Trusts'!$S$7:$S$261,MATCH($A78,'All Trusts'!$B$7:$B$261,0),1),6)</f>
        <v>1.2124539999999999</v>
      </c>
    </row>
    <row r="79" spans="1:4" x14ac:dyDescent="0.2">
      <c r="A79" s="211" t="s">
        <v>1</v>
      </c>
      <c r="B79" s="210" t="s">
        <v>1300</v>
      </c>
      <c r="C79" s="210" t="s">
        <v>3886</v>
      </c>
      <c r="D79" s="209">
        <f ca="1">ROUND(INDEX('All Trusts'!$S$7:$S$261,MATCH($A79,'All Trusts'!$B$7:$B$261,0),1),6)</f>
        <v>1</v>
      </c>
    </row>
    <row r="80" spans="1:4" x14ac:dyDescent="0.2">
      <c r="A80" s="211" t="s">
        <v>560</v>
      </c>
      <c r="B80" s="210" t="s">
        <v>1301</v>
      </c>
      <c r="C80" s="210" t="s">
        <v>3886</v>
      </c>
      <c r="D80" s="209">
        <f ca="1">ROUND(INDEX('All Trusts'!$S$7:$S$261,MATCH($A80,'All Trusts'!$B$7:$B$261,0),1),6)</f>
        <v>1.0565450000000001</v>
      </c>
    </row>
    <row r="81" spans="1:4" x14ac:dyDescent="0.2">
      <c r="A81" s="215" t="s">
        <v>3882</v>
      </c>
      <c r="B81" s="214" t="s">
        <v>3901</v>
      </c>
      <c r="C81" s="214" t="s">
        <v>3886</v>
      </c>
      <c r="D81" s="213">
        <f ca="1">ROUND(INDEX('All Trusts'!$S$7:$S$261,MATCH($A81,'All Trusts'!$B$7:$B$261,0),1),6)</f>
        <v>1.026702</v>
      </c>
    </row>
    <row r="82" spans="1:4" x14ac:dyDescent="0.2">
      <c r="A82" s="211" t="s">
        <v>2296</v>
      </c>
      <c r="B82" s="210" t="s">
        <v>2297</v>
      </c>
      <c r="C82" s="210" t="s">
        <v>3886</v>
      </c>
      <c r="D82" s="209">
        <f ca="1">ROUND(INDEX('All Trusts'!$S$7:$S$261,MATCH($A82,'All Trusts'!$B$7:$B$261,0),1),6)</f>
        <v>1.0396590000000001</v>
      </c>
    </row>
    <row r="83" spans="1:4" x14ac:dyDescent="0.2">
      <c r="A83" s="211" t="s">
        <v>3672</v>
      </c>
      <c r="B83" s="210" t="s">
        <v>3900</v>
      </c>
      <c r="C83" s="210" t="s">
        <v>3886</v>
      </c>
      <c r="D83" s="209">
        <f ca="1">ROUND(INDEX('All Trusts'!$S$7:$S$261,MATCH($A83,'All Trusts'!$B$7:$B$261,0),1),6)</f>
        <v>1.025093</v>
      </c>
    </row>
    <row r="84" spans="1:4" x14ac:dyDescent="0.2">
      <c r="A84" s="211" t="s">
        <v>2349</v>
      </c>
      <c r="B84" s="210" t="s">
        <v>2350</v>
      </c>
      <c r="C84" s="210" t="s">
        <v>3886</v>
      </c>
      <c r="D84" s="209">
        <f ca="1">ROUND(INDEX('All Trusts'!$S$7:$S$261,MATCH($A84,'All Trusts'!$B$7:$B$261,0),1),6)</f>
        <v>1.0493399999999999</v>
      </c>
    </row>
    <row r="85" spans="1:4" x14ac:dyDescent="0.2">
      <c r="A85" s="211" t="s">
        <v>3</v>
      </c>
      <c r="B85" s="210" t="s">
        <v>4</v>
      </c>
      <c r="C85" s="210" t="s">
        <v>3886</v>
      </c>
      <c r="D85" s="209">
        <f ca="1">ROUND(INDEX('All Trusts'!$S$7:$S$261,MATCH($A85,'All Trusts'!$B$7:$B$261,0),1),6)</f>
        <v>1.0409409999999999</v>
      </c>
    </row>
    <row r="86" spans="1:4" x14ac:dyDescent="0.2">
      <c r="A86" s="211" t="s">
        <v>2300</v>
      </c>
      <c r="B86" s="210" t="s">
        <v>2301</v>
      </c>
      <c r="C86" s="210" t="s">
        <v>3886</v>
      </c>
      <c r="D86" s="209">
        <f ca="1">ROUND(INDEX('All Trusts'!$S$7:$S$261,MATCH($A86,'All Trusts'!$B$7:$B$261,0),1),6)</f>
        <v>1.028613</v>
      </c>
    </row>
    <row r="87" spans="1:4" x14ac:dyDescent="0.2">
      <c r="A87" s="211" t="s">
        <v>353</v>
      </c>
      <c r="B87" s="210" t="s">
        <v>354</v>
      </c>
      <c r="C87" s="210" t="s">
        <v>3886</v>
      </c>
      <c r="D87" s="209">
        <f ca="1">ROUND(INDEX('All Trusts'!$S$7:$S$261,MATCH($A87,'All Trusts'!$B$7:$B$261,0),1),6)</f>
        <v>1.2132259999999999</v>
      </c>
    </row>
    <row r="88" spans="1:4" x14ac:dyDescent="0.2">
      <c r="A88" s="211" t="s">
        <v>2780</v>
      </c>
      <c r="B88" s="210" t="s">
        <v>2781</v>
      </c>
      <c r="C88" s="210" t="s">
        <v>3886</v>
      </c>
      <c r="D88" s="209">
        <f ca="1">ROUND(INDEX('All Trusts'!$S$7:$S$261,MATCH($A88,'All Trusts'!$B$7:$B$261,0),1),6)</f>
        <v>1.031436</v>
      </c>
    </row>
    <row r="89" spans="1:4" x14ac:dyDescent="0.2">
      <c r="A89" s="211" t="s">
        <v>3698</v>
      </c>
      <c r="B89" s="210" t="s">
        <v>3699</v>
      </c>
      <c r="C89" s="210" t="s">
        <v>3886</v>
      </c>
      <c r="D89" s="209">
        <f ca="1">ROUND(INDEX('All Trusts'!$S$7:$S$261,MATCH($A89,'All Trusts'!$B$7:$B$261,0),1),6)</f>
        <v>1.0158199999999999</v>
      </c>
    </row>
    <row r="90" spans="1:4" x14ac:dyDescent="0.2">
      <c r="A90" s="211" t="s">
        <v>666</v>
      </c>
      <c r="B90" s="210" t="s">
        <v>667</v>
      </c>
      <c r="C90" s="210" t="s">
        <v>3886</v>
      </c>
      <c r="D90" s="209">
        <f ca="1">ROUND(INDEX('All Trusts'!$S$7:$S$261,MATCH($A90,'All Trusts'!$B$7:$B$261,0),1),6)</f>
        <v>1.0586180000000001</v>
      </c>
    </row>
    <row r="91" spans="1:4" x14ac:dyDescent="0.2">
      <c r="A91" s="211" t="s">
        <v>3874</v>
      </c>
      <c r="B91" s="210" t="s">
        <v>3875</v>
      </c>
      <c r="C91" s="210" t="s">
        <v>3886</v>
      </c>
      <c r="D91" s="209">
        <f ca="1">ROUND(INDEX('All Trusts'!$S$7:$S$261,MATCH($A91,'All Trusts'!$B$7:$B$261,0),1),6)</f>
        <v>1.213371</v>
      </c>
    </row>
    <row r="92" spans="1:4" x14ac:dyDescent="0.2">
      <c r="A92" s="211" t="s">
        <v>678</v>
      </c>
      <c r="B92" s="210" t="s">
        <v>679</v>
      </c>
      <c r="C92" s="210" t="s">
        <v>3886</v>
      </c>
      <c r="D92" s="209">
        <f ca="1">ROUND(INDEX('All Trusts'!$S$7:$S$261,MATCH($A92,'All Trusts'!$B$7:$B$261,0),1),6)</f>
        <v>1.1789160000000001</v>
      </c>
    </row>
    <row r="93" spans="1:4" x14ac:dyDescent="0.2">
      <c r="A93" s="211" t="s">
        <v>3706</v>
      </c>
      <c r="B93" s="210" t="s">
        <v>3899</v>
      </c>
      <c r="C93" s="210" t="s">
        <v>3886</v>
      </c>
      <c r="D93" s="209">
        <f ca="1">ROUND(INDEX('All Trusts'!$S$7:$S$261,MATCH($A93,'All Trusts'!$B$7:$B$261,0),1),6)</f>
        <v>1.0316149999999999</v>
      </c>
    </row>
    <row r="94" spans="1:4" x14ac:dyDescent="0.2">
      <c r="A94" s="215" t="s">
        <v>3870</v>
      </c>
      <c r="B94" s="214" t="s">
        <v>3075</v>
      </c>
      <c r="C94" s="214" t="s">
        <v>3886</v>
      </c>
      <c r="D94" s="213">
        <f ca="1">ROUND(INDEX('All Trusts'!$S$7:$S$261,MATCH($A94,'All Trusts'!$B$7:$B$261,0),1),6)</f>
        <v>1.034357</v>
      </c>
    </row>
    <row r="95" spans="1:4" x14ac:dyDescent="0.2">
      <c r="A95" s="211" t="s">
        <v>2322</v>
      </c>
      <c r="B95" s="210" t="s">
        <v>2323</v>
      </c>
      <c r="C95" s="210" t="s">
        <v>3886</v>
      </c>
      <c r="D95" s="209">
        <f ca="1">ROUND(INDEX('All Trusts'!$S$7:$S$261,MATCH($A95,'All Trusts'!$B$7:$B$261,0),1),6)</f>
        <v>1.02633</v>
      </c>
    </row>
    <row r="96" spans="1:4" x14ac:dyDescent="0.2">
      <c r="A96" s="211" t="s">
        <v>2393</v>
      </c>
      <c r="B96" s="210" t="s">
        <v>1317</v>
      </c>
      <c r="C96" s="210" t="s">
        <v>3886</v>
      </c>
      <c r="D96" s="209">
        <f ca="1">ROUND(INDEX('All Trusts'!$S$7:$S$261,MATCH($A96,'All Trusts'!$B$7:$B$261,0),1),6)</f>
        <v>1.0245200000000001</v>
      </c>
    </row>
    <row r="97" spans="1:4" x14ac:dyDescent="0.2">
      <c r="A97" s="211" t="s">
        <v>2369</v>
      </c>
      <c r="B97" s="210" t="s">
        <v>2370</v>
      </c>
      <c r="C97" s="210" t="s">
        <v>3886</v>
      </c>
      <c r="D97" s="209">
        <f ca="1">ROUND(INDEX('All Trusts'!$S$7:$S$261,MATCH($A97,'All Trusts'!$B$7:$B$261,0),1),6)</f>
        <v>1.0507359999999999</v>
      </c>
    </row>
    <row r="98" spans="1:4" x14ac:dyDescent="0.2">
      <c r="A98" s="211" t="s">
        <v>2283</v>
      </c>
      <c r="B98" s="210" t="s">
        <v>2284</v>
      </c>
      <c r="C98" s="210" t="s">
        <v>3886</v>
      </c>
      <c r="D98" s="209">
        <f ca="1">ROUND(INDEX('All Trusts'!$S$7:$S$261,MATCH($A98,'All Trusts'!$B$7:$B$261,0),1),6)</f>
        <v>1.0439099999999999</v>
      </c>
    </row>
    <row r="99" spans="1:4" x14ac:dyDescent="0.2">
      <c r="A99" s="211" t="s">
        <v>3658</v>
      </c>
      <c r="B99" s="210" t="s">
        <v>3659</v>
      </c>
      <c r="C99" s="210" t="s">
        <v>3886</v>
      </c>
      <c r="D99" s="209">
        <f ca="1">ROUND(INDEX('All Trusts'!$S$7:$S$261,MATCH($A99,'All Trusts'!$B$7:$B$261,0),1),6)</f>
        <v>1.023582</v>
      </c>
    </row>
    <row r="100" spans="1:4" x14ac:dyDescent="0.2">
      <c r="A100" s="211" t="s">
        <v>405</v>
      </c>
      <c r="B100" s="210" t="s">
        <v>406</v>
      </c>
      <c r="C100" s="210" t="s">
        <v>3886</v>
      </c>
      <c r="D100" s="209">
        <f ca="1">ROUND(INDEX('All Trusts'!$S$7:$S$261,MATCH($A100,'All Trusts'!$B$7:$B$261,0),1),6)</f>
        <v>1.0152650000000001</v>
      </c>
    </row>
    <row r="101" spans="1:4" x14ac:dyDescent="0.2">
      <c r="A101" s="211" t="s">
        <v>662</v>
      </c>
      <c r="B101" s="210" t="s">
        <v>663</v>
      </c>
      <c r="C101" s="210" t="s">
        <v>3886</v>
      </c>
      <c r="D101" s="209">
        <f ca="1">ROUND(INDEX('All Trusts'!$S$7:$S$261,MATCH($A101,'All Trusts'!$B$7:$B$261,0),1),6)</f>
        <v>1.059353</v>
      </c>
    </row>
    <row r="102" spans="1:4" x14ac:dyDescent="0.2">
      <c r="A102" s="211" t="s">
        <v>3732</v>
      </c>
      <c r="B102" s="210" t="s">
        <v>3733</v>
      </c>
      <c r="C102" s="210" t="s">
        <v>3886</v>
      </c>
      <c r="D102" s="209">
        <f ca="1">ROUND(INDEX('All Trusts'!$S$7:$S$261,MATCH($A102,'All Trusts'!$B$7:$B$261,0),1),6)</f>
        <v>1.0559750000000001</v>
      </c>
    </row>
    <row r="103" spans="1:4" x14ac:dyDescent="0.2">
      <c r="A103" s="211" t="s">
        <v>3712</v>
      </c>
      <c r="B103" s="210" t="s">
        <v>1303</v>
      </c>
      <c r="C103" s="210" t="s">
        <v>3886</v>
      </c>
      <c r="D103" s="209">
        <f ca="1">ROUND(INDEX('All Trusts'!$S$7:$S$261,MATCH($A103,'All Trusts'!$B$7:$B$261,0),1),6)</f>
        <v>1.048017</v>
      </c>
    </row>
    <row r="104" spans="1:4" x14ac:dyDescent="0.2">
      <c r="A104" s="211" t="s">
        <v>586</v>
      </c>
      <c r="B104" s="210" t="s">
        <v>587</v>
      </c>
      <c r="C104" s="210" t="s">
        <v>3886</v>
      </c>
      <c r="D104" s="209">
        <f ca="1">ROUND(INDEX('All Trusts'!$S$7:$S$261,MATCH($A104,'All Trusts'!$B$7:$B$261,0),1),6)</f>
        <v>1.0523180000000001</v>
      </c>
    </row>
    <row r="105" spans="1:4" x14ac:dyDescent="0.2">
      <c r="A105" s="211" t="s">
        <v>407</v>
      </c>
      <c r="B105" s="210" t="s">
        <v>1304</v>
      </c>
      <c r="C105" s="210" t="s">
        <v>3886</v>
      </c>
      <c r="D105" s="209">
        <f ca="1">ROUND(INDEX('All Trusts'!$S$7:$S$261,MATCH($A105,'All Trusts'!$B$7:$B$261,0),1),6)</f>
        <v>1.0252829999999999</v>
      </c>
    </row>
    <row r="106" spans="1:4" x14ac:dyDescent="0.2">
      <c r="A106" s="211" t="s">
        <v>2377</v>
      </c>
      <c r="B106" s="210" t="s">
        <v>2378</v>
      </c>
      <c r="C106" s="210" t="s">
        <v>3886</v>
      </c>
      <c r="D106" s="209">
        <f ca="1">ROUND(INDEX('All Trusts'!$S$7:$S$261,MATCH($A106,'All Trusts'!$B$7:$B$261,0),1),6)</f>
        <v>1.0951949999999999</v>
      </c>
    </row>
    <row r="107" spans="1:4" x14ac:dyDescent="0.2">
      <c r="A107" s="211" t="s">
        <v>2383</v>
      </c>
      <c r="B107" s="210" t="s">
        <v>2384</v>
      </c>
      <c r="C107" s="210" t="s">
        <v>3886</v>
      </c>
      <c r="D107" s="209">
        <f ca="1">ROUND(INDEX('All Trusts'!$S$7:$S$261,MATCH($A107,'All Trusts'!$B$7:$B$261,0),1),6)</f>
        <v>1.1096060000000001</v>
      </c>
    </row>
    <row r="108" spans="1:4" x14ac:dyDescent="0.2">
      <c r="A108" s="211" t="s">
        <v>11</v>
      </c>
      <c r="B108" s="210" t="s">
        <v>2328</v>
      </c>
      <c r="C108" s="210" t="s">
        <v>3886</v>
      </c>
      <c r="D108" s="209">
        <f ca="1">ROUND(INDEX('All Trusts'!$S$7:$S$261,MATCH($A108,'All Trusts'!$B$7:$B$261,0),1),6)</f>
        <v>1.157727</v>
      </c>
    </row>
    <row r="109" spans="1:4" x14ac:dyDescent="0.2">
      <c r="A109" s="211" t="s">
        <v>596</v>
      </c>
      <c r="B109" s="210" t="s">
        <v>1305</v>
      </c>
      <c r="C109" s="210" t="s">
        <v>3886</v>
      </c>
      <c r="D109" s="209">
        <f ca="1">ROUND(INDEX('All Trusts'!$S$7:$S$261,MATCH($A109,'All Trusts'!$B$7:$B$261,0),1),6)</f>
        <v>1.035649</v>
      </c>
    </row>
    <row r="110" spans="1:4" x14ac:dyDescent="0.2">
      <c r="A110" s="211" t="s">
        <v>590</v>
      </c>
      <c r="B110" s="210" t="s">
        <v>591</v>
      </c>
      <c r="C110" s="210" t="s">
        <v>3886</v>
      </c>
      <c r="D110" s="209">
        <f ca="1">ROUND(INDEX('All Trusts'!$S$7:$S$261,MATCH($A110,'All Trusts'!$B$7:$B$261,0),1),6)</f>
        <v>1.23827</v>
      </c>
    </row>
    <row r="111" spans="1:4" x14ac:dyDescent="0.2">
      <c r="A111" s="211" t="s">
        <v>413</v>
      </c>
      <c r="B111" s="210" t="s">
        <v>414</v>
      </c>
      <c r="C111" s="210" t="s">
        <v>3886</v>
      </c>
      <c r="D111" s="209">
        <f ca="1">ROUND(INDEX('All Trusts'!$S$7:$S$261,MATCH($A111,'All Trusts'!$B$7:$B$261,0),1),6)</f>
        <v>1.028605</v>
      </c>
    </row>
    <row r="112" spans="1:4" x14ac:dyDescent="0.2">
      <c r="A112" s="211" t="s">
        <v>9</v>
      </c>
      <c r="B112" s="210" t="s">
        <v>10</v>
      </c>
      <c r="C112" s="210" t="s">
        <v>3886</v>
      </c>
      <c r="D112" s="209">
        <f ca="1">ROUND(INDEX('All Trusts'!$S$7:$S$261,MATCH($A112,'All Trusts'!$B$7:$B$261,0),1),6)</f>
        <v>1.0265820000000001</v>
      </c>
    </row>
    <row r="113" spans="1:4" x14ac:dyDescent="0.2">
      <c r="A113" s="211" t="s">
        <v>1341</v>
      </c>
      <c r="B113" s="210" t="s">
        <v>352</v>
      </c>
      <c r="C113" s="210" t="s">
        <v>3886</v>
      </c>
      <c r="D113" s="209">
        <f ca="1">ROUND(INDEX('All Trusts'!$S$7:$S$261,MATCH($A113,'All Trusts'!$B$7:$B$261,0),1),6)</f>
        <v>1.054268</v>
      </c>
    </row>
    <row r="114" spans="1:4" x14ac:dyDescent="0.2">
      <c r="A114" s="211" t="s">
        <v>3666</v>
      </c>
      <c r="B114" s="210" t="s">
        <v>3667</v>
      </c>
      <c r="C114" s="210" t="s">
        <v>3886</v>
      </c>
      <c r="D114" s="209">
        <f ca="1">ROUND(INDEX('All Trusts'!$S$7:$S$261,MATCH($A114,'All Trusts'!$B$7:$B$261,0),1),6)</f>
        <v>1.061131</v>
      </c>
    </row>
    <row r="115" spans="1:4" x14ac:dyDescent="0.2">
      <c r="A115" s="211" t="s">
        <v>3684</v>
      </c>
      <c r="B115" s="210" t="s">
        <v>1306</v>
      </c>
      <c r="C115" s="210" t="s">
        <v>3886</v>
      </c>
      <c r="D115" s="209">
        <f ca="1">ROUND(INDEX('All Trusts'!$S$7:$S$261,MATCH($A115,'All Trusts'!$B$7:$B$261,0),1),6)</f>
        <v>1.1106370000000001</v>
      </c>
    </row>
    <row r="116" spans="1:4" x14ac:dyDescent="0.2">
      <c r="A116" s="211" t="s">
        <v>3734</v>
      </c>
      <c r="B116" s="210" t="s">
        <v>3735</v>
      </c>
      <c r="C116" s="210" t="s">
        <v>3886</v>
      </c>
      <c r="D116" s="209">
        <f ca="1">ROUND(INDEX('All Trusts'!$S$7:$S$261,MATCH($A116,'All Trusts'!$B$7:$B$261,0),1),6)</f>
        <v>1.070335</v>
      </c>
    </row>
    <row r="117" spans="1:4" x14ac:dyDescent="0.2">
      <c r="A117" s="211" t="s">
        <v>3668</v>
      </c>
      <c r="B117" s="210" t="s">
        <v>3669</v>
      </c>
      <c r="C117" s="210" t="s">
        <v>3886</v>
      </c>
      <c r="D117" s="209">
        <f ca="1">ROUND(INDEX('All Trusts'!$S$7:$S$261,MATCH($A117,'All Trusts'!$B$7:$B$261,0),1),6)</f>
        <v>1.0575319999999999</v>
      </c>
    </row>
    <row r="118" spans="1:4" x14ac:dyDescent="0.2">
      <c r="A118" s="211" t="s">
        <v>2373</v>
      </c>
      <c r="B118" s="210" t="s">
        <v>1307</v>
      </c>
      <c r="C118" s="210" t="s">
        <v>3886</v>
      </c>
      <c r="D118" s="209">
        <f ca="1">ROUND(INDEX('All Trusts'!$S$7:$S$261,MATCH($A118,'All Trusts'!$B$7:$B$261,0),1),6)</f>
        <v>1.2858309999999999</v>
      </c>
    </row>
    <row r="119" spans="1:4" x14ac:dyDescent="0.2">
      <c r="A119" s="211" t="s">
        <v>2337</v>
      </c>
      <c r="B119" s="210" t="s">
        <v>2338</v>
      </c>
      <c r="C119" s="210" t="s">
        <v>3886</v>
      </c>
      <c r="D119" s="209">
        <f ca="1">ROUND(INDEX('All Trusts'!$S$7:$S$261,MATCH($A119,'All Trusts'!$B$7:$B$261,0),1),6)</f>
        <v>1.0358799999999999</v>
      </c>
    </row>
    <row r="120" spans="1:4" x14ac:dyDescent="0.2">
      <c r="A120" s="211" t="s">
        <v>401</v>
      </c>
      <c r="B120" s="210" t="s">
        <v>402</v>
      </c>
      <c r="C120" s="210" t="s">
        <v>3886</v>
      </c>
      <c r="D120" s="209">
        <f ca="1">ROUND(INDEX('All Trusts'!$S$7:$S$261,MATCH($A120,'All Trusts'!$B$7:$B$261,0),1),6)</f>
        <v>1.2646409999999999</v>
      </c>
    </row>
    <row r="121" spans="1:4" x14ac:dyDescent="0.2">
      <c r="A121" s="211" t="s">
        <v>369</v>
      </c>
      <c r="B121" s="210" t="s">
        <v>370</v>
      </c>
      <c r="C121" s="210" t="s">
        <v>3886</v>
      </c>
      <c r="D121" s="209">
        <f ca="1">ROUND(INDEX('All Trusts'!$S$7:$S$261,MATCH($A121,'All Trusts'!$B$7:$B$261,0),1),6)</f>
        <v>1.0160039999999999</v>
      </c>
    </row>
    <row r="122" spans="1:4" x14ac:dyDescent="0.2">
      <c r="A122" s="211" t="s">
        <v>387</v>
      </c>
      <c r="B122" s="210" t="s">
        <v>388</v>
      </c>
      <c r="C122" s="210" t="s">
        <v>3886</v>
      </c>
      <c r="D122" s="209">
        <f ca="1">ROUND(INDEX('All Trusts'!$S$7:$S$261,MATCH($A122,'All Trusts'!$B$7:$B$261,0),1),6)</f>
        <v>1.1015969999999999</v>
      </c>
    </row>
    <row r="123" spans="1:4" x14ac:dyDescent="0.2">
      <c r="A123" s="211" t="s">
        <v>3704</v>
      </c>
      <c r="B123" s="210" t="s">
        <v>3705</v>
      </c>
      <c r="C123" s="210" t="s">
        <v>3886</v>
      </c>
      <c r="D123" s="209">
        <f ca="1">ROUND(INDEX('All Trusts'!$S$7:$S$261,MATCH($A123,'All Trusts'!$B$7:$B$261,0),1),6)</f>
        <v>1.1429180000000001</v>
      </c>
    </row>
    <row r="124" spans="1:4" x14ac:dyDescent="0.2">
      <c r="A124" s="211" t="s">
        <v>3688</v>
      </c>
      <c r="B124" s="210" t="s">
        <v>3689</v>
      </c>
      <c r="C124" s="210" t="s">
        <v>3886</v>
      </c>
      <c r="D124" s="209">
        <f ca="1">ROUND(INDEX('All Trusts'!$S$7:$S$261,MATCH($A124,'All Trusts'!$B$7:$B$261,0),1),6)</f>
        <v>1.177673</v>
      </c>
    </row>
    <row r="125" spans="1:4" x14ac:dyDescent="0.2">
      <c r="A125" s="211" t="s">
        <v>612</v>
      </c>
      <c r="B125" s="210" t="s">
        <v>613</v>
      </c>
      <c r="C125" s="210" t="s">
        <v>3886</v>
      </c>
      <c r="D125" s="209">
        <f ca="1">ROUND(INDEX('All Trusts'!$S$7:$S$261,MATCH($A125,'All Trusts'!$B$7:$B$261,0),1),6)</f>
        <v>1.2137370000000001</v>
      </c>
    </row>
    <row r="126" spans="1:4" x14ac:dyDescent="0.2">
      <c r="A126" s="211" t="s">
        <v>2279</v>
      </c>
      <c r="B126" s="210" t="s">
        <v>2280</v>
      </c>
      <c r="C126" s="210" t="s">
        <v>3886</v>
      </c>
      <c r="D126" s="209">
        <f ca="1">ROUND(INDEX('All Trusts'!$S$7:$S$261,MATCH($A126,'All Trusts'!$B$7:$B$261,0),1),6)</f>
        <v>1.0516350000000001</v>
      </c>
    </row>
    <row r="127" spans="1:4" x14ac:dyDescent="0.2">
      <c r="A127" s="211" t="s">
        <v>3722</v>
      </c>
      <c r="B127" s="210" t="s">
        <v>3723</v>
      </c>
      <c r="C127" s="210" t="s">
        <v>3886</v>
      </c>
      <c r="D127" s="209">
        <f ca="1">ROUND(INDEX('All Trusts'!$S$7:$S$261,MATCH($A127,'All Trusts'!$B$7:$B$261,0),1),6)</f>
        <v>1.042243</v>
      </c>
    </row>
    <row r="128" spans="1:4" x14ac:dyDescent="0.2">
      <c r="A128" s="211" t="s">
        <v>393</v>
      </c>
      <c r="B128" s="210" t="s">
        <v>394</v>
      </c>
      <c r="C128" s="210" t="s">
        <v>3886</v>
      </c>
      <c r="D128" s="209">
        <f ca="1">ROUND(INDEX('All Trusts'!$S$7:$S$261,MATCH($A128,'All Trusts'!$B$7:$B$261,0),1),6)</f>
        <v>1.0992230000000001</v>
      </c>
    </row>
    <row r="129" spans="1:4" x14ac:dyDescent="0.2">
      <c r="A129" s="215" t="s">
        <v>2316</v>
      </c>
      <c r="B129" s="214" t="s">
        <v>2317</v>
      </c>
      <c r="C129" s="214" t="s">
        <v>3886</v>
      </c>
      <c r="D129" s="213">
        <f ca="1">ROUND(INDEX('All Trusts'!$S$7:$S$261,MATCH($A129,'All Trusts'!$B$7:$B$261,0),1),6)</f>
        <v>1.2477339999999999</v>
      </c>
    </row>
    <row r="130" spans="1:4" x14ac:dyDescent="0.2">
      <c r="A130" s="211" t="s">
        <v>1322</v>
      </c>
      <c r="B130" s="210" t="s">
        <v>1323</v>
      </c>
      <c r="C130" s="210" t="s">
        <v>3886</v>
      </c>
      <c r="D130" s="209">
        <f ca="1">ROUND(INDEX('All Trusts'!$S$7:$S$261,MATCH($A130,'All Trusts'!$B$7:$B$261,0),1),6)</f>
        <v>1.0796950000000001</v>
      </c>
    </row>
    <row r="131" spans="1:4" x14ac:dyDescent="0.2">
      <c r="A131" s="211" t="s">
        <v>604</v>
      </c>
      <c r="B131" s="210" t="s">
        <v>605</v>
      </c>
      <c r="C131" s="210" t="s">
        <v>3886</v>
      </c>
      <c r="D131" s="209">
        <f ca="1">ROUND(INDEX('All Trusts'!$S$7:$S$261,MATCH($A131,'All Trusts'!$B$7:$B$261,0),1),6)</f>
        <v>1.1534169999999999</v>
      </c>
    </row>
    <row r="132" spans="1:4" x14ac:dyDescent="0.2">
      <c r="A132" s="211" t="s">
        <v>1324</v>
      </c>
      <c r="B132" s="210" t="s">
        <v>1325</v>
      </c>
      <c r="C132" s="210" t="s">
        <v>3886</v>
      </c>
      <c r="D132" s="209">
        <f ca="1">ROUND(INDEX('All Trusts'!$S$7:$S$261,MATCH($A132,'All Trusts'!$B$7:$B$261,0),1),6)</f>
        <v>1.205155</v>
      </c>
    </row>
    <row r="133" spans="1:4" x14ac:dyDescent="0.2">
      <c r="A133" s="211" t="s">
        <v>562</v>
      </c>
      <c r="B133" s="210" t="s">
        <v>563</v>
      </c>
      <c r="C133" s="210" t="s">
        <v>3886</v>
      </c>
      <c r="D133" s="209">
        <f ca="1">ROUND(INDEX('All Trusts'!$S$7:$S$261,MATCH($A133,'All Trusts'!$B$7:$B$261,0),1),6)</f>
        <v>1.200734</v>
      </c>
    </row>
    <row r="134" spans="1:4" x14ac:dyDescent="0.2">
      <c r="A134" s="211" t="s">
        <v>2389</v>
      </c>
      <c r="B134" s="210" t="s">
        <v>2390</v>
      </c>
      <c r="C134" s="210" t="s">
        <v>3886</v>
      </c>
      <c r="D134" s="209">
        <f ca="1">ROUND(INDEX('All Trusts'!$S$7:$S$261,MATCH($A134,'All Trusts'!$B$7:$B$261,0),1),6)</f>
        <v>1.049045</v>
      </c>
    </row>
    <row r="135" spans="1:4" x14ac:dyDescent="0.2">
      <c r="A135" s="211" t="s">
        <v>2367</v>
      </c>
      <c r="B135" s="210" t="s">
        <v>2368</v>
      </c>
      <c r="C135" s="210" t="s">
        <v>3886</v>
      </c>
      <c r="D135" s="209">
        <f ca="1">ROUND(INDEX('All Trusts'!$S$7:$S$261,MATCH($A135,'All Trusts'!$B$7:$B$261,0),1),6)</f>
        <v>1.0282180000000001</v>
      </c>
    </row>
    <row r="136" spans="1:4" x14ac:dyDescent="0.2">
      <c r="A136" s="211" t="s">
        <v>363</v>
      </c>
      <c r="B136" s="210" t="s">
        <v>364</v>
      </c>
      <c r="C136" s="210" t="s">
        <v>3886</v>
      </c>
      <c r="D136" s="209">
        <f ca="1">ROUND(INDEX('All Trusts'!$S$7:$S$261,MATCH($A136,'All Trusts'!$B$7:$B$261,0),1),6)</f>
        <v>1.046098</v>
      </c>
    </row>
    <row r="137" spans="1:4" x14ac:dyDescent="0.2">
      <c r="A137" s="211" t="s">
        <v>418</v>
      </c>
      <c r="B137" s="210" t="s">
        <v>3898</v>
      </c>
      <c r="C137" s="210" t="s">
        <v>3886</v>
      </c>
      <c r="D137" s="209">
        <f ca="1">ROUND(INDEX('All Trusts'!$S$7:$S$261,MATCH($A137,'All Trusts'!$B$7:$B$261,0),1),6)</f>
        <v>1.0865050000000001</v>
      </c>
    </row>
    <row r="138" spans="1:4" x14ac:dyDescent="0.2">
      <c r="A138" s="211" t="s">
        <v>554</v>
      </c>
      <c r="B138" s="210" t="s">
        <v>555</v>
      </c>
      <c r="C138" s="210" t="s">
        <v>3886</v>
      </c>
      <c r="D138" s="209">
        <f ca="1">ROUND(INDEX('All Trusts'!$S$7:$S$261,MATCH($A138,'All Trusts'!$B$7:$B$261,0),1),6)</f>
        <v>1.0315030000000001</v>
      </c>
    </row>
    <row r="139" spans="1:4" x14ac:dyDescent="0.2">
      <c r="A139" s="211" t="s">
        <v>699</v>
      </c>
      <c r="B139" s="210" t="s">
        <v>700</v>
      </c>
      <c r="C139" s="210" t="s">
        <v>3886</v>
      </c>
      <c r="D139" s="209">
        <f ca="1">ROUND(INDEX('All Trusts'!$S$7:$S$261,MATCH($A139,'All Trusts'!$B$7:$B$261,0),1),6)</f>
        <v>1.0417810000000001</v>
      </c>
    </row>
    <row r="140" spans="1:4" x14ac:dyDescent="0.2">
      <c r="A140" s="211" t="s">
        <v>614</v>
      </c>
      <c r="B140" s="210" t="s">
        <v>3869</v>
      </c>
      <c r="C140" s="210" t="s">
        <v>3886</v>
      </c>
      <c r="D140" s="209">
        <f ca="1">ROUND(INDEX('All Trusts'!$S$7:$S$261,MATCH($A140,'All Trusts'!$B$7:$B$261,0),1),6)</f>
        <v>1.0444800000000001</v>
      </c>
    </row>
    <row r="141" spans="1:4" x14ac:dyDescent="0.2">
      <c r="A141" s="211" t="s">
        <v>3880</v>
      </c>
      <c r="B141" s="210" t="s">
        <v>652</v>
      </c>
      <c r="C141" s="210" t="s">
        <v>3886</v>
      </c>
      <c r="D141" s="209">
        <f ca="1">ROUND(INDEX('All Trusts'!$S$7:$S$261,MATCH($A141,'All Trusts'!$B$7:$B$261,0),1),6)</f>
        <v>1.0448660000000001</v>
      </c>
    </row>
    <row r="142" spans="1:4" x14ac:dyDescent="0.2">
      <c r="A142" s="211" t="s">
        <v>2263</v>
      </c>
      <c r="B142" s="210" t="s">
        <v>2264</v>
      </c>
      <c r="C142" s="210" t="s">
        <v>3886</v>
      </c>
      <c r="D142" s="209">
        <f ca="1">ROUND(INDEX('All Trusts'!$S$7:$S$261,MATCH($A142,'All Trusts'!$B$7:$B$261,0),1),6)</f>
        <v>1.2003189999999999</v>
      </c>
    </row>
    <row r="143" spans="1:4" x14ac:dyDescent="0.2">
      <c r="A143" s="211" t="s">
        <v>377</v>
      </c>
      <c r="B143" s="210" t="s">
        <v>378</v>
      </c>
      <c r="C143" s="210" t="s">
        <v>3886</v>
      </c>
      <c r="D143" s="209">
        <f ca="1">ROUND(INDEX('All Trusts'!$S$7:$S$261,MATCH($A143,'All Trusts'!$B$7:$B$261,0),1),6)</f>
        <v>1.1964870000000001</v>
      </c>
    </row>
    <row r="144" spans="1:4" x14ac:dyDescent="0.2">
      <c r="A144" s="211" t="s">
        <v>3878</v>
      </c>
      <c r="B144" s="210" t="s">
        <v>3879</v>
      </c>
      <c r="C144" s="210" t="s">
        <v>3886</v>
      </c>
      <c r="D144" s="209">
        <f ca="1">ROUND(INDEX('All Trusts'!$S$7:$S$261,MATCH($A144,'All Trusts'!$B$7:$B$261,0),1),6)</f>
        <v>1.297607</v>
      </c>
    </row>
    <row r="145" spans="1:4" x14ac:dyDescent="0.2">
      <c r="A145" s="211" t="s">
        <v>2304</v>
      </c>
      <c r="B145" s="210" t="s">
        <v>2305</v>
      </c>
      <c r="C145" s="210" t="s">
        <v>3886</v>
      </c>
      <c r="D145" s="209">
        <f ca="1">ROUND(INDEX('All Trusts'!$S$7:$S$261,MATCH($A145,'All Trusts'!$B$7:$B$261,0),1),6)</f>
        <v>1.077334</v>
      </c>
    </row>
    <row r="146" spans="1:4" x14ac:dyDescent="0.2">
      <c r="A146" s="211" t="s">
        <v>3694</v>
      </c>
      <c r="B146" s="210" t="s">
        <v>3695</v>
      </c>
      <c r="C146" s="210" t="s">
        <v>3886</v>
      </c>
      <c r="D146" s="209">
        <f ca="1">ROUND(INDEX('All Trusts'!$S$7:$S$261,MATCH($A146,'All Trusts'!$B$7:$B$261,0),1),6)</f>
        <v>1.05132</v>
      </c>
    </row>
    <row r="147" spans="1:4" x14ac:dyDescent="0.2">
      <c r="A147" s="211" t="s">
        <v>3714</v>
      </c>
      <c r="B147" s="210" t="s">
        <v>3897</v>
      </c>
      <c r="C147" s="210" t="s">
        <v>3886</v>
      </c>
      <c r="D147" s="209">
        <f ca="1">ROUND(INDEX('All Trusts'!$S$7:$S$261,MATCH($A147,'All Trusts'!$B$7:$B$261,0),1),6)</f>
        <v>1.2531950000000001</v>
      </c>
    </row>
    <row r="148" spans="1:4" x14ac:dyDescent="0.2">
      <c r="A148" s="211" t="s">
        <v>365</v>
      </c>
      <c r="B148" s="210" t="s">
        <v>366</v>
      </c>
      <c r="C148" s="210" t="s">
        <v>3886</v>
      </c>
      <c r="D148" s="209">
        <f ca="1">ROUND(INDEX('All Trusts'!$S$7:$S$261,MATCH($A148,'All Trusts'!$B$7:$B$261,0),1),6)</f>
        <v>1.0432490000000001</v>
      </c>
    </row>
    <row r="149" spans="1:4" x14ac:dyDescent="0.2">
      <c r="A149" s="211" t="s">
        <v>602</v>
      </c>
      <c r="B149" s="210" t="s">
        <v>603</v>
      </c>
      <c r="C149" s="210" t="s">
        <v>3886</v>
      </c>
      <c r="D149" s="209">
        <f ca="1">ROUND(INDEX('All Trusts'!$S$7:$S$261,MATCH($A149,'All Trusts'!$B$7:$B$261,0),1),6)</f>
        <v>1.035817</v>
      </c>
    </row>
    <row r="150" spans="1:4" x14ac:dyDescent="0.2">
      <c r="A150" s="211" t="s">
        <v>2371</v>
      </c>
      <c r="B150" s="210" t="s">
        <v>2372</v>
      </c>
      <c r="C150" s="210" t="s">
        <v>3886</v>
      </c>
      <c r="D150" s="209">
        <f ca="1">ROUND(INDEX('All Trusts'!$S$7:$S$261,MATCH($A150,'All Trusts'!$B$7:$B$261,0),1),6)</f>
        <v>1.057096</v>
      </c>
    </row>
    <row r="151" spans="1:4" x14ac:dyDescent="0.2">
      <c r="A151" s="211" t="s">
        <v>3676</v>
      </c>
      <c r="B151" s="210" t="s">
        <v>3677</v>
      </c>
      <c r="C151" s="210" t="s">
        <v>3886</v>
      </c>
      <c r="D151" s="209">
        <f ca="1">ROUND(INDEX('All Trusts'!$S$7:$S$261,MATCH($A151,'All Trusts'!$B$7:$B$261,0),1),6)</f>
        <v>1.030009</v>
      </c>
    </row>
    <row r="152" spans="1:4" x14ac:dyDescent="0.2">
      <c r="A152" s="211" t="s">
        <v>2329</v>
      </c>
      <c r="B152" s="210" t="s">
        <v>3896</v>
      </c>
      <c r="C152" s="210" t="s">
        <v>3886</v>
      </c>
      <c r="D152" s="209">
        <f ca="1">ROUND(INDEX('All Trusts'!$S$7:$S$261,MATCH($A152,'All Trusts'!$B$7:$B$261,0),1),6)</f>
        <v>1.0400100000000001</v>
      </c>
    </row>
    <row r="153" spans="1:4" x14ac:dyDescent="0.2">
      <c r="A153" s="211" t="s">
        <v>3682</v>
      </c>
      <c r="B153" s="210" t="s">
        <v>3895</v>
      </c>
      <c r="C153" s="210" t="s">
        <v>3886</v>
      </c>
      <c r="D153" s="209">
        <f ca="1">ROUND(INDEX('All Trusts'!$S$7:$S$261,MATCH($A153,'All Trusts'!$B$7:$B$261,0),1),6)</f>
        <v>1.100325</v>
      </c>
    </row>
    <row r="154" spans="1:4" x14ac:dyDescent="0.2">
      <c r="A154" s="211" t="s">
        <v>3384</v>
      </c>
      <c r="B154" s="210" t="s">
        <v>1308</v>
      </c>
      <c r="C154" s="210" t="s">
        <v>3886</v>
      </c>
      <c r="D154" s="209">
        <f ca="1">ROUND(INDEX('All Trusts'!$S$7:$S$261,MATCH($A154,'All Trusts'!$B$7:$B$261,0),1),6)</f>
        <v>1.169997</v>
      </c>
    </row>
    <row r="155" spans="1:4" x14ac:dyDescent="0.2">
      <c r="A155" s="211" t="s">
        <v>582</v>
      </c>
      <c r="B155" s="210" t="s">
        <v>583</v>
      </c>
      <c r="C155" s="210" t="s">
        <v>3886</v>
      </c>
      <c r="D155" s="209">
        <f ca="1">ROUND(INDEX('All Trusts'!$S$7:$S$261,MATCH($A155,'All Trusts'!$B$7:$B$261,0),1),6)</f>
        <v>1.164693</v>
      </c>
    </row>
    <row r="156" spans="1:4" x14ac:dyDescent="0.2">
      <c r="A156" s="211" t="s">
        <v>3372</v>
      </c>
      <c r="B156" s="210" t="s">
        <v>3373</v>
      </c>
      <c r="C156" s="210" t="s">
        <v>3886</v>
      </c>
      <c r="D156" s="209">
        <f ca="1">ROUND(INDEX('All Trusts'!$S$7:$S$261,MATCH($A156,'All Trusts'!$B$7:$B$261,0),1),6)</f>
        <v>1.060697</v>
      </c>
    </row>
    <row r="157" spans="1:4" x14ac:dyDescent="0.2">
      <c r="A157" s="211" t="s">
        <v>556</v>
      </c>
      <c r="B157" s="210" t="s">
        <v>557</v>
      </c>
      <c r="C157" s="210" t="s">
        <v>3886</v>
      </c>
      <c r="D157" s="209">
        <f ca="1">ROUND(INDEX('All Trusts'!$S$7:$S$261,MATCH($A157,'All Trusts'!$B$7:$B$261,0),1),6)</f>
        <v>1.029223</v>
      </c>
    </row>
    <row r="158" spans="1:4" x14ac:dyDescent="0.2">
      <c r="A158" s="211" t="s">
        <v>3376</v>
      </c>
      <c r="B158" s="210" t="s">
        <v>1311</v>
      </c>
      <c r="C158" s="210" t="s">
        <v>3886</v>
      </c>
      <c r="D158" s="209">
        <f ca="1">ROUND(INDEX('All Trusts'!$S$7:$S$261,MATCH($A158,'All Trusts'!$B$7:$B$261,0),1),6)</f>
        <v>1.0455950000000001</v>
      </c>
    </row>
    <row r="159" spans="1:4" x14ac:dyDescent="0.2">
      <c r="A159" s="211" t="s">
        <v>670</v>
      </c>
      <c r="B159" s="210" t="s">
        <v>1309</v>
      </c>
      <c r="C159" s="210" t="s">
        <v>3886</v>
      </c>
      <c r="D159" s="209">
        <f ca="1">ROUND(INDEX('All Trusts'!$S$7:$S$261,MATCH($A159,'All Trusts'!$B$7:$B$261,0),1),6)</f>
        <v>1.029326</v>
      </c>
    </row>
    <row r="160" spans="1:4" x14ac:dyDescent="0.2">
      <c r="A160" s="211" t="s">
        <v>2310</v>
      </c>
      <c r="B160" s="210" t="s">
        <v>2311</v>
      </c>
      <c r="C160" s="210" t="s">
        <v>3886</v>
      </c>
      <c r="D160" s="209">
        <f ca="1">ROUND(INDEX('All Trusts'!$S$7:$S$261,MATCH($A160,'All Trusts'!$B$7:$B$261,0),1),6)</f>
        <v>1.214072</v>
      </c>
    </row>
    <row r="161" spans="1:4" x14ac:dyDescent="0.2">
      <c r="A161" s="211" t="s">
        <v>550</v>
      </c>
      <c r="B161" s="210" t="s">
        <v>551</v>
      </c>
      <c r="C161" s="210" t="s">
        <v>3886</v>
      </c>
      <c r="D161" s="209">
        <f ca="1">ROUND(INDEX('All Trusts'!$S$7:$S$261,MATCH($A161,'All Trusts'!$B$7:$B$261,0),1),6)</f>
        <v>1.1944779999999999</v>
      </c>
    </row>
    <row r="162" spans="1:4" x14ac:dyDescent="0.2">
      <c r="A162" s="211" t="s">
        <v>1330</v>
      </c>
      <c r="B162" s="210" t="s">
        <v>1331</v>
      </c>
      <c r="C162" s="210" t="s">
        <v>3886</v>
      </c>
      <c r="D162" s="209">
        <f ca="1">ROUND(INDEX('All Trusts'!$S$7:$S$261,MATCH($A162,'All Trusts'!$B$7:$B$261,0),1),6)</f>
        <v>1.018732</v>
      </c>
    </row>
    <row r="163" spans="1:4" x14ac:dyDescent="0.2">
      <c r="A163" s="211" t="s">
        <v>411</v>
      </c>
      <c r="B163" s="210" t="s">
        <v>412</v>
      </c>
      <c r="C163" s="210" t="s">
        <v>3886</v>
      </c>
      <c r="D163" s="209">
        <f ca="1">ROUND(INDEX('All Trusts'!$S$7:$S$261,MATCH($A163,'All Trusts'!$B$7:$B$261,0),1),6)</f>
        <v>1.0784640000000001</v>
      </c>
    </row>
    <row r="164" spans="1:4" x14ac:dyDescent="0.2">
      <c r="A164" s="211" t="s">
        <v>3386</v>
      </c>
      <c r="B164" s="210" t="s">
        <v>3387</v>
      </c>
      <c r="C164" s="210" t="s">
        <v>3886</v>
      </c>
      <c r="D164" s="209">
        <f ca="1">ROUND(INDEX('All Trusts'!$S$7:$S$261,MATCH($A164,'All Trusts'!$B$7:$B$261,0),1),6)</f>
        <v>1.074719</v>
      </c>
    </row>
    <row r="165" spans="1:4" x14ac:dyDescent="0.2">
      <c r="A165" s="211" t="s">
        <v>2363</v>
      </c>
      <c r="B165" s="210" t="s">
        <v>2364</v>
      </c>
      <c r="C165" s="210" t="s">
        <v>3886</v>
      </c>
      <c r="D165" s="209">
        <f ca="1">ROUND(INDEX('All Trusts'!$S$7:$S$261,MATCH($A165,'All Trusts'!$B$7:$B$261,0),1),6)</f>
        <v>1.1921850000000001</v>
      </c>
    </row>
    <row r="166" spans="1:4" x14ac:dyDescent="0.2">
      <c r="A166" s="211" t="s">
        <v>2351</v>
      </c>
      <c r="B166" s="210" t="s">
        <v>2352</v>
      </c>
      <c r="C166" s="210" t="s">
        <v>3886</v>
      </c>
      <c r="D166" s="209">
        <f ca="1">ROUND(INDEX('All Trusts'!$S$7:$S$261,MATCH($A166,'All Trusts'!$B$7:$B$261,0),1),6)</f>
        <v>1.0455019999999999</v>
      </c>
    </row>
    <row r="167" spans="1:4" x14ac:dyDescent="0.2">
      <c r="A167" s="211" t="s">
        <v>3660</v>
      </c>
      <c r="B167" s="210" t="s">
        <v>3661</v>
      </c>
      <c r="C167" s="210" t="s">
        <v>3886</v>
      </c>
      <c r="D167" s="209">
        <f ca="1">ROUND(INDEX('All Trusts'!$S$7:$S$261,MATCH($A167,'All Trusts'!$B$7:$B$261,0),1),6)</f>
        <v>1.024769</v>
      </c>
    </row>
    <row r="168" spans="1:4" x14ac:dyDescent="0.2">
      <c r="A168" s="211" t="s">
        <v>571</v>
      </c>
      <c r="B168" s="210" t="s">
        <v>572</v>
      </c>
      <c r="C168" s="210" t="s">
        <v>3886</v>
      </c>
      <c r="D168" s="209">
        <f ca="1">ROUND(INDEX('All Trusts'!$S$7:$S$261,MATCH($A168,'All Trusts'!$B$7:$B$261,0),1),6)</f>
        <v>1.0360640000000001</v>
      </c>
    </row>
    <row r="169" spans="1:4" x14ac:dyDescent="0.2">
      <c r="A169" s="211" t="s">
        <v>2385</v>
      </c>
      <c r="B169" s="210" t="s">
        <v>1310</v>
      </c>
      <c r="C169" s="210" t="s">
        <v>3886</v>
      </c>
      <c r="D169" s="209">
        <f ca="1">ROUND(INDEX('All Trusts'!$S$7:$S$261,MATCH($A169,'All Trusts'!$B$7:$B$261,0),1),6)</f>
        <v>1.0910629999999999</v>
      </c>
    </row>
    <row r="170" spans="1:4" x14ac:dyDescent="0.2">
      <c r="A170" s="211" t="s">
        <v>2314</v>
      </c>
      <c r="B170" s="210" t="s">
        <v>2315</v>
      </c>
      <c r="C170" s="210" t="s">
        <v>3886</v>
      </c>
      <c r="D170" s="209">
        <f ca="1">ROUND(INDEX('All Trusts'!$S$7:$S$261,MATCH($A170,'All Trusts'!$B$7:$B$261,0),1),6)</f>
        <v>1.0568010000000001</v>
      </c>
    </row>
    <row r="171" spans="1:4" x14ac:dyDescent="0.2">
      <c r="A171" s="211" t="s">
        <v>389</v>
      </c>
      <c r="B171" s="210" t="s">
        <v>390</v>
      </c>
      <c r="C171" s="210" t="s">
        <v>3886</v>
      </c>
      <c r="D171" s="209">
        <f ca="1">ROUND(INDEX('All Trusts'!$S$7:$S$261,MATCH($A171,'All Trusts'!$B$7:$B$261,0),1),6)</f>
        <v>1.038589</v>
      </c>
    </row>
    <row r="172" spans="1:4" x14ac:dyDescent="0.2">
      <c r="A172" s="211" t="s">
        <v>357</v>
      </c>
      <c r="B172" s="210" t="s">
        <v>358</v>
      </c>
      <c r="C172" s="210" t="s">
        <v>3886</v>
      </c>
      <c r="D172" s="209">
        <f ca="1">ROUND(INDEX('All Trusts'!$S$7:$S$261,MATCH($A172,'All Trusts'!$B$7:$B$261,0),1),6)</f>
        <v>1.0313509999999999</v>
      </c>
    </row>
    <row r="173" spans="1:4" x14ac:dyDescent="0.2">
      <c r="A173" s="211" t="s">
        <v>3692</v>
      </c>
      <c r="B173" s="212" t="s">
        <v>3693</v>
      </c>
      <c r="C173" s="212" t="s">
        <v>3886</v>
      </c>
      <c r="D173" s="209">
        <f ca="1">ROUND(INDEX('All Trusts'!$S$7:$S$261,MATCH($A173,'All Trusts'!$B$7:$B$261,0),1),6)</f>
        <v>1.0489459999999999</v>
      </c>
    </row>
    <row r="174" spans="1:4" x14ac:dyDescent="0.2">
      <c r="A174" s="211" t="s">
        <v>1328</v>
      </c>
      <c r="B174" s="210" t="s">
        <v>1329</v>
      </c>
      <c r="C174" s="210" t="s">
        <v>3886</v>
      </c>
      <c r="D174" s="209">
        <f ca="1">ROUND(INDEX('All Trusts'!$S$7:$S$261,MATCH($A174,'All Trusts'!$B$7:$B$261,0),1),6)</f>
        <v>1.015522</v>
      </c>
    </row>
    <row r="175" spans="1:4" x14ac:dyDescent="0.2">
      <c r="A175" s="211" t="s">
        <v>3876</v>
      </c>
      <c r="B175" s="210" t="s">
        <v>3877</v>
      </c>
      <c r="C175" s="210" t="s">
        <v>3886</v>
      </c>
      <c r="D175" s="209">
        <f ca="1">ROUND(INDEX('All Trusts'!$S$7:$S$261,MATCH($A175,'All Trusts'!$B$7:$B$261,0),1),6)</f>
        <v>1.014165</v>
      </c>
    </row>
    <row r="176" spans="1:4" x14ac:dyDescent="0.2">
      <c r="A176" s="211" t="s">
        <v>668</v>
      </c>
      <c r="B176" s="210" t="s">
        <v>669</v>
      </c>
      <c r="C176" s="210" t="s">
        <v>3886</v>
      </c>
      <c r="D176" s="209">
        <f ca="1">ROUND(INDEX('All Trusts'!$S$7:$S$261,MATCH($A176,'All Trusts'!$B$7:$B$261,0),1),6)</f>
        <v>1.043404</v>
      </c>
    </row>
    <row r="177" spans="1:4" x14ac:dyDescent="0.2">
      <c r="A177" s="211" t="s">
        <v>381</v>
      </c>
      <c r="B177" s="212" t="s">
        <v>382</v>
      </c>
      <c r="C177" s="212" t="s">
        <v>3886</v>
      </c>
      <c r="D177" s="209">
        <f ca="1">ROUND(INDEX('All Trusts'!$S$7:$S$261,MATCH($A177,'All Trusts'!$B$7:$B$261,0),1),6)</f>
        <v>1.1095079999999999</v>
      </c>
    </row>
    <row r="178" spans="1:4" x14ac:dyDescent="0.2">
      <c r="A178" s="211" t="s">
        <v>676</v>
      </c>
      <c r="B178" s="210" t="s">
        <v>677</v>
      </c>
      <c r="C178" s="210" t="s">
        <v>3886</v>
      </c>
      <c r="D178" s="209">
        <f ca="1">ROUND(INDEX('All Trusts'!$S$7:$S$261,MATCH($A178,'All Trusts'!$B$7:$B$261,0),1),6)</f>
        <v>1.1707609999999999</v>
      </c>
    </row>
    <row r="179" spans="1:4" x14ac:dyDescent="0.2">
      <c r="A179" s="211" t="s">
        <v>2347</v>
      </c>
      <c r="B179" s="210" t="s">
        <v>2348</v>
      </c>
      <c r="C179" s="210" t="s">
        <v>3886</v>
      </c>
      <c r="D179" s="209">
        <f ca="1">ROUND(INDEX('All Trusts'!$S$7:$S$261,MATCH($A179,'All Trusts'!$B$7:$B$261,0),1),6)</f>
        <v>1.1404609999999999</v>
      </c>
    </row>
    <row r="180" spans="1:4" x14ac:dyDescent="0.2">
      <c r="A180" s="211" t="s">
        <v>578</v>
      </c>
      <c r="B180" s="210" t="s">
        <v>579</v>
      </c>
      <c r="C180" s="210" t="s">
        <v>3886</v>
      </c>
      <c r="D180" s="209">
        <f ca="1">ROUND(INDEX('All Trusts'!$S$7:$S$261,MATCH($A180,'All Trusts'!$B$7:$B$261,0),1),6)</f>
        <v>1.057302</v>
      </c>
    </row>
    <row r="181" spans="1:4" x14ac:dyDescent="0.2">
      <c r="A181" s="211" t="s">
        <v>2355</v>
      </c>
      <c r="B181" s="210" t="s">
        <v>2356</v>
      </c>
      <c r="C181" s="210" t="s">
        <v>3886</v>
      </c>
      <c r="D181" s="209">
        <f ca="1">ROUND(INDEX('All Trusts'!$S$7:$S$261,MATCH($A181,'All Trusts'!$B$7:$B$261,0),1),6)</f>
        <v>1.217778</v>
      </c>
    </row>
    <row r="182" spans="1:4" x14ac:dyDescent="0.2">
      <c r="A182" s="211" t="s">
        <v>548</v>
      </c>
      <c r="B182" s="210" t="s">
        <v>549</v>
      </c>
      <c r="C182" s="210" t="s">
        <v>3886</v>
      </c>
      <c r="D182" s="209">
        <f ca="1">ROUND(INDEX('All Trusts'!$S$7:$S$261,MATCH($A182,'All Trusts'!$B$7:$B$261,0),1),6)</f>
        <v>1.1099000000000001</v>
      </c>
    </row>
    <row r="183" spans="1:4" x14ac:dyDescent="0.2">
      <c r="A183" s="211" t="s">
        <v>695</v>
      </c>
      <c r="B183" s="210" t="s">
        <v>696</v>
      </c>
      <c r="C183" s="210" t="s">
        <v>3886</v>
      </c>
      <c r="D183" s="209">
        <f ca="1">ROUND(INDEX('All Trusts'!$S$7:$S$261,MATCH($A183,'All Trusts'!$B$7:$B$261,0),1),6)</f>
        <v>1.037609</v>
      </c>
    </row>
    <row r="184" spans="1:4" x14ac:dyDescent="0.2">
      <c r="A184" s="211" t="s">
        <v>1320</v>
      </c>
      <c r="B184" s="210" t="s">
        <v>3894</v>
      </c>
      <c r="C184" s="210" t="s">
        <v>3886</v>
      </c>
      <c r="D184" s="209">
        <f ca="1">ROUND(INDEX('All Trusts'!$S$7:$S$261,MATCH($A184,'All Trusts'!$B$7:$B$261,0),1),6)</f>
        <v>1.1447780000000001</v>
      </c>
    </row>
    <row r="185" spans="1:4" x14ac:dyDescent="0.2">
      <c r="A185" s="211" t="s">
        <v>2335</v>
      </c>
      <c r="B185" s="210" t="s">
        <v>2336</v>
      </c>
      <c r="C185" s="210" t="s">
        <v>3886</v>
      </c>
      <c r="D185" s="209">
        <f ca="1">ROUND(INDEX('All Trusts'!$S$7:$S$261,MATCH($A185,'All Trusts'!$B$7:$B$261,0),1),6)</f>
        <v>1.0165360000000001</v>
      </c>
    </row>
    <row r="186" spans="1:4" x14ac:dyDescent="0.2">
      <c r="A186" s="211" t="s">
        <v>674</v>
      </c>
      <c r="B186" s="210" t="s">
        <v>675</v>
      </c>
      <c r="C186" s="210" t="s">
        <v>3886</v>
      </c>
      <c r="D186" s="209">
        <f ca="1">ROUND(INDEX('All Trusts'!$S$7:$S$261,MATCH($A186,'All Trusts'!$B$7:$B$261,0),1),6)</f>
        <v>1.0500339999999999</v>
      </c>
    </row>
    <row r="187" spans="1:4" x14ac:dyDescent="0.2">
      <c r="A187" s="211" t="s">
        <v>2275</v>
      </c>
      <c r="B187" s="210" t="s">
        <v>2276</v>
      </c>
      <c r="C187" s="210" t="s">
        <v>3886</v>
      </c>
      <c r="D187" s="209">
        <f ca="1">ROUND(INDEX('All Trusts'!$S$7:$S$261,MATCH($A187,'All Trusts'!$B$7:$B$261,0),1),6)</f>
        <v>1.1504030000000001</v>
      </c>
    </row>
    <row r="188" spans="1:4" x14ac:dyDescent="0.2">
      <c r="A188" s="211" t="s">
        <v>2298</v>
      </c>
      <c r="B188" s="210" t="s">
        <v>2299</v>
      </c>
      <c r="C188" s="210" t="s">
        <v>3886</v>
      </c>
      <c r="D188" s="209">
        <f ca="1">ROUND(INDEX('All Trusts'!$S$7:$S$261,MATCH($A188,'All Trusts'!$B$7:$B$261,0),1),6)</f>
        <v>1.038861</v>
      </c>
    </row>
    <row r="189" spans="1:4" x14ac:dyDescent="0.2">
      <c r="A189" s="211" t="s">
        <v>3678</v>
      </c>
      <c r="B189" s="210" t="s">
        <v>3679</v>
      </c>
      <c r="C189" s="210" t="s">
        <v>3886</v>
      </c>
      <c r="D189" s="209">
        <f ca="1">ROUND(INDEX('All Trusts'!$S$7:$S$261,MATCH($A189,'All Trusts'!$B$7:$B$261,0),1),6)</f>
        <v>1.0387249999999999</v>
      </c>
    </row>
    <row r="190" spans="1:4" x14ac:dyDescent="0.2">
      <c r="A190" s="211" t="s">
        <v>584</v>
      </c>
      <c r="B190" s="210" t="s">
        <v>585</v>
      </c>
      <c r="C190" s="210" t="s">
        <v>3886</v>
      </c>
      <c r="D190" s="209">
        <f ca="1">ROUND(INDEX('All Trusts'!$S$7:$S$261,MATCH($A190,'All Trusts'!$B$7:$B$261,0),1),6)</f>
        <v>1.077078</v>
      </c>
    </row>
    <row r="191" spans="1:4" x14ac:dyDescent="0.2">
      <c r="A191" s="211" t="s">
        <v>592</v>
      </c>
      <c r="B191" s="210" t="s">
        <v>593</v>
      </c>
      <c r="C191" s="210" t="s">
        <v>3886</v>
      </c>
      <c r="D191" s="209">
        <f ca="1">ROUND(INDEX('All Trusts'!$S$7:$S$261,MATCH($A191,'All Trusts'!$B$7:$B$261,0),1),6)</f>
        <v>1.02654</v>
      </c>
    </row>
    <row r="192" spans="1:4" x14ac:dyDescent="0.2">
      <c r="A192" s="211" t="s">
        <v>3674</v>
      </c>
      <c r="B192" s="210" t="s">
        <v>3675</v>
      </c>
      <c r="C192" s="210" t="s">
        <v>3886</v>
      </c>
      <c r="D192" s="209">
        <f ca="1">ROUND(INDEX('All Trusts'!$S$7:$S$261,MATCH($A192,'All Trusts'!$B$7:$B$261,0),1),6)</f>
        <v>1.0293909999999999</v>
      </c>
    </row>
    <row r="193" spans="1:4" x14ac:dyDescent="0.2">
      <c r="A193" s="211" t="s">
        <v>415</v>
      </c>
      <c r="B193" s="210" t="s">
        <v>653</v>
      </c>
      <c r="C193" s="210" t="s">
        <v>3886</v>
      </c>
      <c r="D193" s="209">
        <f ca="1">ROUND(INDEX('All Trusts'!$S$7:$S$261,MATCH($A193,'All Trusts'!$B$7:$B$261,0),1),6)</f>
        <v>1.0300240000000001</v>
      </c>
    </row>
    <row r="194" spans="1:4" x14ac:dyDescent="0.2">
      <c r="A194" s="211" t="s">
        <v>3662</v>
      </c>
      <c r="B194" s="210" t="s">
        <v>3663</v>
      </c>
      <c r="C194" s="210" t="s">
        <v>3886</v>
      </c>
      <c r="D194" s="209">
        <f ca="1">ROUND(INDEX('All Trusts'!$S$7:$S$261,MATCH($A194,'All Trusts'!$B$7:$B$261,0),1),6)</f>
        <v>1.046667</v>
      </c>
    </row>
    <row r="195" spans="1:4" x14ac:dyDescent="0.2">
      <c r="A195" s="211" t="s">
        <v>705</v>
      </c>
      <c r="B195" s="210" t="s">
        <v>706</v>
      </c>
      <c r="C195" s="210" t="s">
        <v>3886</v>
      </c>
      <c r="D195" s="209">
        <f ca="1">ROUND(INDEX('All Trusts'!$S$7:$S$261,MATCH($A195,'All Trusts'!$B$7:$B$261,0),1),6)</f>
        <v>1.0407580000000001</v>
      </c>
    </row>
    <row r="196" spans="1:4" x14ac:dyDescent="0.2">
      <c r="A196" s="211" t="s">
        <v>2357</v>
      </c>
      <c r="B196" s="210" t="s">
        <v>2358</v>
      </c>
      <c r="C196" s="210" t="s">
        <v>3886</v>
      </c>
      <c r="D196" s="209">
        <f ca="1">ROUND(INDEX('All Trusts'!$S$7:$S$261,MATCH($A196,'All Trusts'!$B$7:$B$261,0),1),6)</f>
        <v>1.0406759999999999</v>
      </c>
    </row>
    <row r="197" spans="1:4" x14ac:dyDescent="0.2">
      <c r="A197" s="211" t="s">
        <v>2318</v>
      </c>
      <c r="B197" s="210" t="s">
        <v>2319</v>
      </c>
      <c r="C197" s="210" t="s">
        <v>3886</v>
      </c>
      <c r="D197" s="209">
        <f ca="1">ROUND(INDEX('All Trusts'!$S$7:$S$261,MATCH($A197,'All Trusts'!$B$7:$B$261,0),1),6)</f>
        <v>1.042513</v>
      </c>
    </row>
    <row r="198" spans="1:4" x14ac:dyDescent="0.2">
      <c r="A198" s="211" t="s">
        <v>2361</v>
      </c>
      <c r="B198" s="210" t="s">
        <v>1312</v>
      </c>
      <c r="C198" s="210" t="s">
        <v>3886</v>
      </c>
      <c r="D198" s="209">
        <f ca="1">ROUND(INDEX('All Trusts'!$S$7:$S$261,MATCH($A198,'All Trusts'!$B$7:$B$261,0),1),6)</f>
        <v>1.044089</v>
      </c>
    </row>
    <row r="199" spans="1:4" x14ac:dyDescent="0.2">
      <c r="A199" s="211" t="s">
        <v>3708</v>
      </c>
      <c r="B199" s="210" t="s">
        <v>3893</v>
      </c>
      <c r="C199" s="210" t="s">
        <v>3886</v>
      </c>
      <c r="D199" s="209">
        <f ca="1">ROUND(INDEX('All Trusts'!$S$7:$S$261,MATCH($A199,'All Trusts'!$B$7:$B$261,0),1),6)</f>
        <v>1.0342530000000001</v>
      </c>
    </row>
    <row r="200" spans="1:4" x14ac:dyDescent="0.2">
      <c r="A200" s="211" t="s">
        <v>397</v>
      </c>
      <c r="B200" s="210" t="s">
        <v>398</v>
      </c>
      <c r="C200" s="210" t="s">
        <v>3886</v>
      </c>
      <c r="D200" s="209">
        <f ca="1">ROUND(INDEX('All Trusts'!$S$7:$S$261,MATCH($A200,'All Trusts'!$B$7:$B$261,0),1),6)</f>
        <v>1.0406010000000001</v>
      </c>
    </row>
    <row r="201" spans="1:4" x14ac:dyDescent="0.2">
      <c r="A201" s="211" t="s">
        <v>564</v>
      </c>
      <c r="B201" s="210" t="s">
        <v>565</v>
      </c>
      <c r="C201" s="210" t="s">
        <v>3886</v>
      </c>
      <c r="D201" s="209">
        <f ca="1">ROUND(INDEX('All Trusts'!$S$7:$S$261,MATCH($A201,'All Trusts'!$B$7:$B$261,0),1),6)</f>
        <v>1.0371360000000001</v>
      </c>
    </row>
    <row r="202" spans="1:4" x14ac:dyDescent="0.2">
      <c r="A202" s="211" t="s">
        <v>2292</v>
      </c>
      <c r="B202" s="210" t="s">
        <v>2293</v>
      </c>
      <c r="C202" s="210" t="s">
        <v>3886</v>
      </c>
      <c r="D202" s="209">
        <f ca="1">ROUND(INDEX('All Trusts'!$S$7:$S$261,MATCH($A202,'All Trusts'!$B$7:$B$261,0),1),6)</f>
        <v>1.0743910000000001</v>
      </c>
    </row>
    <row r="203" spans="1:4" x14ac:dyDescent="0.2">
      <c r="A203" s="211" t="s">
        <v>3736</v>
      </c>
      <c r="B203" s="210" t="s">
        <v>2769</v>
      </c>
      <c r="C203" s="210" t="s">
        <v>3886</v>
      </c>
      <c r="D203" s="209">
        <f ca="1">ROUND(INDEX('All Trusts'!$S$7:$S$261,MATCH($A203,'All Trusts'!$B$7:$B$261,0),1),6)</f>
        <v>1.040565</v>
      </c>
    </row>
    <row r="204" spans="1:4" x14ac:dyDescent="0.2">
      <c r="A204" s="211" t="s">
        <v>2285</v>
      </c>
      <c r="B204" s="210" t="s">
        <v>1313</v>
      </c>
      <c r="C204" s="210" t="s">
        <v>3886</v>
      </c>
      <c r="D204" s="209">
        <f ca="1">ROUND(INDEX('All Trusts'!$S$7:$S$261,MATCH($A204,'All Trusts'!$B$7:$B$261,0),1),6)</f>
        <v>1.0265070000000001</v>
      </c>
    </row>
    <row r="205" spans="1:4" x14ac:dyDescent="0.2">
      <c r="A205" s="211" t="s">
        <v>2333</v>
      </c>
      <c r="B205" s="210" t="s">
        <v>1314</v>
      </c>
      <c r="C205" s="210" t="s">
        <v>3886</v>
      </c>
      <c r="D205" s="209">
        <f ca="1">ROUND(INDEX('All Trusts'!$S$7:$S$261,MATCH($A205,'All Trusts'!$B$7:$B$261,0),1),6)</f>
        <v>1.033263</v>
      </c>
    </row>
    <row r="206" spans="1:4" x14ac:dyDescent="0.2">
      <c r="A206" s="211" t="s">
        <v>359</v>
      </c>
      <c r="B206" s="210" t="s">
        <v>360</v>
      </c>
      <c r="C206" s="210" t="s">
        <v>3886</v>
      </c>
      <c r="D206" s="209">
        <f ca="1">ROUND(INDEX('All Trusts'!$S$7:$S$261,MATCH($A206,'All Trusts'!$B$7:$B$261,0),1),6)</f>
        <v>1.0354110000000001</v>
      </c>
    </row>
    <row r="207" spans="1:4" x14ac:dyDescent="0.2">
      <c r="A207" s="211" t="s">
        <v>5</v>
      </c>
      <c r="B207" s="210" t="s">
        <v>6</v>
      </c>
      <c r="C207" s="210" t="s">
        <v>3886</v>
      </c>
      <c r="D207" s="209">
        <f ca="1">ROUND(INDEX('All Trusts'!$S$7:$S$261,MATCH($A207,'All Trusts'!$B$7:$B$261,0),1),6)</f>
        <v>1.027841</v>
      </c>
    </row>
    <row r="208" spans="1:4" x14ac:dyDescent="0.2">
      <c r="A208" s="211" t="s">
        <v>2294</v>
      </c>
      <c r="B208" s="210" t="s">
        <v>1315</v>
      </c>
      <c r="C208" s="210" t="s">
        <v>3886</v>
      </c>
      <c r="D208" s="209">
        <f ca="1">ROUND(INDEX('All Trusts'!$S$7:$S$261,MATCH($A208,'All Trusts'!$B$7:$B$261,0),1),6)</f>
        <v>1.144177</v>
      </c>
    </row>
    <row r="209" spans="1:4" x14ac:dyDescent="0.2">
      <c r="A209" s="211" t="s">
        <v>2353</v>
      </c>
      <c r="B209" s="210" t="s">
        <v>2354</v>
      </c>
      <c r="C209" s="210" t="s">
        <v>3886</v>
      </c>
      <c r="D209" s="209">
        <f ca="1">ROUND(INDEX('All Trusts'!$S$7:$S$261,MATCH($A209,'All Trusts'!$B$7:$B$261,0),1),6)</f>
        <v>1.0324979999999999</v>
      </c>
    </row>
    <row r="210" spans="1:4" x14ac:dyDescent="0.2">
      <c r="A210" s="211" t="s">
        <v>2277</v>
      </c>
      <c r="B210" s="210" t="s">
        <v>2278</v>
      </c>
      <c r="C210" s="210" t="s">
        <v>3886</v>
      </c>
      <c r="D210" s="209">
        <f ca="1">ROUND(INDEX('All Trusts'!$S$7:$S$261,MATCH($A210,'All Trusts'!$B$7:$B$261,0),1),6)</f>
        <v>1.0453330000000001</v>
      </c>
    </row>
    <row r="211" spans="1:4" x14ac:dyDescent="0.2">
      <c r="A211" s="211" t="s">
        <v>2379</v>
      </c>
      <c r="B211" s="210" t="s">
        <v>2380</v>
      </c>
      <c r="C211" s="210" t="s">
        <v>3886</v>
      </c>
      <c r="D211" s="209">
        <f ca="1">ROUND(INDEX('All Trusts'!$S$7:$S$261,MATCH($A211,'All Trusts'!$B$7:$B$261,0),1),6)</f>
        <v>1.0502480000000001</v>
      </c>
    </row>
    <row r="212" spans="1:4" x14ac:dyDescent="0.2">
      <c r="A212" s="211" t="s">
        <v>2782</v>
      </c>
      <c r="B212" s="210" t="s">
        <v>2783</v>
      </c>
      <c r="C212" s="210" t="s">
        <v>3886</v>
      </c>
      <c r="D212" s="209">
        <f ca="1">ROUND(INDEX('All Trusts'!$S$7:$S$261,MATCH($A212,'All Trusts'!$B$7:$B$261,0),1),6)</f>
        <v>1.0262500000000001</v>
      </c>
    </row>
    <row r="213" spans="1:4" x14ac:dyDescent="0.2">
      <c r="A213" s="211" t="s">
        <v>580</v>
      </c>
      <c r="B213" s="210" t="s">
        <v>581</v>
      </c>
      <c r="C213" s="210" t="s">
        <v>3886</v>
      </c>
      <c r="D213" s="209">
        <f ca="1">ROUND(INDEX('All Trusts'!$S$7:$S$261,MATCH($A213,'All Trusts'!$B$7:$B$261,0),1),6)</f>
        <v>1.171362</v>
      </c>
    </row>
    <row r="214" spans="1:4" x14ac:dyDescent="0.2">
      <c r="A214" s="211" t="s">
        <v>1338</v>
      </c>
      <c r="B214" s="210" t="s">
        <v>1339</v>
      </c>
      <c r="C214" s="210" t="s">
        <v>3886</v>
      </c>
      <c r="D214" s="209">
        <f ca="1">ROUND(INDEX('All Trusts'!$S$7:$S$261,MATCH($A214,'All Trusts'!$B$7:$B$261,0),1),6)</f>
        <v>1.0973949999999999</v>
      </c>
    </row>
    <row r="215" spans="1:4" x14ac:dyDescent="0.2">
      <c r="A215" s="211" t="s">
        <v>371</v>
      </c>
      <c r="B215" s="210" t="s">
        <v>372</v>
      </c>
      <c r="C215" s="210" t="s">
        <v>3886</v>
      </c>
      <c r="D215" s="209">
        <f ca="1">ROUND(INDEX('All Trusts'!$S$7:$S$261,MATCH($A215,'All Trusts'!$B$7:$B$261,0),1),6)</f>
        <v>1.0439719999999999</v>
      </c>
    </row>
    <row r="216" spans="1:4" x14ac:dyDescent="0.2">
      <c r="A216" s="211" t="s">
        <v>2291</v>
      </c>
      <c r="B216" s="210" t="s">
        <v>3892</v>
      </c>
      <c r="C216" s="210" t="s">
        <v>3886</v>
      </c>
      <c r="D216" s="209">
        <f ca="1">ROUND(INDEX('All Trusts'!$S$7:$S$261,MATCH($A216,'All Trusts'!$B$7:$B$261,0),1),6)</f>
        <v>1.0410710000000001</v>
      </c>
    </row>
    <row r="217" spans="1:4" x14ac:dyDescent="0.2">
      <c r="A217" s="211" t="s">
        <v>409</v>
      </c>
      <c r="B217" s="210" t="s">
        <v>410</v>
      </c>
      <c r="C217" s="210" t="s">
        <v>3886</v>
      </c>
      <c r="D217" s="209">
        <f ca="1">ROUND(INDEX('All Trusts'!$S$7:$S$261,MATCH($A217,'All Trusts'!$B$7:$B$261,0),1),6)</f>
        <v>1.0192870000000001</v>
      </c>
    </row>
    <row r="218" spans="1:4" x14ac:dyDescent="0.2">
      <c r="A218" s="211" t="s">
        <v>1318</v>
      </c>
      <c r="B218" s="210" t="s">
        <v>1319</v>
      </c>
      <c r="C218" s="210" t="s">
        <v>3886</v>
      </c>
      <c r="D218" s="209">
        <f ca="1">ROUND(INDEX('All Trusts'!$S$7:$S$261,MATCH($A218,'All Trusts'!$B$7:$B$261,0),1),6)</f>
        <v>1.1349210000000001</v>
      </c>
    </row>
    <row r="219" spans="1:4" x14ac:dyDescent="0.2">
      <c r="A219" s="211" t="s">
        <v>367</v>
      </c>
      <c r="B219" s="210" t="s">
        <v>368</v>
      </c>
      <c r="C219" s="210" t="s">
        <v>3886</v>
      </c>
      <c r="D219" s="209">
        <f ca="1">ROUND(INDEX('All Trusts'!$S$7:$S$261,MATCH($A219,'All Trusts'!$B$7:$B$261,0),1),6)</f>
        <v>1.015523</v>
      </c>
    </row>
    <row r="220" spans="1:4" x14ac:dyDescent="0.2">
      <c r="A220" s="211" t="s">
        <v>3513</v>
      </c>
      <c r="B220" s="210" t="s">
        <v>3515</v>
      </c>
      <c r="C220" s="210" t="s">
        <v>3886</v>
      </c>
      <c r="D220" s="209">
        <f ca="1">ROUND(INDEX('All Trusts'!$S$7:$S$261,MATCH($A220,'All Trusts'!$B$7:$B$261,0),1),6)</f>
        <v>1.0503279999999999</v>
      </c>
    </row>
    <row r="221" spans="1:4" x14ac:dyDescent="0.2">
      <c r="A221" s="211" t="s">
        <v>691</v>
      </c>
      <c r="B221" s="210" t="s">
        <v>692</v>
      </c>
      <c r="C221" s="210" t="s">
        <v>3886</v>
      </c>
      <c r="D221" s="209">
        <f ca="1">ROUND(INDEX('All Trusts'!$S$7:$S$261,MATCH($A221,'All Trusts'!$B$7:$B$261,0),1),6)</f>
        <v>1.039936</v>
      </c>
    </row>
    <row r="222" spans="1:4" x14ac:dyDescent="0.2">
      <c r="A222" s="211" t="s">
        <v>2331</v>
      </c>
      <c r="B222" s="210" t="s">
        <v>3891</v>
      </c>
      <c r="C222" s="210" t="s">
        <v>3886</v>
      </c>
      <c r="D222" s="209">
        <f ca="1">ROUND(INDEX('All Trusts'!$S$7:$S$261,MATCH($A222,'All Trusts'!$B$7:$B$261,0),1),6)</f>
        <v>1.0320549999999999</v>
      </c>
    </row>
    <row r="223" spans="1:4" x14ac:dyDescent="0.2">
      <c r="A223" s="211" t="s">
        <v>1326</v>
      </c>
      <c r="B223" s="210" t="s">
        <v>1327</v>
      </c>
      <c r="C223" s="210" t="s">
        <v>3886</v>
      </c>
      <c r="D223" s="209">
        <f ca="1">ROUND(INDEX('All Trusts'!$S$7:$S$261,MATCH($A223,'All Trusts'!$B$7:$B$261,0),1),6)</f>
        <v>1.179365</v>
      </c>
    </row>
    <row r="224" spans="1:4" x14ac:dyDescent="0.2">
      <c r="A224" s="211" t="s">
        <v>682</v>
      </c>
      <c r="B224" s="210" t="s">
        <v>648</v>
      </c>
      <c r="C224" s="210" t="s">
        <v>3886</v>
      </c>
      <c r="D224" s="209">
        <f ca="1">ROUND(INDEX('All Trusts'!$S$7:$S$261,MATCH($A224,'All Trusts'!$B$7:$B$261,0),1),6)</f>
        <v>1.040278</v>
      </c>
    </row>
    <row r="225" spans="1:4" x14ac:dyDescent="0.2">
      <c r="A225" s="211" t="s">
        <v>2359</v>
      </c>
      <c r="B225" s="210" t="s">
        <v>2360</v>
      </c>
      <c r="C225" s="210" t="s">
        <v>3886</v>
      </c>
      <c r="D225" s="209">
        <f ca="1">ROUND(INDEX('All Trusts'!$S$7:$S$261,MATCH($A225,'All Trusts'!$B$7:$B$261,0),1),6)</f>
        <v>1.078589</v>
      </c>
    </row>
    <row r="226" spans="1:4" x14ac:dyDescent="0.2">
      <c r="A226" s="211" t="s">
        <v>547</v>
      </c>
      <c r="B226" s="210" t="s">
        <v>656</v>
      </c>
      <c r="C226" s="210" t="s">
        <v>3886</v>
      </c>
      <c r="D226" s="209">
        <f ca="1">ROUND(INDEX('All Trusts'!$S$7:$S$261,MATCH($A226,'All Trusts'!$B$7:$B$261,0),1),6)</f>
        <v>1.094557</v>
      </c>
    </row>
    <row r="227" spans="1:4" x14ac:dyDescent="0.2">
      <c r="A227" s="211" t="s">
        <v>2789</v>
      </c>
      <c r="B227" s="210" t="s">
        <v>655</v>
      </c>
      <c r="C227" s="210" t="s">
        <v>3886</v>
      </c>
      <c r="D227" s="209">
        <f ca="1">ROUND(INDEX('All Trusts'!$S$7:$S$261,MATCH($A227,'All Trusts'!$B$7:$B$261,0),1),6)</f>
        <v>1.1182989999999999</v>
      </c>
    </row>
    <row r="228" spans="1:4" x14ac:dyDescent="0.2">
      <c r="A228" s="215" t="s">
        <v>566</v>
      </c>
      <c r="B228" s="214" t="s">
        <v>649</v>
      </c>
      <c r="C228" s="214" t="s">
        <v>3886</v>
      </c>
      <c r="D228" s="213">
        <f ca="1">ROUND(INDEX('All Trusts'!$S$7:$S$261,MATCH($A228,'All Trusts'!$B$7:$B$261,0),1),6)</f>
        <v>1.048556</v>
      </c>
    </row>
    <row r="229" spans="1:4" x14ac:dyDescent="0.2">
      <c r="A229" s="211" t="s">
        <v>7</v>
      </c>
      <c r="B229" s="210" t="s">
        <v>8</v>
      </c>
      <c r="C229" s="210" t="s">
        <v>3886</v>
      </c>
      <c r="D229" s="209">
        <f ca="1">ROUND(INDEX('All Trusts'!$S$7:$S$261,MATCH($A229,'All Trusts'!$B$7:$B$261,0),1),6)</f>
        <v>1.054529</v>
      </c>
    </row>
    <row r="230" spans="1:4" x14ac:dyDescent="0.2">
      <c r="A230" s="211" t="s">
        <v>1332</v>
      </c>
      <c r="B230" s="210" t="s">
        <v>1333</v>
      </c>
      <c r="C230" s="210" t="s">
        <v>3886</v>
      </c>
      <c r="D230" s="209">
        <f ca="1">ROUND(INDEX('All Trusts'!$S$7:$S$261,MATCH($A230,'All Trusts'!$B$7:$B$261,0),1),6)</f>
        <v>1.241725</v>
      </c>
    </row>
    <row r="231" spans="1:4" x14ac:dyDescent="0.2">
      <c r="A231" s="211" t="s">
        <v>2343</v>
      </c>
      <c r="B231" s="210" t="s">
        <v>2344</v>
      </c>
      <c r="C231" s="210" t="s">
        <v>3886</v>
      </c>
      <c r="D231" s="209">
        <f ca="1">ROUND(INDEX('All Trusts'!$S$7:$S$261,MATCH($A231,'All Trusts'!$B$7:$B$261,0),1),6)</f>
        <v>1.0368900000000001</v>
      </c>
    </row>
    <row r="232" spans="1:4" x14ac:dyDescent="0.2">
      <c r="A232" s="211" t="s">
        <v>685</v>
      </c>
      <c r="B232" s="210" t="s">
        <v>3890</v>
      </c>
      <c r="C232" s="210" t="s">
        <v>3886</v>
      </c>
      <c r="D232" s="209">
        <f ca="1">ROUND(INDEX('All Trusts'!$S$7:$S$261,MATCH($A232,'All Trusts'!$B$7:$B$261,0),1),6)</f>
        <v>1.080908</v>
      </c>
    </row>
    <row r="233" spans="1:4" x14ac:dyDescent="0.2">
      <c r="A233" s="211" t="s">
        <v>2306</v>
      </c>
      <c r="B233" s="210" t="s">
        <v>2307</v>
      </c>
      <c r="C233" s="210" t="s">
        <v>3886</v>
      </c>
      <c r="D233" s="209">
        <f ca="1">ROUND(INDEX('All Trusts'!$S$7:$S$261,MATCH($A233,'All Trusts'!$B$7:$B$261,0),1),6)</f>
        <v>1.0927450000000001</v>
      </c>
    </row>
    <row r="234" spans="1:4" x14ac:dyDescent="0.2">
      <c r="A234" s="211" t="s">
        <v>2281</v>
      </c>
      <c r="B234" s="210" t="s">
        <v>2282</v>
      </c>
      <c r="C234" s="210" t="s">
        <v>3886</v>
      </c>
      <c r="D234" s="209">
        <f ca="1">ROUND(INDEX('All Trusts'!$S$7:$S$261,MATCH($A234,'All Trusts'!$B$7:$B$261,0),1),6)</f>
        <v>1.0566899999999999</v>
      </c>
    </row>
    <row r="235" spans="1:4" x14ac:dyDescent="0.2">
      <c r="A235" s="211" t="s">
        <v>2312</v>
      </c>
      <c r="B235" s="210" t="s">
        <v>2313</v>
      </c>
      <c r="C235" s="210" t="s">
        <v>3886</v>
      </c>
      <c r="D235" s="209">
        <f ca="1">ROUND(INDEX('All Trusts'!$S$7:$S$261,MATCH($A235,'All Trusts'!$B$7:$B$261,0),1),6)</f>
        <v>1.231257</v>
      </c>
    </row>
    <row r="236" spans="1:4" x14ac:dyDescent="0.2">
      <c r="A236" s="211" t="s">
        <v>1340</v>
      </c>
      <c r="B236" s="210" t="s">
        <v>3889</v>
      </c>
      <c r="C236" s="210" t="s">
        <v>3886</v>
      </c>
      <c r="D236" s="209">
        <f ca="1">ROUND(INDEX('All Trusts'!$S$7:$S$261,MATCH($A236,'All Trusts'!$B$7:$B$261,0),1),6)</f>
        <v>1.0733189999999999</v>
      </c>
    </row>
    <row r="237" spans="1:4" x14ac:dyDescent="0.2">
      <c r="A237" s="211" t="s">
        <v>2287</v>
      </c>
      <c r="B237" s="210" t="s">
        <v>3888</v>
      </c>
      <c r="C237" s="210" t="s">
        <v>3886</v>
      </c>
      <c r="D237" s="209">
        <f ca="1">ROUND(INDEX('All Trusts'!$S$7:$S$261,MATCH($A237,'All Trusts'!$B$7:$B$261,0),1),6)</f>
        <v>1.033892</v>
      </c>
    </row>
    <row r="238" spans="1:4" x14ac:dyDescent="0.2">
      <c r="A238" s="211" t="s">
        <v>383</v>
      </c>
      <c r="B238" s="210" t="s">
        <v>384</v>
      </c>
      <c r="C238" s="210" t="s">
        <v>3886</v>
      </c>
      <c r="D238" s="209">
        <f ca="1">ROUND(INDEX('All Trusts'!$S$7:$S$261,MATCH($A238,'All Trusts'!$B$7:$B$261,0),1),6)</f>
        <v>1.0565420000000001</v>
      </c>
    </row>
    <row r="239" spans="1:4" x14ac:dyDescent="0.2">
      <c r="A239" s="211" t="s">
        <v>2308</v>
      </c>
      <c r="B239" s="210" t="s">
        <v>2053</v>
      </c>
      <c r="C239" s="210" t="s">
        <v>3886</v>
      </c>
      <c r="D239" s="209">
        <f ca="1">ROUND(INDEX('All Trusts'!$S$7:$S$261,MATCH($A239,'All Trusts'!$B$7:$B$261,0),1),6)</f>
        <v>1.2232270000000001</v>
      </c>
    </row>
    <row r="240" spans="1:4" x14ac:dyDescent="0.2">
      <c r="A240" s="211" t="s">
        <v>2774</v>
      </c>
      <c r="B240" s="210" t="s">
        <v>3887</v>
      </c>
      <c r="C240" s="210" t="s">
        <v>3886</v>
      </c>
      <c r="D240" s="209">
        <f ca="1">ROUND(INDEX('All Trusts'!$S$7:$S$261,MATCH($A240,'All Trusts'!$B$7:$B$261,0),1),6)</f>
        <v>1.0305</v>
      </c>
    </row>
    <row r="241" spans="1:4" ht="13.5" thickBot="1" x14ac:dyDescent="0.25">
      <c r="A241" s="208" t="s">
        <v>2770</v>
      </c>
      <c r="B241" s="207" t="s">
        <v>2394</v>
      </c>
      <c r="C241" s="207" t="s">
        <v>3886</v>
      </c>
      <c r="D241" s="206">
        <f ca="1">ROUND(INDEX('All Trusts'!$S$7:$S$261,MATCH($A241,'All Trusts'!$B$7:$B$261,0),1),6)</f>
        <v>1.0391919999999999</v>
      </c>
    </row>
  </sheetData>
  <autoFilter ref="A3:D241"/>
  <mergeCells count="1">
    <mergeCell ref="A1:B1"/>
  </mergeCells>
  <pageMargins left="0.74803149606299213" right="0.74803149606299213" top="0.98425196850393704" bottom="0.98425196850393704" header="0.51181102362204722" footer="0.51181102362204722"/>
  <pageSetup paperSize="9" scale="90" fitToHeight="0" orientation="portrait" r:id="rId1"/>
  <headerFooter alignWithMargins="0">
    <oddFooter>&amp;R&amp;P of &amp;N</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E185"/>
  <sheetViews>
    <sheetView workbookViewId="0"/>
  </sheetViews>
  <sheetFormatPr defaultRowHeight="12.75" x14ac:dyDescent="0.2"/>
  <cols>
    <col min="1" max="1" width="36.5703125" bestFit="1" customWidth="1"/>
    <col min="2" max="2" width="24.140625" customWidth="1"/>
    <col min="3" max="3" width="20.28515625" customWidth="1"/>
    <col min="4" max="5" width="12.7109375" bestFit="1" customWidth="1"/>
  </cols>
  <sheetData>
    <row r="1" spans="1:3" ht="12.75" customHeight="1" x14ac:dyDescent="0.2">
      <c r="A1" s="367" t="s">
        <v>4151</v>
      </c>
      <c r="B1" s="684" t="s">
        <v>396</v>
      </c>
      <c r="C1" s="685"/>
    </row>
    <row r="2" spans="1:3" ht="12.75" customHeight="1" x14ac:dyDescent="0.2">
      <c r="A2" s="367" t="s">
        <v>4150</v>
      </c>
      <c r="B2" s="684" t="s">
        <v>395</v>
      </c>
      <c r="C2" s="685"/>
    </row>
    <row r="3" spans="1:3" ht="12.75" customHeight="1" x14ac:dyDescent="0.2">
      <c r="A3" s="367" t="s">
        <v>4149</v>
      </c>
      <c r="B3" s="684" t="s">
        <v>4148</v>
      </c>
      <c r="C3" s="685"/>
    </row>
    <row r="4" spans="1:3" ht="25.5" customHeight="1" x14ac:dyDescent="0.2">
      <c r="A4" s="367" t="s">
        <v>4147</v>
      </c>
      <c r="B4" s="684" t="s">
        <v>4146</v>
      </c>
      <c r="C4" s="685"/>
    </row>
    <row r="5" spans="1:3" ht="12.75" customHeight="1" x14ac:dyDescent="0.2">
      <c r="A5" s="367" t="s">
        <v>4145</v>
      </c>
      <c r="B5" s="684" t="s">
        <v>4144</v>
      </c>
      <c r="C5" s="685"/>
    </row>
    <row r="6" spans="1:3" ht="12.75" customHeight="1" x14ac:dyDescent="0.2">
      <c r="A6" s="367" t="s">
        <v>4143</v>
      </c>
      <c r="B6" s="684" t="s">
        <v>4142</v>
      </c>
      <c r="C6" s="685"/>
    </row>
    <row r="7" spans="1:3" x14ac:dyDescent="0.2">
      <c r="A7" s="356"/>
    </row>
    <row r="8" spans="1:3" x14ac:dyDescent="0.2">
      <c r="A8" s="355" t="s">
        <v>4141</v>
      </c>
      <c r="B8" s="355" t="s">
        <v>3995</v>
      </c>
      <c r="C8" s="355" t="s">
        <v>4093</v>
      </c>
    </row>
    <row r="9" spans="1:3" x14ac:dyDescent="0.2">
      <c r="A9" s="354" t="s">
        <v>4073</v>
      </c>
      <c r="B9" s="365" t="s">
        <v>3997</v>
      </c>
      <c r="C9" s="364">
        <v>358</v>
      </c>
    </row>
    <row r="10" spans="1:3" x14ac:dyDescent="0.2">
      <c r="A10" s="354" t="s">
        <v>4075</v>
      </c>
      <c r="B10" s="365" t="s">
        <v>3997</v>
      </c>
      <c r="C10" s="364">
        <v>427</v>
      </c>
    </row>
    <row r="11" spans="1:3" x14ac:dyDescent="0.2">
      <c r="A11" s="360" t="s">
        <v>4140</v>
      </c>
      <c r="B11" s="365" t="s">
        <v>3997</v>
      </c>
      <c r="C11" s="364">
        <v>2</v>
      </c>
    </row>
    <row r="12" spans="1:3" x14ac:dyDescent="0.2">
      <c r="A12" s="360" t="s">
        <v>4139</v>
      </c>
      <c r="B12" s="365" t="s">
        <v>3997</v>
      </c>
      <c r="C12" s="364">
        <v>0</v>
      </c>
    </row>
    <row r="13" spans="1:3" ht="25.5" x14ac:dyDescent="0.2">
      <c r="A13" s="360" t="s">
        <v>4138</v>
      </c>
      <c r="B13" s="365" t="s">
        <v>3997</v>
      </c>
      <c r="C13" s="364">
        <v>0</v>
      </c>
    </row>
    <row r="14" spans="1:3" x14ac:dyDescent="0.2">
      <c r="A14" s="360" t="s">
        <v>4137</v>
      </c>
      <c r="B14" s="365" t="s">
        <v>3997</v>
      </c>
      <c r="C14" s="364">
        <v>0</v>
      </c>
    </row>
    <row r="15" spans="1:3" x14ac:dyDescent="0.2">
      <c r="A15" s="360" t="s">
        <v>4136</v>
      </c>
      <c r="B15" s="365" t="s">
        <v>3997</v>
      </c>
      <c r="C15" s="364">
        <v>0</v>
      </c>
    </row>
    <row r="16" spans="1:3" x14ac:dyDescent="0.2">
      <c r="A16" s="360" t="s">
        <v>4135</v>
      </c>
      <c r="B16" s="365" t="s">
        <v>3997</v>
      </c>
      <c r="C16" s="364">
        <v>0</v>
      </c>
    </row>
    <row r="17" spans="1:3" x14ac:dyDescent="0.2">
      <c r="A17" s="360" t="s">
        <v>4134</v>
      </c>
      <c r="B17" s="365" t="s">
        <v>3997</v>
      </c>
      <c r="C17" s="364">
        <v>0</v>
      </c>
    </row>
    <row r="18" spans="1:3" x14ac:dyDescent="0.2">
      <c r="A18" s="360" t="s">
        <v>4133</v>
      </c>
      <c r="B18" s="365" t="s">
        <v>3997</v>
      </c>
      <c r="C18" s="364">
        <v>0</v>
      </c>
    </row>
    <row r="19" spans="1:3" x14ac:dyDescent="0.2">
      <c r="A19" s="360" t="s">
        <v>4132</v>
      </c>
      <c r="B19" s="365" t="s">
        <v>3997</v>
      </c>
      <c r="C19" s="364">
        <v>2</v>
      </c>
    </row>
    <row r="20" spans="1:3" x14ac:dyDescent="0.2">
      <c r="A20" s="360" t="s">
        <v>4131</v>
      </c>
      <c r="B20" s="365" t="s">
        <v>3997</v>
      </c>
      <c r="C20" s="364">
        <v>0</v>
      </c>
    </row>
    <row r="21" spans="1:3" x14ac:dyDescent="0.2">
      <c r="A21" s="354" t="s">
        <v>4130</v>
      </c>
      <c r="B21" s="365" t="s">
        <v>3997</v>
      </c>
      <c r="C21" s="364">
        <v>4</v>
      </c>
    </row>
    <row r="22" spans="1:3" ht="25.5" x14ac:dyDescent="0.2">
      <c r="A22" s="360" t="s">
        <v>4129</v>
      </c>
      <c r="B22" s="365" t="s">
        <v>3997</v>
      </c>
      <c r="C22" s="364">
        <v>0</v>
      </c>
    </row>
    <row r="23" spans="1:3" x14ac:dyDescent="0.2">
      <c r="A23" s="360" t="s">
        <v>4128</v>
      </c>
      <c r="B23" s="365" t="s">
        <v>4006</v>
      </c>
      <c r="C23" s="366" t="s">
        <v>3833</v>
      </c>
    </row>
    <row r="24" spans="1:3" x14ac:dyDescent="0.2">
      <c r="A24" s="356"/>
    </row>
    <row r="25" spans="1:3" x14ac:dyDescent="0.2">
      <c r="A25" s="355" t="s">
        <v>4127</v>
      </c>
      <c r="B25" s="355" t="s">
        <v>3995</v>
      </c>
      <c r="C25" s="355" t="s">
        <v>4093</v>
      </c>
    </row>
    <row r="26" spans="1:3" ht="25.5" x14ac:dyDescent="0.2">
      <c r="A26" s="360" t="s">
        <v>4126</v>
      </c>
      <c r="B26" s="365" t="s">
        <v>3944</v>
      </c>
      <c r="C26" s="363">
        <v>25</v>
      </c>
    </row>
    <row r="27" spans="1:3" x14ac:dyDescent="0.2">
      <c r="A27" s="360" t="s">
        <v>4125</v>
      </c>
      <c r="B27" s="365" t="s">
        <v>3999</v>
      </c>
      <c r="C27" s="364">
        <v>3919972</v>
      </c>
    </row>
    <row r="28" spans="1:3" x14ac:dyDescent="0.2">
      <c r="A28" s="356"/>
    </row>
    <row r="29" spans="1:3" x14ac:dyDescent="0.2">
      <c r="A29" s="355" t="s">
        <v>4124</v>
      </c>
      <c r="B29" s="355" t="s">
        <v>3995</v>
      </c>
      <c r="C29" s="355" t="s">
        <v>4093</v>
      </c>
    </row>
    <row r="30" spans="1:3" x14ac:dyDescent="0.2">
      <c r="A30" s="360" t="s">
        <v>4123</v>
      </c>
      <c r="B30" s="365" t="s">
        <v>3999</v>
      </c>
      <c r="C30" s="364">
        <v>5095000</v>
      </c>
    </row>
    <row r="31" spans="1:3" x14ac:dyDescent="0.2">
      <c r="A31" s="360" t="s">
        <v>4122</v>
      </c>
      <c r="B31" s="365" t="s">
        <v>3999</v>
      </c>
      <c r="C31" s="364">
        <v>14659134</v>
      </c>
    </row>
    <row r="32" spans="1:3" x14ac:dyDescent="0.2">
      <c r="A32" s="360" t="s">
        <v>4121</v>
      </c>
      <c r="B32" s="365" t="s">
        <v>3999</v>
      </c>
      <c r="C32" s="364">
        <v>8414713</v>
      </c>
    </row>
    <row r="33" spans="1:3" ht="25.5" x14ac:dyDescent="0.2">
      <c r="A33" s="360" t="s">
        <v>4120</v>
      </c>
      <c r="B33" s="365" t="s">
        <v>3999</v>
      </c>
      <c r="C33" s="364">
        <v>1036000</v>
      </c>
    </row>
    <row r="34" spans="1:3" x14ac:dyDescent="0.2">
      <c r="A34" s="356"/>
    </row>
    <row r="35" spans="1:3" x14ac:dyDescent="0.2">
      <c r="A35" s="355" t="s">
        <v>2734</v>
      </c>
      <c r="B35" s="355" t="s">
        <v>3995</v>
      </c>
      <c r="C35" s="355" t="s">
        <v>4093</v>
      </c>
    </row>
    <row r="36" spans="1:3" x14ac:dyDescent="0.2">
      <c r="A36" s="357" t="s">
        <v>4119</v>
      </c>
      <c r="B36" s="365" t="s">
        <v>4100</v>
      </c>
      <c r="C36" s="364">
        <v>2300</v>
      </c>
    </row>
    <row r="37" spans="1:3" ht="25.5" x14ac:dyDescent="0.2">
      <c r="A37" s="357" t="s">
        <v>4118</v>
      </c>
      <c r="B37" s="365" t="s">
        <v>4100</v>
      </c>
      <c r="C37" s="364">
        <v>45</v>
      </c>
    </row>
    <row r="38" spans="1:3" ht="25.5" x14ac:dyDescent="0.2">
      <c r="A38" s="357" t="s">
        <v>4117</v>
      </c>
      <c r="B38" s="365" t="s">
        <v>4100</v>
      </c>
      <c r="C38" s="364">
        <v>214</v>
      </c>
    </row>
    <row r="39" spans="1:3" ht="25.5" x14ac:dyDescent="0.2">
      <c r="A39" s="357" t="s">
        <v>4116</v>
      </c>
      <c r="B39" s="365" t="s">
        <v>3944</v>
      </c>
      <c r="C39" s="363">
        <v>30</v>
      </c>
    </row>
    <row r="40" spans="1:3" x14ac:dyDescent="0.2">
      <c r="A40" s="356"/>
    </row>
    <row r="41" spans="1:3" x14ac:dyDescent="0.2">
      <c r="A41" s="355" t="s">
        <v>4115</v>
      </c>
      <c r="B41" s="355" t="s">
        <v>3995</v>
      </c>
      <c r="C41" s="355" t="s">
        <v>4093</v>
      </c>
    </row>
    <row r="42" spans="1:3" x14ac:dyDescent="0.2">
      <c r="A42" s="357" t="s">
        <v>4114</v>
      </c>
      <c r="B42" s="365" t="s">
        <v>4113</v>
      </c>
      <c r="C42" s="366" t="s">
        <v>4112</v>
      </c>
    </row>
    <row r="43" spans="1:3" x14ac:dyDescent="0.2">
      <c r="A43" s="357" t="s">
        <v>4111</v>
      </c>
      <c r="B43" s="365" t="s">
        <v>4110</v>
      </c>
      <c r="C43" s="364">
        <v>136842</v>
      </c>
    </row>
    <row r="44" spans="1:3" ht="38.25" x14ac:dyDescent="0.2">
      <c r="A44" s="354" t="s">
        <v>4009</v>
      </c>
      <c r="B44" s="365" t="s">
        <v>3999</v>
      </c>
      <c r="C44" s="364">
        <v>4777</v>
      </c>
    </row>
    <row r="45" spans="1:3" ht="25.5" x14ac:dyDescent="0.2">
      <c r="A45" s="354" t="s">
        <v>4008</v>
      </c>
      <c r="B45" s="365" t="s">
        <v>3997</v>
      </c>
      <c r="C45" s="364">
        <v>666</v>
      </c>
    </row>
    <row r="46" spans="1:3" x14ac:dyDescent="0.2">
      <c r="A46" s="356"/>
    </row>
    <row r="47" spans="1:3" x14ac:dyDescent="0.2">
      <c r="A47" s="355" t="s">
        <v>4109</v>
      </c>
      <c r="B47" s="355" t="s">
        <v>3995</v>
      </c>
      <c r="C47" s="355" t="s">
        <v>4093</v>
      </c>
    </row>
    <row r="48" spans="1:3" ht="25.5" x14ac:dyDescent="0.2">
      <c r="A48" s="360" t="s">
        <v>4108</v>
      </c>
      <c r="B48" s="365" t="s">
        <v>3999</v>
      </c>
      <c r="C48" s="364">
        <v>1831940</v>
      </c>
    </row>
    <row r="49" spans="1:3" x14ac:dyDescent="0.2">
      <c r="A49" s="360" t="s">
        <v>4107</v>
      </c>
      <c r="B49" s="365" t="s">
        <v>3999</v>
      </c>
      <c r="C49" s="364">
        <v>110059</v>
      </c>
    </row>
    <row r="50" spans="1:3" x14ac:dyDescent="0.2">
      <c r="A50" s="356"/>
    </row>
    <row r="51" spans="1:3" x14ac:dyDescent="0.2">
      <c r="A51" s="355" t="s">
        <v>4106</v>
      </c>
      <c r="B51" s="355" t="s">
        <v>3995</v>
      </c>
      <c r="C51" s="355" t="s">
        <v>4093</v>
      </c>
    </row>
    <row r="52" spans="1:3" x14ac:dyDescent="0.2">
      <c r="A52" s="357" t="s">
        <v>4105</v>
      </c>
      <c r="B52" s="365" t="s">
        <v>3997</v>
      </c>
      <c r="C52" s="364">
        <v>2</v>
      </c>
    </row>
    <row r="53" spans="1:3" x14ac:dyDescent="0.2">
      <c r="A53" s="357" t="s">
        <v>4104</v>
      </c>
      <c r="B53" s="365" t="s">
        <v>3997</v>
      </c>
      <c r="C53" s="364">
        <v>43</v>
      </c>
    </row>
    <row r="54" spans="1:3" x14ac:dyDescent="0.2">
      <c r="A54" s="356"/>
    </row>
    <row r="55" spans="1:3" x14ac:dyDescent="0.2">
      <c r="A55" s="355" t="s">
        <v>4103</v>
      </c>
      <c r="B55" s="355" t="s">
        <v>3995</v>
      </c>
      <c r="C55" s="355" t="s">
        <v>4093</v>
      </c>
    </row>
    <row r="56" spans="1:3" x14ac:dyDescent="0.2">
      <c r="A56" s="360" t="s">
        <v>4102</v>
      </c>
      <c r="B56" s="365" t="s">
        <v>3999</v>
      </c>
      <c r="C56" s="364">
        <v>2028121</v>
      </c>
    </row>
    <row r="57" spans="1:3" x14ac:dyDescent="0.2">
      <c r="A57" s="357" t="s">
        <v>4101</v>
      </c>
      <c r="B57" s="365" t="s">
        <v>4100</v>
      </c>
      <c r="C57" s="363">
        <v>89.87</v>
      </c>
    </row>
    <row r="58" spans="1:3" x14ac:dyDescent="0.2">
      <c r="A58" s="356"/>
    </row>
    <row r="59" spans="1:3" x14ac:dyDescent="0.2">
      <c r="A59" s="355" t="s">
        <v>4099</v>
      </c>
      <c r="B59" s="355" t="s">
        <v>3995</v>
      </c>
      <c r="C59" s="355" t="s">
        <v>4093</v>
      </c>
    </row>
    <row r="60" spans="1:3" ht="25.5" x14ac:dyDescent="0.2">
      <c r="A60" s="360" t="s">
        <v>4098</v>
      </c>
      <c r="B60" s="365" t="s">
        <v>3999</v>
      </c>
      <c r="C60" s="363">
        <v>4.28</v>
      </c>
    </row>
    <row r="61" spans="1:3" x14ac:dyDescent="0.2">
      <c r="A61" s="360" t="s">
        <v>4097</v>
      </c>
      <c r="B61" s="365" t="s">
        <v>3944</v>
      </c>
      <c r="C61" s="363">
        <v>6.69</v>
      </c>
    </row>
    <row r="62" spans="1:3" x14ac:dyDescent="0.2">
      <c r="A62" s="357" t="s">
        <v>4096</v>
      </c>
      <c r="B62" s="365" t="s">
        <v>3997</v>
      </c>
      <c r="C62" s="364">
        <v>478729</v>
      </c>
    </row>
    <row r="63" spans="1:3" x14ac:dyDescent="0.2">
      <c r="A63" s="357" t="s">
        <v>4095</v>
      </c>
      <c r="B63" s="365" t="s">
        <v>3999</v>
      </c>
      <c r="C63" s="364">
        <v>2459699</v>
      </c>
    </row>
    <row r="64" spans="1:3" x14ac:dyDescent="0.2">
      <c r="A64" s="356"/>
    </row>
    <row r="65" spans="1:5" x14ac:dyDescent="0.2">
      <c r="A65" s="355" t="s">
        <v>4094</v>
      </c>
      <c r="B65" s="355" t="s">
        <v>3995</v>
      </c>
      <c r="C65" s="355" t="s">
        <v>4093</v>
      </c>
    </row>
    <row r="66" spans="1:5" x14ac:dyDescent="0.2">
      <c r="A66" s="357" t="s">
        <v>4092</v>
      </c>
      <c r="B66" s="353" t="s">
        <v>3999</v>
      </c>
      <c r="C66" s="364">
        <v>453168</v>
      </c>
    </row>
    <row r="67" spans="1:5" x14ac:dyDescent="0.2">
      <c r="A67" s="357" t="s">
        <v>4091</v>
      </c>
      <c r="B67" s="353" t="s">
        <v>3997</v>
      </c>
      <c r="C67" s="364">
        <v>1788134</v>
      </c>
    </row>
    <row r="68" spans="1:5" x14ac:dyDescent="0.2">
      <c r="A68" s="357" t="s">
        <v>4090</v>
      </c>
      <c r="B68" s="353" t="s">
        <v>3944</v>
      </c>
      <c r="C68" s="363">
        <v>0.02</v>
      </c>
    </row>
    <row r="69" spans="1:5" x14ac:dyDescent="0.2">
      <c r="A69" s="356"/>
    </row>
    <row r="70" spans="1:5" x14ac:dyDescent="0.2">
      <c r="A70" s="355" t="s">
        <v>2757</v>
      </c>
      <c r="B70" s="355" t="s">
        <v>2756</v>
      </c>
    </row>
    <row r="71" spans="1:5" x14ac:dyDescent="0.2">
      <c r="A71" s="362" t="s">
        <v>729</v>
      </c>
      <c r="B71" s="362" t="s">
        <v>728</v>
      </c>
    </row>
    <row r="72" spans="1:5" x14ac:dyDescent="0.2">
      <c r="A72" s="362" t="s">
        <v>739</v>
      </c>
      <c r="B72" s="362" t="s">
        <v>738</v>
      </c>
    </row>
    <row r="73" spans="1:5" x14ac:dyDescent="0.2">
      <c r="A73" s="362" t="s">
        <v>737</v>
      </c>
      <c r="B73" s="362" t="s">
        <v>736</v>
      </c>
    </row>
    <row r="74" spans="1:5" x14ac:dyDescent="0.2">
      <c r="A74" s="356"/>
    </row>
    <row r="75" spans="1:5" x14ac:dyDescent="0.2">
      <c r="A75" s="355" t="s">
        <v>4089</v>
      </c>
      <c r="B75" s="355" t="s">
        <v>3995</v>
      </c>
      <c r="C75" s="355" t="s">
        <v>728</v>
      </c>
      <c r="D75" s="355" t="s">
        <v>738</v>
      </c>
      <c r="E75" s="355" t="s">
        <v>736</v>
      </c>
    </row>
    <row r="76" spans="1:5" x14ac:dyDescent="0.2">
      <c r="A76" s="360" t="s">
        <v>4088</v>
      </c>
      <c r="B76" s="353" t="s">
        <v>4079</v>
      </c>
      <c r="C76" s="352">
        <v>1403</v>
      </c>
      <c r="D76" s="352">
        <v>42916</v>
      </c>
      <c r="E76" s="352">
        <v>19890</v>
      </c>
    </row>
    <row r="77" spans="1:5" x14ac:dyDescent="0.2">
      <c r="A77" s="360" t="s">
        <v>4087</v>
      </c>
      <c r="B77" s="353" t="s">
        <v>4079</v>
      </c>
      <c r="C77" s="352">
        <v>1403</v>
      </c>
      <c r="D77" s="352">
        <v>42916</v>
      </c>
      <c r="E77" s="352">
        <v>17249</v>
      </c>
    </row>
    <row r="78" spans="1:5" x14ac:dyDescent="0.2">
      <c r="A78" s="360" t="s">
        <v>4086</v>
      </c>
      <c r="B78" s="353" t="s">
        <v>3944</v>
      </c>
      <c r="C78" s="358">
        <v>100</v>
      </c>
      <c r="D78" s="358">
        <v>96</v>
      </c>
      <c r="E78" s="358">
        <v>97</v>
      </c>
    </row>
    <row r="79" spans="1:5" x14ac:dyDescent="0.2">
      <c r="A79" s="360" t="s">
        <v>4085</v>
      </c>
      <c r="B79" s="353" t="s">
        <v>4023</v>
      </c>
      <c r="C79" s="352">
        <v>5484</v>
      </c>
      <c r="D79" s="352">
        <v>114910</v>
      </c>
      <c r="E79" s="352">
        <v>41279</v>
      </c>
    </row>
    <row r="80" spans="1:5" x14ac:dyDescent="0.2">
      <c r="A80" s="360" t="s">
        <v>4084</v>
      </c>
      <c r="B80" s="353" t="s">
        <v>4079</v>
      </c>
      <c r="C80" s="352">
        <v>794</v>
      </c>
      <c r="D80" s="352">
        <v>18878</v>
      </c>
      <c r="E80" s="352">
        <v>8356</v>
      </c>
    </row>
    <row r="81" spans="1:5" x14ac:dyDescent="0.2">
      <c r="A81" s="360" t="s">
        <v>4083</v>
      </c>
      <c r="B81" s="353" t="s">
        <v>4082</v>
      </c>
      <c r="C81" s="361">
        <v>0.75</v>
      </c>
      <c r="D81" s="361">
        <v>13.26</v>
      </c>
      <c r="E81" s="361">
        <v>3.5</v>
      </c>
    </row>
    <row r="82" spans="1:5" x14ac:dyDescent="0.2">
      <c r="A82" s="357" t="s">
        <v>4081</v>
      </c>
      <c r="B82" s="353" t="s">
        <v>4079</v>
      </c>
      <c r="C82" s="352">
        <v>0</v>
      </c>
      <c r="D82" s="352">
        <v>22080</v>
      </c>
      <c r="E82" s="352">
        <v>9456</v>
      </c>
    </row>
    <row r="83" spans="1:5" x14ac:dyDescent="0.2">
      <c r="A83" s="357" t="s">
        <v>4080</v>
      </c>
      <c r="B83" s="353" t="s">
        <v>4079</v>
      </c>
      <c r="C83" s="352">
        <v>1403</v>
      </c>
      <c r="D83" s="352">
        <v>21569</v>
      </c>
      <c r="E83" s="352">
        <v>7792</v>
      </c>
    </row>
    <row r="84" spans="1:5" x14ac:dyDescent="0.2">
      <c r="A84" s="356"/>
    </row>
    <row r="85" spans="1:5" x14ac:dyDescent="0.2">
      <c r="A85" s="355" t="s">
        <v>4078</v>
      </c>
      <c r="B85" s="355" t="s">
        <v>3995</v>
      </c>
      <c r="C85" s="355" t="s">
        <v>728</v>
      </c>
      <c r="D85" s="355" t="s">
        <v>738</v>
      </c>
      <c r="E85" s="355" t="s">
        <v>736</v>
      </c>
    </row>
    <row r="86" spans="1:5" x14ac:dyDescent="0.2">
      <c r="A86" s="360" t="s">
        <v>4077</v>
      </c>
      <c r="B86" s="353" t="s">
        <v>3944</v>
      </c>
      <c r="C86" s="358">
        <v>0</v>
      </c>
      <c r="D86" s="358">
        <v>0</v>
      </c>
      <c r="E86" s="358">
        <v>0</v>
      </c>
    </row>
    <row r="87" spans="1:5" x14ac:dyDescent="0.2">
      <c r="A87" s="360" t="s">
        <v>4076</v>
      </c>
      <c r="B87" s="353" t="s">
        <v>3944</v>
      </c>
      <c r="C87" s="358">
        <v>0</v>
      </c>
      <c r="D87" s="358">
        <v>2</v>
      </c>
      <c r="E87" s="358">
        <v>4.5</v>
      </c>
    </row>
    <row r="88" spans="1:5" x14ac:dyDescent="0.2">
      <c r="A88" s="360" t="s">
        <v>4075</v>
      </c>
      <c r="B88" s="353" t="s">
        <v>3997</v>
      </c>
      <c r="C88" s="352">
        <v>0</v>
      </c>
      <c r="D88" s="352">
        <v>351</v>
      </c>
      <c r="E88" s="352">
        <v>76</v>
      </c>
    </row>
    <row r="89" spans="1:5" ht="25.5" x14ac:dyDescent="0.2">
      <c r="A89" s="360" t="s">
        <v>4074</v>
      </c>
      <c r="B89" s="353" t="s">
        <v>3944</v>
      </c>
      <c r="C89" s="358">
        <v>0</v>
      </c>
      <c r="D89" s="358">
        <v>15</v>
      </c>
      <c r="E89" s="358">
        <v>26</v>
      </c>
    </row>
    <row r="90" spans="1:5" x14ac:dyDescent="0.2">
      <c r="A90" s="357" t="s">
        <v>4073</v>
      </c>
      <c r="B90" s="353" t="s">
        <v>3997</v>
      </c>
      <c r="C90" s="352">
        <v>0</v>
      </c>
      <c r="D90" s="352">
        <v>294</v>
      </c>
      <c r="E90" s="352">
        <v>64</v>
      </c>
    </row>
    <row r="91" spans="1:5" x14ac:dyDescent="0.2">
      <c r="A91" s="357" t="s">
        <v>4072</v>
      </c>
      <c r="B91" s="353" t="s">
        <v>3944</v>
      </c>
      <c r="C91" s="358">
        <v>0</v>
      </c>
      <c r="D91" s="358">
        <v>100</v>
      </c>
      <c r="E91" s="358">
        <v>100</v>
      </c>
    </row>
    <row r="92" spans="1:5" x14ac:dyDescent="0.2">
      <c r="A92" s="356"/>
    </row>
    <row r="93" spans="1:5" x14ac:dyDescent="0.2">
      <c r="A93" s="355" t="s">
        <v>4071</v>
      </c>
      <c r="B93" s="355" t="s">
        <v>3995</v>
      </c>
      <c r="C93" s="355" t="s">
        <v>728</v>
      </c>
      <c r="D93" s="355" t="s">
        <v>738</v>
      </c>
      <c r="E93" s="355" t="s">
        <v>736</v>
      </c>
    </row>
    <row r="94" spans="1:5" x14ac:dyDescent="0.2">
      <c r="A94" s="357" t="s">
        <v>4070</v>
      </c>
      <c r="B94" s="353" t="s">
        <v>3944</v>
      </c>
      <c r="C94" s="358">
        <v>83</v>
      </c>
      <c r="D94" s="358">
        <v>2.6</v>
      </c>
      <c r="E94" s="358">
        <v>3</v>
      </c>
    </row>
    <row r="95" spans="1:5" x14ac:dyDescent="0.2">
      <c r="A95" s="357" t="s">
        <v>4069</v>
      </c>
      <c r="B95" s="353" t="s">
        <v>3944</v>
      </c>
      <c r="C95" s="358">
        <v>17</v>
      </c>
      <c r="D95" s="358">
        <v>4.2</v>
      </c>
      <c r="E95" s="358">
        <v>2</v>
      </c>
    </row>
    <row r="96" spans="1:5" x14ac:dyDescent="0.2">
      <c r="A96" s="357" t="s">
        <v>4068</v>
      </c>
      <c r="B96" s="353" t="s">
        <v>3944</v>
      </c>
      <c r="C96" s="358">
        <v>0</v>
      </c>
      <c r="D96" s="358">
        <v>21.1</v>
      </c>
      <c r="E96" s="358">
        <v>95</v>
      </c>
    </row>
    <row r="97" spans="1:5" x14ac:dyDescent="0.2">
      <c r="A97" s="357" t="s">
        <v>4067</v>
      </c>
      <c r="B97" s="353" t="s">
        <v>3944</v>
      </c>
      <c r="C97" s="358">
        <v>0</v>
      </c>
      <c r="D97" s="358">
        <v>72.099999999999994</v>
      </c>
      <c r="E97" s="358">
        <v>0</v>
      </c>
    </row>
    <row r="98" spans="1:5" x14ac:dyDescent="0.2">
      <c r="A98" s="357" t="s">
        <v>4066</v>
      </c>
      <c r="B98" s="353" t="s">
        <v>3944</v>
      </c>
      <c r="C98" s="358">
        <v>0</v>
      </c>
      <c r="D98" s="358">
        <v>0</v>
      </c>
      <c r="E98" s="358">
        <v>0</v>
      </c>
    </row>
    <row r="99" spans="1:5" x14ac:dyDescent="0.2">
      <c r="A99" s="357" t="s">
        <v>4065</v>
      </c>
      <c r="B99" s="353" t="s">
        <v>3944</v>
      </c>
      <c r="C99" s="358">
        <v>0</v>
      </c>
      <c r="D99" s="358">
        <v>0</v>
      </c>
      <c r="E99" s="358">
        <v>0</v>
      </c>
    </row>
    <row r="100" spans="1:5" x14ac:dyDescent="0.2">
      <c r="A100" s="357" t="s">
        <v>4064</v>
      </c>
      <c r="B100" s="353" t="s">
        <v>3944</v>
      </c>
      <c r="C100" s="358">
        <v>0</v>
      </c>
      <c r="D100" s="358">
        <v>0</v>
      </c>
      <c r="E100" s="358">
        <v>0</v>
      </c>
    </row>
    <row r="101" spans="1:5" x14ac:dyDescent="0.2">
      <c r="A101" s="357" t="s">
        <v>4063</v>
      </c>
      <c r="B101" s="353" t="s">
        <v>3944</v>
      </c>
      <c r="C101" s="358">
        <v>0</v>
      </c>
      <c r="D101" s="358">
        <v>0</v>
      </c>
      <c r="E101" s="358">
        <v>0</v>
      </c>
    </row>
    <row r="102" spans="1:5" x14ac:dyDescent="0.2">
      <c r="A102" s="354" t="s">
        <v>4062</v>
      </c>
      <c r="B102" s="353" t="s">
        <v>3944</v>
      </c>
      <c r="C102" s="358">
        <v>100</v>
      </c>
      <c r="D102" s="358">
        <v>100</v>
      </c>
      <c r="E102" s="358">
        <v>100</v>
      </c>
    </row>
    <row r="103" spans="1:5" ht="25.5" x14ac:dyDescent="0.2">
      <c r="A103" s="357" t="s">
        <v>4061</v>
      </c>
      <c r="B103" s="353" t="s">
        <v>3999</v>
      </c>
      <c r="C103" s="358">
        <v>153637</v>
      </c>
      <c r="D103" s="358">
        <v>1224933</v>
      </c>
      <c r="E103" s="358">
        <v>776400</v>
      </c>
    </row>
    <row r="104" spans="1:5" ht="25.5" x14ac:dyDescent="0.2">
      <c r="A104" s="357" t="s">
        <v>4060</v>
      </c>
      <c r="B104" s="353" t="s">
        <v>3999</v>
      </c>
      <c r="C104" s="358">
        <v>31468</v>
      </c>
      <c r="D104" s="358">
        <v>1978738</v>
      </c>
      <c r="E104" s="358">
        <v>517600</v>
      </c>
    </row>
    <row r="105" spans="1:5" ht="25.5" x14ac:dyDescent="0.2">
      <c r="A105" s="357" t="s">
        <v>4059</v>
      </c>
      <c r="B105" s="353" t="s">
        <v>3999</v>
      </c>
      <c r="C105" s="358">
        <v>0</v>
      </c>
      <c r="D105" s="358">
        <v>9940802</v>
      </c>
      <c r="E105" s="358">
        <v>24586000</v>
      </c>
    </row>
    <row r="106" spans="1:5" ht="25.5" x14ac:dyDescent="0.2">
      <c r="A106" s="357" t="s">
        <v>4058</v>
      </c>
      <c r="B106" s="353" t="s">
        <v>3999</v>
      </c>
      <c r="C106" s="358">
        <v>0</v>
      </c>
      <c r="D106" s="358">
        <v>33968337</v>
      </c>
      <c r="E106" s="358">
        <v>0</v>
      </c>
    </row>
    <row r="107" spans="1:5" ht="25.5" x14ac:dyDescent="0.2">
      <c r="A107" s="357" t="s">
        <v>4057</v>
      </c>
      <c r="B107" s="353" t="s">
        <v>3999</v>
      </c>
      <c r="C107" s="358">
        <v>0</v>
      </c>
      <c r="D107" s="358">
        <v>0</v>
      </c>
      <c r="E107" s="358">
        <v>0</v>
      </c>
    </row>
    <row r="108" spans="1:5" ht="25.5" x14ac:dyDescent="0.2">
      <c r="A108" s="357" t="s">
        <v>4056</v>
      </c>
      <c r="B108" s="353" t="s">
        <v>3999</v>
      </c>
      <c r="C108" s="358">
        <v>0</v>
      </c>
      <c r="D108" s="358">
        <v>0</v>
      </c>
      <c r="E108" s="358">
        <v>0</v>
      </c>
    </row>
    <row r="109" spans="1:5" ht="25.5" x14ac:dyDescent="0.2">
      <c r="A109" s="357" t="s">
        <v>4055</v>
      </c>
      <c r="B109" s="353" t="s">
        <v>3999</v>
      </c>
      <c r="C109" s="358">
        <v>0</v>
      </c>
      <c r="D109" s="358">
        <v>0</v>
      </c>
      <c r="E109" s="358">
        <v>0</v>
      </c>
    </row>
    <row r="110" spans="1:5" x14ac:dyDescent="0.2">
      <c r="A110" s="357" t="s">
        <v>4054</v>
      </c>
      <c r="B110" s="353" t="s">
        <v>3999</v>
      </c>
      <c r="C110" s="358">
        <v>0</v>
      </c>
      <c r="D110" s="358">
        <v>0</v>
      </c>
      <c r="E110" s="358">
        <v>0</v>
      </c>
    </row>
    <row r="111" spans="1:5" x14ac:dyDescent="0.2">
      <c r="A111" s="354" t="s">
        <v>4053</v>
      </c>
      <c r="B111" s="353" t="s">
        <v>3999</v>
      </c>
      <c r="C111" s="358">
        <v>185105</v>
      </c>
      <c r="D111" s="358">
        <v>47112810</v>
      </c>
      <c r="E111" s="358">
        <v>25880000</v>
      </c>
    </row>
    <row r="112" spans="1:5" x14ac:dyDescent="0.2">
      <c r="A112" s="356"/>
    </row>
    <row r="113" spans="1:5" x14ac:dyDescent="0.2">
      <c r="A113" s="355" t="s">
        <v>4052</v>
      </c>
      <c r="B113" s="355" t="s">
        <v>3995</v>
      </c>
      <c r="C113" s="355" t="s">
        <v>728</v>
      </c>
      <c r="D113" s="355" t="s">
        <v>738</v>
      </c>
      <c r="E113" s="355" t="s">
        <v>736</v>
      </c>
    </row>
    <row r="114" spans="1:5" x14ac:dyDescent="0.2">
      <c r="A114" s="360" t="s">
        <v>4051</v>
      </c>
      <c r="B114" s="353" t="s">
        <v>3999</v>
      </c>
      <c r="C114" s="352">
        <v>0</v>
      </c>
      <c r="D114" s="352">
        <v>4374980</v>
      </c>
      <c r="E114" s="352">
        <v>168810</v>
      </c>
    </row>
    <row r="115" spans="1:5" x14ac:dyDescent="0.2">
      <c r="A115" s="360" t="s">
        <v>4050</v>
      </c>
      <c r="B115" s="353" t="s">
        <v>3999</v>
      </c>
      <c r="C115" s="352">
        <v>0</v>
      </c>
      <c r="D115" s="352">
        <v>1828040</v>
      </c>
      <c r="E115" s="352">
        <v>194520</v>
      </c>
    </row>
    <row r="116" spans="1:5" x14ac:dyDescent="0.2">
      <c r="A116" s="360" t="s">
        <v>4049</v>
      </c>
      <c r="B116" s="353" t="s">
        <v>3999</v>
      </c>
      <c r="C116" s="352">
        <v>0</v>
      </c>
      <c r="D116" s="352">
        <v>2249110</v>
      </c>
      <c r="E116" s="352">
        <v>226470</v>
      </c>
    </row>
    <row r="117" spans="1:5" x14ac:dyDescent="0.2">
      <c r="A117" s="360" t="s">
        <v>4048</v>
      </c>
      <c r="B117" s="353" t="s">
        <v>3999</v>
      </c>
      <c r="C117" s="352">
        <v>0</v>
      </c>
      <c r="D117" s="352">
        <v>1817770</v>
      </c>
      <c r="E117" s="352">
        <v>104900</v>
      </c>
    </row>
    <row r="118" spans="1:5" x14ac:dyDescent="0.2">
      <c r="A118" s="360" t="s">
        <v>4047</v>
      </c>
      <c r="B118" s="353" t="s">
        <v>3999</v>
      </c>
      <c r="C118" s="352">
        <v>0</v>
      </c>
      <c r="D118" s="352">
        <v>6406364</v>
      </c>
      <c r="E118" s="352">
        <v>370861</v>
      </c>
    </row>
    <row r="119" spans="1:5" x14ac:dyDescent="0.2">
      <c r="A119" s="356"/>
    </row>
    <row r="120" spans="1:5" x14ac:dyDescent="0.2">
      <c r="A120" s="355" t="s">
        <v>4046</v>
      </c>
      <c r="B120" s="355" t="s">
        <v>3995</v>
      </c>
      <c r="C120" s="355" t="s">
        <v>728</v>
      </c>
      <c r="D120" s="355" t="s">
        <v>738</v>
      </c>
      <c r="E120" s="355" t="s">
        <v>736</v>
      </c>
    </row>
    <row r="121" spans="1:5" x14ac:dyDescent="0.2">
      <c r="A121" s="360" t="s">
        <v>4045</v>
      </c>
      <c r="B121" s="353" t="s">
        <v>3997</v>
      </c>
      <c r="C121" s="352">
        <v>0</v>
      </c>
      <c r="D121" s="352">
        <v>0</v>
      </c>
      <c r="E121" s="352">
        <v>1</v>
      </c>
    </row>
    <row r="122" spans="1:5" ht="25.5" x14ac:dyDescent="0.2">
      <c r="A122" s="360" t="s">
        <v>4044</v>
      </c>
      <c r="B122" s="353" t="s">
        <v>4043</v>
      </c>
      <c r="C122" s="352">
        <v>0</v>
      </c>
      <c r="D122" s="352">
        <v>0</v>
      </c>
      <c r="E122" s="352">
        <v>303</v>
      </c>
    </row>
    <row r="123" spans="1:5" ht="25.5" x14ac:dyDescent="0.2">
      <c r="A123" s="360" t="s">
        <v>4042</v>
      </c>
      <c r="B123" s="353" t="s">
        <v>3985</v>
      </c>
      <c r="C123" s="352">
        <v>0</v>
      </c>
      <c r="D123" s="352">
        <v>0</v>
      </c>
      <c r="E123" s="352">
        <v>3159487</v>
      </c>
    </row>
    <row r="124" spans="1:5" ht="25.5" x14ac:dyDescent="0.2">
      <c r="A124" s="360" t="s">
        <v>4041</v>
      </c>
      <c r="B124" s="353" t="s">
        <v>3985</v>
      </c>
      <c r="C124" s="352">
        <v>0</v>
      </c>
      <c r="D124" s="352">
        <v>0</v>
      </c>
      <c r="E124" s="352">
        <v>1536500</v>
      </c>
    </row>
    <row r="125" spans="1:5" ht="25.5" x14ac:dyDescent="0.2">
      <c r="A125" s="360" t="s">
        <v>4040</v>
      </c>
      <c r="B125" s="353" t="s">
        <v>3985</v>
      </c>
      <c r="C125" s="352">
        <v>0</v>
      </c>
      <c r="D125" s="352">
        <v>0</v>
      </c>
      <c r="E125" s="352">
        <v>1060065</v>
      </c>
    </row>
    <row r="126" spans="1:5" x14ac:dyDescent="0.2">
      <c r="A126" s="360" t="s">
        <v>4039</v>
      </c>
      <c r="B126" s="353" t="s">
        <v>3985</v>
      </c>
      <c r="C126" s="352">
        <v>0</v>
      </c>
      <c r="D126" s="352">
        <v>0</v>
      </c>
      <c r="E126" s="352">
        <v>0</v>
      </c>
    </row>
    <row r="127" spans="1:5" x14ac:dyDescent="0.2">
      <c r="A127" s="360" t="s">
        <v>4038</v>
      </c>
      <c r="B127" s="353" t="s">
        <v>3985</v>
      </c>
      <c r="C127" s="352">
        <v>0</v>
      </c>
      <c r="D127" s="352">
        <v>0</v>
      </c>
      <c r="E127" s="352">
        <v>0</v>
      </c>
    </row>
    <row r="128" spans="1:5" x14ac:dyDescent="0.2">
      <c r="A128" s="356"/>
    </row>
    <row r="129" spans="1:5" x14ac:dyDescent="0.2">
      <c r="A129" s="355" t="s">
        <v>4037</v>
      </c>
      <c r="B129" s="355" t="s">
        <v>3995</v>
      </c>
      <c r="C129" s="355" t="s">
        <v>728</v>
      </c>
      <c r="D129" s="355" t="s">
        <v>738</v>
      </c>
      <c r="E129" s="355" t="s">
        <v>736</v>
      </c>
    </row>
    <row r="130" spans="1:5" x14ac:dyDescent="0.2">
      <c r="A130" s="360" t="s">
        <v>4028</v>
      </c>
      <c r="B130" s="353" t="s">
        <v>4026</v>
      </c>
      <c r="C130" s="352">
        <v>98</v>
      </c>
      <c r="D130" s="352">
        <v>32580</v>
      </c>
      <c r="E130" s="352">
        <v>10524</v>
      </c>
    </row>
    <row r="131" spans="1:5" x14ac:dyDescent="0.2">
      <c r="A131" s="360" t="s">
        <v>4036</v>
      </c>
      <c r="B131" s="353" t="s">
        <v>4026</v>
      </c>
      <c r="C131" s="352">
        <v>130</v>
      </c>
      <c r="D131" s="352">
        <v>60172</v>
      </c>
      <c r="E131" s="352">
        <v>30369</v>
      </c>
    </row>
    <row r="132" spans="1:5" x14ac:dyDescent="0.2">
      <c r="A132" s="360" t="s">
        <v>4035</v>
      </c>
      <c r="B132" s="353" t="s">
        <v>4026</v>
      </c>
      <c r="C132" s="352">
        <v>0</v>
      </c>
      <c r="D132" s="352">
        <v>6</v>
      </c>
      <c r="E132" s="352">
        <v>0</v>
      </c>
    </row>
    <row r="133" spans="1:5" x14ac:dyDescent="0.2">
      <c r="A133" s="360" t="s">
        <v>4034</v>
      </c>
      <c r="B133" s="353" t="s">
        <v>4026</v>
      </c>
      <c r="C133" s="352">
        <v>0</v>
      </c>
      <c r="D133" s="352">
        <v>0</v>
      </c>
      <c r="E133" s="352">
        <v>0</v>
      </c>
    </row>
    <row r="134" spans="1:5" ht="25.5" x14ac:dyDescent="0.2">
      <c r="A134" s="360" t="s">
        <v>4033</v>
      </c>
      <c r="B134" s="353" t="s">
        <v>3999</v>
      </c>
      <c r="C134" s="352">
        <v>7052</v>
      </c>
      <c r="D134" s="352">
        <v>1545664</v>
      </c>
      <c r="E134" s="352">
        <v>555904</v>
      </c>
    </row>
    <row r="135" spans="1:5" x14ac:dyDescent="0.2">
      <c r="A135" s="356"/>
    </row>
    <row r="136" spans="1:5" x14ac:dyDescent="0.2">
      <c r="A136" s="355" t="s">
        <v>4032</v>
      </c>
      <c r="B136" s="355" t="s">
        <v>3995</v>
      </c>
      <c r="C136" s="355" t="s">
        <v>728</v>
      </c>
      <c r="D136" s="355" t="s">
        <v>738</v>
      </c>
      <c r="E136" s="355" t="s">
        <v>736</v>
      </c>
    </row>
    <row r="137" spans="1:5" x14ac:dyDescent="0.2">
      <c r="A137" s="360" t="s">
        <v>4028</v>
      </c>
      <c r="B137" s="353" t="s">
        <v>4026</v>
      </c>
      <c r="C137" s="352">
        <v>0</v>
      </c>
      <c r="D137" s="352">
        <v>0</v>
      </c>
      <c r="E137" s="352">
        <v>0</v>
      </c>
    </row>
    <row r="138" spans="1:5" x14ac:dyDescent="0.2">
      <c r="A138" s="360" t="s">
        <v>4031</v>
      </c>
      <c r="B138" s="353" t="s">
        <v>4026</v>
      </c>
      <c r="C138" s="352">
        <v>0</v>
      </c>
      <c r="D138" s="352">
        <v>0</v>
      </c>
      <c r="E138" s="352">
        <v>0</v>
      </c>
    </row>
    <row r="139" spans="1:5" x14ac:dyDescent="0.2">
      <c r="A139" s="360" t="s">
        <v>4030</v>
      </c>
      <c r="B139" s="353" t="s">
        <v>4026</v>
      </c>
      <c r="C139" s="352">
        <v>0</v>
      </c>
      <c r="D139" s="352">
        <v>0</v>
      </c>
      <c r="E139" s="352">
        <v>0</v>
      </c>
    </row>
    <row r="140" spans="1:5" x14ac:dyDescent="0.2">
      <c r="A140" s="356"/>
    </row>
    <row r="141" spans="1:5" x14ac:dyDescent="0.2">
      <c r="A141" s="355" t="s">
        <v>4029</v>
      </c>
      <c r="B141" s="355" t="s">
        <v>3995</v>
      </c>
      <c r="C141" s="355" t="s">
        <v>728</v>
      </c>
      <c r="D141" s="355" t="s">
        <v>738</v>
      </c>
      <c r="E141" s="355" t="s">
        <v>736</v>
      </c>
    </row>
    <row r="142" spans="1:5" x14ac:dyDescent="0.2">
      <c r="A142" s="360" t="s">
        <v>4028</v>
      </c>
      <c r="B142" s="353" t="s">
        <v>4026</v>
      </c>
      <c r="C142" s="352">
        <v>0</v>
      </c>
      <c r="D142" s="352">
        <v>0</v>
      </c>
      <c r="E142" s="352">
        <v>0</v>
      </c>
    </row>
    <row r="143" spans="1:5" x14ac:dyDescent="0.2">
      <c r="A143" s="360" t="s">
        <v>4027</v>
      </c>
      <c r="B143" s="353" t="s">
        <v>4026</v>
      </c>
      <c r="C143" s="352">
        <v>0</v>
      </c>
      <c r="D143" s="352">
        <v>0</v>
      </c>
      <c r="E143" s="352">
        <v>0</v>
      </c>
    </row>
    <row r="144" spans="1:5" x14ac:dyDescent="0.2">
      <c r="A144" s="356"/>
    </row>
    <row r="145" spans="1:5" x14ac:dyDescent="0.2">
      <c r="A145" s="355" t="s">
        <v>4025</v>
      </c>
      <c r="B145" s="355" t="s">
        <v>3995</v>
      </c>
      <c r="C145" s="355" t="s">
        <v>728</v>
      </c>
      <c r="D145" s="355" t="s">
        <v>738</v>
      </c>
      <c r="E145" s="355" t="s">
        <v>736</v>
      </c>
    </row>
    <row r="146" spans="1:5" x14ac:dyDescent="0.2">
      <c r="A146" s="360" t="s">
        <v>4024</v>
      </c>
      <c r="B146" s="353" t="s">
        <v>4023</v>
      </c>
      <c r="C146" s="352">
        <v>105</v>
      </c>
      <c r="D146" s="352">
        <v>88459</v>
      </c>
      <c r="E146" s="352">
        <v>37688</v>
      </c>
    </row>
    <row r="147" spans="1:5" x14ac:dyDescent="0.2">
      <c r="A147" s="360" t="s">
        <v>4022</v>
      </c>
      <c r="B147" s="353" t="s">
        <v>3999</v>
      </c>
      <c r="C147" s="352">
        <v>75</v>
      </c>
      <c r="D147" s="352">
        <v>132690</v>
      </c>
      <c r="E147" s="352">
        <v>31630</v>
      </c>
    </row>
    <row r="148" spans="1:5" x14ac:dyDescent="0.2">
      <c r="A148" s="356"/>
    </row>
    <row r="149" spans="1:5" x14ac:dyDescent="0.2">
      <c r="A149" s="355" t="s">
        <v>4021</v>
      </c>
      <c r="B149" s="355" t="s">
        <v>3995</v>
      </c>
      <c r="C149" s="355" t="s">
        <v>728</v>
      </c>
      <c r="D149" s="355" t="s">
        <v>738</v>
      </c>
      <c r="E149" s="355" t="s">
        <v>736</v>
      </c>
    </row>
    <row r="150" spans="1:5" x14ac:dyDescent="0.2">
      <c r="A150" s="360" t="s">
        <v>4020</v>
      </c>
      <c r="B150" s="353" t="s">
        <v>4014</v>
      </c>
      <c r="C150" s="361">
        <v>0</v>
      </c>
      <c r="D150" s="361">
        <v>22</v>
      </c>
      <c r="E150" s="361">
        <v>8.5</v>
      </c>
    </row>
    <row r="151" spans="1:5" x14ac:dyDescent="0.2">
      <c r="A151" s="360" t="s">
        <v>4019</v>
      </c>
      <c r="B151" s="353" t="s">
        <v>3999</v>
      </c>
      <c r="C151" s="352">
        <v>0</v>
      </c>
      <c r="D151" s="352">
        <v>17450</v>
      </c>
      <c r="E151" s="352">
        <v>6900</v>
      </c>
    </row>
    <row r="152" spans="1:5" x14ac:dyDescent="0.2">
      <c r="A152" s="357" t="s">
        <v>4018</v>
      </c>
      <c r="B152" s="353" t="s">
        <v>3999</v>
      </c>
      <c r="C152" s="352">
        <v>0</v>
      </c>
      <c r="D152" s="352">
        <v>115355</v>
      </c>
      <c r="E152" s="352">
        <v>48345</v>
      </c>
    </row>
    <row r="153" spans="1:5" ht="25.5" x14ac:dyDescent="0.2">
      <c r="A153" s="357" t="s">
        <v>4017</v>
      </c>
      <c r="B153" s="353" t="s">
        <v>4014</v>
      </c>
      <c r="C153" s="361">
        <v>0</v>
      </c>
      <c r="D153" s="361">
        <v>287</v>
      </c>
      <c r="E153" s="361">
        <v>89</v>
      </c>
    </row>
    <row r="154" spans="1:5" x14ac:dyDescent="0.2">
      <c r="A154" s="357" t="s">
        <v>4016</v>
      </c>
      <c r="B154" s="353" t="s">
        <v>4014</v>
      </c>
      <c r="C154" s="361">
        <v>0</v>
      </c>
      <c r="D154" s="361">
        <v>1255</v>
      </c>
      <c r="E154" s="361">
        <v>122</v>
      </c>
    </row>
    <row r="155" spans="1:5" ht="25.5" x14ac:dyDescent="0.2">
      <c r="A155" s="357" t="s">
        <v>4015</v>
      </c>
      <c r="B155" s="353" t="s">
        <v>4014</v>
      </c>
      <c r="C155" s="361">
        <v>0</v>
      </c>
      <c r="D155" s="361">
        <v>3</v>
      </c>
      <c r="E155" s="361">
        <v>1.5</v>
      </c>
    </row>
    <row r="156" spans="1:5" ht="25.5" x14ac:dyDescent="0.2">
      <c r="A156" s="357" t="s">
        <v>4013</v>
      </c>
      <c r="B156" s="353" t="s">
        <v>3999</v>
      </c>
      <c r="C156" s="352">
        <v>0</v>
      </c>
      <c r="D156" s="352">
        <v>2300</v>
      </c>
      <c r="E156" s="352">
        <v>1500</v>
      </c>
    </row>
    <row r="157" spans="1:5" x14ac:dyDescent="0.2">
      <c r="A157" s="357" t="s">
        <v>4012</v>
      </c>
      <c r="B157" s="353" t="s">
        <v>3944</v>
      </c>
      <c r="C157" s="358">
        <v>0</v>
      </c>
      <c r="D157" s="358">
        <v>15</v>
      </c>
      <c r="E157" s="358">
        <v>8</v>
      </c>
    </row>
    <row r="158" spans="1:5" x14ac:dyDescent="0.2">
      <c r="A158" s="357" t="s">
        <v>4011</v>
      </c>
      <c r="B158" s="353" t="s">
        <v>3944</v>
      </c>
      <c r="C158" s="358">
        <v>0</v>
      </c>
      <c r="D158" s="358">
        <v>8</v>
      </c>
      <c r="E158" s="358">
        <v>6</v>
      </c>
    </row>
    <row r="159" spans="1:5" x14ac:dyDescent="0.2">
      <c r="A159" s="356"/>
    </row>
    <row r="160" spans="1:5" x14ac:dyDescent="0.2">
      <c r="A160" s="355" t="s">
        <v>4010</v>
      </c>
      <c r="B160" s="355" t="s">
        <v>3995</v>
      </c>
      <c r="C160" s="355" t="s">
        <v>728</v>
      </c>
      <c r="D160" s="355" t="s">
        <v>738</v>
      </c>
      <c r="E160" s="355" t="s">
        <v>736</v>
      </c>
    </row>
    <row r="161" spans="1:5" ht="38.25" x14ac:dyDescent="0.2">
      <c r="A161" s="360" t="s">
        <v>4009</v>
      </c>
      <c r="B161" s="353" t="s">
        <v>3999</v>
      </c>
      <c r="C161" s="352">
        <v>0</v>
      </c>
      <c r="D161" s="352">
        <v>3650</v>
      </c>
      <c r="E161" s="352">
        <v>1127</v>
      </c>
    </row>
    <row r="162" spans="1:5" ht="25.5" x14ac:dyDescent="0.2">
      <c r="A162" s="360" t="s">
        <v>4008</v>
      </c>
      <c r="B162" s="353" t="s">
        <v>3997</v>
      </c>
      <c r="C162" s="352">
        <v>0</v>
      </c>
      <c r="D162" s="352">
        <v>564</v>
      </c>
      <c r="E162" s="352">
        <v>102</v>
      </c>
    </row>
    <row r="163" spans="1:5" x14ac:dyDescent="0.2">
      <c r="A163" s="360" t="s">
        <v>4007</v>
      </c>
      <c r="B163" s="353" t="s">
        <v>4006</v>
      </c>
      <c r="C163" s="359" t="s">
        <v>4005</v>
      </c>
      <c r="D163" s="359" t="s">
        <v>3833</v>
      </c>
      <c r="E163" s="359" t="s">
        <v>3833</v>
      </c>
    </row>
    <row r="164" spans="1:5" x14ac:dyDescent="0.2">
      <c r="A164" s="357" t="s">
        <v>4004</v>
      </c>
      <c r="B164" s="353" t="s">
        <v>3997</v>
      </c>
      <c r="C164" s="352">
        <v>0</v>
      </c>
      <c r="D164" s="352">
        <v>907</v>
      </c>
      <c r="E164" s="352">
        <v>307</v>
      </c>
    </row>
    <row r="165" spans="1:5" ht="25.5" x14ac:dyDescent="0.2">
      <c r="A165" s="357" t="s">
        <v>4003</v>
      </c>
      <c r="B165" s="353" t="s">
        <v>3999</v>
      </c>
      <c r="C165" s="358">
        <v>0</v>
      </c>
      <c r="D165" s="358">
        <v>2</v>
      </c>
      <c r="E165" s="358">
        <v>2</v>
      </c>
    </row>
    <row r="166" spans="1:5" x14ac:dyDescent="0.2">
      <c r="A166" s="357" t="s">
        <v>4002</v>
      </c>
      <c r="B166" s="353" t="s">
        <v>3997</v>
      </c>
      <c r="C166" s="352">
        <v>0</v>
      </c>
      <c r="D166" s="352">
        <v>23</v>
      </c>
      <c r="E166" s="352">
        <v>16</v>
      </c>
    </row>
    <row r="167" spans="1:5" ht="25.5" x14ac:dyDescent="0.2">
      <c r="A167" s="357" t="s">
        <v>4001</v>
      </c>
      <c r="B167" s="353" t="s">
        <v>3997</v>
      </c>
      <c r="C167" s="352">
        <v>0</v>
      </c>
      <c r="D167" s="352">
        <v>266</v>
      </c>
      <c r="E167" s="352">
        <v>55</v>
      </c>
    </row>
    <row r="168" spans="1:5" ht="25.5" x14ac:dyDescent="0.2">
      <c r="A168" s="357" t="s">
        <v>4000</v>
      </c>
      <c r="B168" s="353" t="s">
        <v>3999</v>
      </c>
      <c r="C168" s="358">
        <v>0</v>
      </c>
      <c r="D168" s="358">
        <v>0.03</v>
      </c>
      <c r="E168" s="358">
        <v>0.03</v>
      </c>
    </row>
    <row r="169" spans="1:5" x14ac:dyDescent="0.2">
      <c r="A169" s="357" t="s">
        <v>3998</v>
      </c>
      <c r="B169" s="353" t="s">
        <v>3997</v>
      </c>
      <c r="C169" s="352">
        <v>0</v>
      </c>
      <c r="D169" s="352">
        <v>641</v>
      </c>
      <c r="E169" s="352">
        <v>252</v>
      </c>
    </row>
    <row r="170" spans="1:5" x14ac:dyDescent="0.2">
      <c r="A170" s="356"/>
    </row>
    <row r="171" spans="1:5" x14ac:dyDescent="0.2">
      <c r="A171" s="355" t="s">
        <v>3996</v>
      </c>
      <c r="B171" s="355" t="s">
        <v>3995</v>
      </c>
      <c r="C171" s="355" t="s">
        <v>728</v>
      </c>
      <c r="D171" s="355" t="s">
        <v>738</v>
      </c>
      <c r="E171" s="355" t="s">
        <v>736</v>
      </c>
    </row>
    <row r="172" spans="1:5" x14ac:dyDescent="0.2">
      <c r="A172" s="354" t="s">
        <v>3994</v>
      </c>
      <c r="B172" s="353" t="s">
        <v>3985</v>
      </c>
      <c r="C172" s="352">
        <v>27244</v>
      </c>
      <c r="D172" s="352">
        <v>9057240</v>
      </c>
      <c r="E172" s="352">
        <v>2925672</v>
      </c>
    </row>
    <row r="173" spans="1:5" x14ac:dyDescent="0.2">
      <c r="A173" s="354" t="s">
        <v>3993</v>
      </c>
      <c r="B173" s="353" t="s">
        <v>3985</v>
      </c>
      <c r="C173" s="352">
        <v>36140</v>
      </c>
      <c r="D173" s="352">
        <v>16727816</v>
      </c>
      <c r="E173" s="352">
        <v>8442582</v>
      </c>
    </row>
    <row r="174" spans="1:5" x14ac:dyDescent="0.2">
      <c r="A174" s="354" t="s">
        <v>3992</v>
      </c>
      <c r="B174" s="353" t="s">
        <v>3985</v>
      </c>
      <c r="C174" s="352">
        <v>0</v>
      </c>
      <c r="D174" s="352">
        <v>1668</v>
      </c>
      <c r="E174" s="352">
        <v>0</v>
      </c>
    </row>
    <row r="175" spans="1:5" x14ac:dyDescent="0.2">
      <c r="A175" s="354" t="s">
        <v>3991</v>
      </c>
      <c r="B175" s="353" t="s">
        <v>3985</v>
      </c>
      <c r="C175" s="352">
        <v>0</v>
      </c>
      <c r="D175" s="352">
        <v>0</v>
      </c>
      <c r="E175" s="352">
        <v>0</v>
      </c>
    </row>
    <row r="176" spans="1:5" x14ac:dyDescent="0.2">
      <c r="A176" s="354" t="s">
        <v>3990</v>
      </c>
      <c r="B176" s="353" t="s">
        <v>3985</v>
      </c>
      <c r="C176" s="352">
        <v>0</v>
      </c>
      <c r="D176" s="352">
        <v>0</v>
      </c>
      <c r="E176" s="352">
        <v>0</v>
      </c>
    </row>
    <row r="177" spans="1:5" x14ac:dyDescent="0.2">
      <c r="A177" s="354" t="s">
        <v>3989</v>
      </c>
      <c r="B177" s="353" t="s">
        <v>3985</v>
      </c>
      <c r="C177" s="352">
        <v>0</v>
      </c>
      <c r="D177" s="352">
        <v>0</v>
      </c>
      <c r="E177" s="352">
        <v>0</v>
      </c>
    </row>
    <row r="178" spans="1:5" x14ac:dyDescent="0.2">
      <c r="A178" s="354" t="s">
        <v>3988</v>
      </c>
      <c r="B178" s="353" t="s">
        <v>3985</v>
      </c>
      <c r="C178" s="352">
        <v>0</v>
      </c>
      <c r="D178" s="352">
        <v>0</v>
      </c>
      <c r="E178" s="352">
        <v>0</v>
      </c>
    </row>
    <row r="179" spans="1:5" x14ac:dyDescent="0.2">
      <c r="A179" s="354" t="s">
        <v>3987</v>
      </c>
      <c r="B179" s="353" t="s">
        <v>3985</v>
      </c>
      <c r="C179" s="352">
        <v>0</v>
      </c>
      <c r="D179" s="352">
        <v>0</v>
      </c>
      <c r="E179" s="352">
        <v>0</v>
      </c>
    </row>
    <row r="180" spans="1:5" x14ac:dyDescent="0.2">
      <c r="A180" s="354" t="s">
        <v>3986</v>
      </c>
      <c r="B180" s="353" t="s">
        <v>3985</v>
      </c>
      <c r="C180" s="352">
        <v>0</v>
      </c>
      <c r="D180" s="352">
        <v>0</v>
      </c>
      <c r="E180" s="352">
        <v>0</v>
      </c>
    </row>
    <row r="182" spans="1:5" x14ac:dyDescent="0.2">
      <c r="A182" s="351" t="s">
        <v>3984</v>
      </c>
    </row>
    <row r="184" spans="1:5" x14ac:dyDescent="0.2">
      <c r="A184" s="351" t="s">
        <v>3983</v>
      </c>
    </row>
    <row r="185" spans="1:5" ht="25.5" customHeight="1" x14ac:dyDescent="0.2">
      <c r="A185" s="682" t="s">
        <v>3982</v>
      </c>
      <c r="B185" s="683"/>
      <c r="C185" s="683"/>
      <c r="D185" s="683"/>
      <c r="E185" s="683"/>
    </row>
  </sheetData>
  <sheetProtection sheet="1"/>
  <mergeCells count="7">
    <mergeCell ref="A185:E185"/>
    <mergeCell ref="B1:C1"/>
    <mergeCell ref="B2:C2"/>
    <mergeCell ref="B3:C3"/>
    <mergeCell ref="B4:C4"/>
    <mergeCell ref="B5:C5"/>
    <mergeCell ref="B6:C6"/>
  </mergeCells>
  <pageMargins left="0.7" right="0.7" top="0.9" bottom="0.9" header="0.7" footer="0.7"/>
  <pageSetup paperSize="9" orientation="landscape" horizontalDpi="0" verticalDpi="0"/>
  <headerFooter alignWithMargins="0">
    <oddFooter>&amp;C&amp;P of &amp;N</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tabColor theme="1"/>
  </sheetPr>
  <dimension ref="A1"/>
  <sheetViews>
    <sheetView workbookViewId="0"/>
  </sheetViews>
  <sheetFormatPr defaultRowHeight="12.75" x14ac:dyDescent="0.2"/>
  <cols>
    <col min="1" max="16384" width="9.140625" style="382"/>
  </cols>
  <sheetData/>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tabColor rgb="FF00B050"/>
  </sheetPr>
  <dimension ref="A1:I59"/>
  <sheetViews>
    <sheetView workbookViewId="0"/>
  </sheetViews>
  <sheetFormatPr defaultRowHeight="12.75" x14ac:dyDescent="0.2"/>
  <cols>
    <col min="1" max="1" width="54.28515625" style="227" bestFit="1" customWidth="1"/>
    <col min="2" max="2" width="17" style="227" customWidth="1"/>
    <col min="3" max="3" width="21.85546875" style="227" bestFit="1" customWidth="1"/>
    <col min="4" max="4" width="38.5703125" style="227" bestFit="1" customWidth="1"/>
    <col min="5" max="5" width="13.28515625" style="227" customWidth="1"/>
    <col min="6" max="6" width="20.5703125" style="227" customWidth="1"/>
    <col min="7" max="7" width="13.7109375" style="227" customWidth="1"/>
    <col min="8" max="8" width="13.5703125" style="227" customWidth="1"/>
    <col min="9" max="9" width="12" style="227" customWidth="1"/>
    <col min="10" max="10" width="9.140625" style="227"/>
    <col min="11" max="11" width="16.28515625" style="227" customWidth="1"/>
    <col min="12" max="256" width="9.140625" style="227"/>
    <col min="257" max="257" width="54.28515625" style="227" bestFit="1" customWidth="1"/>
    <col min="258" max="258" width="19.140625" style="227" customWidth="1"/>
    <col min="259" max="259" width="21.85546875" style="227" bestFit="1" customWidth="1"/>
    <col min="260" max="260" width="38.5703125" style="227" bestFit="1" customWidth="1"/>
    <col min="261" max="261" width="13.28515625" style="227" customWidth="1"/>
    <col min="262" max="262" width="20.5703125" style="227" customWidth="1"/>
    <col min="263" max="263" width="13.7109375" style="227" customWidth="1"/>
    <col min="264" max="264" width="13.5703125" style="227" customWidth="1"/>
    <col min="265" max="512" width="9.140625" style="227"/>
    <col min="513" max="513" width="54.28515625" style="227" bestFit="1" customWidth="1"/>
    <col min="514" max="514" width="19.140625" style="227" customWidth="1"/>
    <col min="515" max="515" width="21.85546875" style="227" bestFit="1" customWidth="1"/>
    <col min="516" max="516" width="38.5703125" style="227" bestFit="1" customWidth="1"/>
    <col min="517" max="517" width="13.28515625" style="227" customWidth="1"/>
    <col min="518" max="518" width="20.5703125" style="227" customWidth="1"/>
    <col min="519" max="519" width="13.7109375" style="227" customWidth="1"/>
    <col min="520" max="520" width="13.5703125" style="227" customWidth="1"/>
    <col min="521" max="768" width="9.140625" style="227"/>
    <col min="769" max="769" width="54.28515625" style="227" bestFit="1" customWidth="1"/>
    <col min="770" max="770" width="19.140625" style="227" customWidth="1"/>
    <col min="771" max="771" width="21.85546875" style="227" bestFit="1" customWidth="1"/>
    <col min="772" max="772" width="38.5703125" style="227" bestFit="1" customWidth="1"/>
    <col min="773" max="773" width="13.28515625" style="227" customWidth="1"/>
    <col min="774" max="774" width="20.5703125" style="227" customWidth="1"/>
    <col min="775" max="775" width="13.7109375" style="227" customWidth="1"/>
    <col min="776" max="776" width="13.5703125" style="227" customWidth="1"/>
    <col min="777" max="1024" width="9.140625" style="227"/>
    <col min="1025" max="1025" width="54.28515625" style="227" bestFit="1" customWidth="1"/>
    <col min="1026" max="1026" width="19.140625" style="227" customWidth="1"/>
    <col min="1027" max="1027" width="21.85546875" style="227" bestFit="1" customWidth="1"/>
    <col min="1028" max="1028" width="38.5703125" style="227" bestFit="1" customWidth="1"/>
    <col min="1029" max="1029" width="13.28515625" style="227" customWidth="1"/>
    <col min="1030" max="1030" width="20.5703125" style="227" customWidth="1"/>
    <col min="1031" max="1031" width="13.7109375" style="227" customWidth="1"/>
    <col min="1032" max="1032" width="13.5703125" style="227" customWidth="1"/>
    <col min="1033" max="1280" width="9.140625" style="227"/>
    <col min="1281" max="1281" width="54.28515625" style="227" bestFit="1" customWidth="1"/>
    <col min="1282" max="1282" width="19.140625" style="227" customWidth="1"/>
    <col min="1283" max="1283" width="21.85546875" style="227" bestFit="1" customWidth="1"/>
    <col min="1284" max="1284" width="38.5703125" style="227" bestFit="1" customWidth="1"/>
    <col min="1285" max="1285" width="13.28515625" style="227" customWidth="1"/>
    <col min="1286" max="1286" width="20.5703125" style="227" customWidth="1"/>
    <col min="1287" max="1287" width="13.7109375" style="227" customWidth="1"/>
    <col min="1288" max="1288" width="13.5703125" style="227" customWidth="1"/>
    <col min="1289" max="1536" width="9.140625" style="227"/>
    <col min="1537" max="1537" width="54.28515625" style="227" bestFit="1" customWidth="1"/>
    <col min="1538" max="1538" width="19.140625" style="227" customWidth="1"/>
    <col min="1539" max="1539" width="21.85546875" style="227" bestFit="1" customWidth="1"/>
    <col min="1540" max="1540" width="38.5703125" style="227" bestFit="1" customWidth="1"/>
    <col min="1541" max="1541" width="13.28515625" style="227" customWidth="1"/>
    <col min="1542" max="1542" width="20.5703125" style="227" customWidth="1"/>
    <col min="1543" max="1543" width="13.7109375" style="227" customWidth="1"/>
    <col min="1544" max="1544" width="13.5703125" style="227" customWidth="1"/>
    <col min="1545" max="1792" width="9.140625" style="227"/>
    <col min="1793" max="1793" width="54.28515625" style="227" bestFit="1" customWidth="1"/>
    <col min="1794" max="1794" width="19.140625" style="227" customWidth="1"/>
    <col min="1795" max="1795" width="21.85546875" style="227" bestFit="1" customWidth="1"/>
    <col min="1796" max="1796" width="38.5703125" style="227" bestFit="1" customWidth="1"/>
    <col min="1797" max="1797" width="13.28515625" style="227" customWidth="1"/>
    <col min="1798" max="1798" width="20.5703125" style="227" customWidth="1"/>
    <col min="1799" max="1799" width="13.7109375" style="227" customWidth="1"/>
    <col min="1800" max="1800" width="13.5703125" style="227" customWidth="1"/>
    <col min="1801" max="2048" width="9.140625" style="227"/>
    <col min="2049" max="2049" width="54.28515625" style="227" bestFit="1" customWidth="1"/>
    <col min="2050" max="2050" width="19.140625" style="227" customWidth="1"/>
    <col min="2051" max="2051" width="21.85546875" style="227" bestFit="1" customWidth="1"/>
    <col min="2052" max="2052" width="38.5703125" style="227" bestFit="1" customWidth="1"/>
    <col min="2053" max="2053" width="13.28515625" style="227" customWidth="1"/>
    <col min="2054" max="2054" width="20.5703125" style="227" customWidth="1"/>
    <col min="2055" max="2055" width="13.7109375" style="227" customWidth="1"/>
    <col min="2056" max="2056" width="13.5703125" style="227" customWidth="1"/>
    <col min="2057" max="2304" width="9.140625" style="227"/>
    <col min="2305" max="2305" width="54.28515625" style="227" bestFit="1" customWidth="1"/>
    <col min="2306" max="2306" width="19.140625" style="227" customWidth="1"/>
    <col min="2307" max="2307" width="21.85546875" style="227" bestFit="1" customWidth="1"/>
    <col min="2308" max="2308" width="38.5703125" style="227" bestFit="1" customWidth="1"/>
    <col min="2309" max="2309" width="13.28515625" style="227" customWidth="1"/>
    <col min="2310" max="2310" width="20.5703125" style="227" customWidth="1"/>
    <col min="2311" max="2311" width="13.7109375" style="227" customWidth="1"/>
    <col min="2312" max="2312" width="13.5703125" style="227" customWidth="1"/>
    <col min="2313" max="2560" width="9.140625" style="227"/>
    <col min="2561" max="2561" width="54.28515625" style="227" bestFit="1" customWidth="1"/>
    <col min="2562" max="2562" width="19.140625" style="227" customWidth="1"/>
    <col min="2563" max="2563" width="21.85546875" style="227" bestFit="1" customWidth="1"/>
    <col min="2564" max="2564" width="38.5703125" style="227" bestFit="1" customWidth="1"/>
    <col min="2565" max="2565" width="13.28515625" style="227" customWidth="1"/>
    <col min="2566" max="2566" width="20.5703125" style="227" customWidth="1"/>
    <col min="2567" max="2567" width="13.7109375" style="227" customWidth="1"/>
    <col min="2568" max="2568" width="13.5703125" style="227" customWidth="1"/>
    <col min="2569" max="2816" width="9.140625" style="227"/>
    <col min="2817" max="2817" width="54.28515625" style="227" bestFit="1" customWidth="1"/>
    <col min="2818" max="2818" width="19.140625" style="227" customWidth="1"/>
    <col min="2819" max="2819" width="21.85546875" style="227" bestFit="1" customWidth="1"/>
    <col min="2820" max="2820" width="38.5703125" style="227" bestFit="1" customWidth="1"/>
    <col min="2821" max="2821" width="13.28515625" style="227" customWidth="1"/>
    <col min="2822" max="2822" width="20.5703125" style="227" customWidth="1"/>
    <col min="2823" max="2823" width="13.7109375" style="227" customWidth="1"/>
    <col min="2824" max="2824" width="13.5703125" style="227" customWidth="1"/>
    <col min="2825" max="3072" width="9.140625" style="227"/>
    <col min="3073" max="3073" width="54.28515625" style="227" bestFit="1" customWidth="1"/>
    <col min="3074" max="3074" width="19.140625" style="227" customWidth="1"/>
    <col min="3075" max="3075" width="21.85546875" style="227" bestFit="1" customWidth="1"/>
    <col min="3076" max="3076" width="38.5703125" style="227" bestFit="1" customWidth="1"/>
    <col min="3077" max="3077" width="13.28515625" style="227" customWidth="1"/>
    <col min="3078" max="3078" width="20.5703125" style="227" customWidth="1"/>
    <col min="3079" max="3079" width="13.7109375" style="227" customWidth="1"/>
    <col min="3080" max="3080" width="13.5703125" style="227" customWidth="1"/>
    <col min="3081" max="3328" width="9.140625" style="227"/>
    <col min="3329" max="3329" width="54.28515625" style="227" bestFit="1" customWidth="1"/>
    <col min="3330" max="3330" width="19.140625" style="227" customWidth="1"/>
    <col min="3331" max="3331" width="21.85546875" style="227" bestFit="1" customWidth="1"/>
    <col min="3332" max="3332" width="38.5703125" style="227" bestFit="1" customWidth="1"/>
    <col min="3333" max="3333" width="13.28515625" style="227" customWidth="1"/>
    <col min="3334" max="3334" width="20.5703125" style="227" customWidth="1"/>
    <col min="3335" max="3335" width="13.7109375" style="227" customWidth="1"/>
    <col min="3336" max="3336" width="13.5703125" style="227" customWidth="1"/>
    <col min="3337" max="3584" width="9.140625" style="227"/>
    <col min="3585" max="3585" width="54.28515625" style="227" bestFit="1" customWidth="1"/>
    <col min="3586" max="3586" width="19.140625" style="227" customWidth="1"/>
    <col min="3587" max="3587" width="21.85546875" style="227" bestFit="1" customWidth="1"/>
    <col min="3588" max="3588" width="38.5703125" style="227" bestFit="1" customWidth="1"/>
    <col min="3589" max="3589" width="13.28515625" style="227" customWidth="1"/>
    <col min="3590" max="3590" width="20.5703125" style="227" customWidth="1"/>
    <col min="3591" max="3591" width="13.7109375" style="227" customWidth="1"/>
    <col min="3592" max="3592" width="13.5703125" style="227" customWidth="1"/>
    <col min="3593" max="3840" width="9.140625" style="227"/>
    <col min="3841" max="3841" width="54.28515625" style="227" bestFit="1" customWidth="1"/>
    <col min="3842" max="3842" width="19.140625" style="227" customWidth="1"/>
    <col min="3843" max="3843" width="21.85546875" style="227" bestFit="1" customWidth="1"/>
    <col min="3844" max="3844" width="38.5703125" style="227" bestFit="1" customWidth="1"/>
    <col min="3845" max="3845" width="13.28515625" style="227" customWidth="1"/>
    <col min="3846" max="3846" width="20.5703125" style="227" customWidth="1"/>
    <col min="3847" max="3847" width="13.7109375" style="227" customWidth="1"/>
    <col min="3848" max="3848" width="13.5703125" style="227" customWidth="1"/>
    <col min="3849" max="4096" width="9.140625" style="227"/>
    <col min="4097" max="4097" width="54.28515625" style="227" bestFit="1" customWidth="1"/>
    <col min="4098" max="4098" width="19.140625" style="227" customWidth="1"/>
    <col min="4099" max="4099" width="21.85546875" style="227" bestFit="1" customWidth="1"/>
    <col min="4100" max="4100" width="38.5703125" style="227" bestFit="1" customWidth="1"/>
    <col min="4101" max="4101" width="13.28515625" style="227" customWidth="1"/>
    <col min="4102" max="4102" width="20.5703125" style="227" customWidth="1"/>
    <col min="4103" max="4103" width="13.7109375" style="227" customWidth="1"/>
    <col min="4104" max="4104" width="13.5703125" style="227" customWidth="1"/>
    <col min="4105" max="4352" width="9.140625" style="227"/>
    <col min="4353" max="4353" width="54.28515625" style="227" bestFit="1" customWidth="1"/>
    <col min="4354" max="4354" width="19.140625" style="227" customWidth="1"/>
    <col min="4355" max="4355" width="21.85546875" style="227" bestFit="1" customWidth="1"/>
    <col min="4356" max="4356" width="38.5703125" style="227" bestFit="1" customWidth="1"/>
    <col min="4357" max="4357" width="13.28515625" style="227" customWidth="1"/>
    <col min="4358" max="4358" width="20.5703125" style="227" customWidth="1"/>
    <col min="4359" max="4359" width="13.7109375" style="227" customWidth="1"/>
    <col min="4360" max="4360" width="13.5703125" style="227" customWidth="1"/>
    <col min="4361" max="4608" width="9.140625" style="227"/>
    <col min="4609" max="4609" width="54.28515625" style="227" bestFit="1" customWidth="1"/>
    <col min="4610" max="4610" width="19.140625" style="227" customWidth="1"/>
    <col min="4611" max="4611" width="21.85546875" style="227" bestFit="1" customWidth="1"/>
    <col min="4612" max="4612" width="38.5703125" style="227" bestFit="1" customWidth="1"/>
    <col min="4613" max="4613" width="13.28515625" style="227" customWidth="1"/>
    <col min="4614" max="4614" width="20.5703125" style="227" customWidth="1"/>
    <col min="4615" max="4615" width="13.7109375" style="227" customWidth="1"/>
    <col min="4616" max="4616" width="13.5703125" style="227" customWidth="1"/>
    <col min="4617" max="4864" width="9.140625" style="227"/>
    <col min="4865" max="4865" width="54.28515625" style="227" bestFit="1" customWidth="1"/>
    <col min="4866" max="4866" width="19.140625" style="227" customWidth="1"/>
    <col min="4867" max="4867" width="21.85546875" style="227" bestFit="1" customWidth="1"/>
    <col min="4868" max="4868" width="38.5703125" style="227" bestFit="1" customWidth="1"/>
    <col min="4869" max="4869" width="13.28515625" style="227" customWidth="1"/>
    <col min="4870" max="4870" width="20.5703125" style="227" customWidth="1"/>
    <col min="4871" max="4871" width="13.7109375" style="227" customWidth="1"/>
    <col min="4872" max="4872" width="13.5703125" style="227" customWidth="1"/>
    <col min="4873" max="5120" width="9.140625" style="227"/>
    <col min="5121" max="5121" width="54.28515625" style="227" bestFit="1" customWidth="1"/>
    <col min="5122" max="5122" width="19.140625" style="227" customWidth="1"/>
    <col min="5123" max="5123" width="21.85546875" style="227" bestFit="1" customWidth="1"/>
    <col min="5124" max="5124" width="38.5703125" style="227" bestFit="1" customWidth="1"/>
    <col min="5125" max="5125" width="13.28515625" style="227" customWidth="1"/>
    <col min="5126" max="5126" width="20.5703125" style="227" customWidth="1"/>
    <col min="5127" max="5127" width="13.7109375" style="227" customWidth="1"/>
    <col min="5128" max="5128" width="13.5703125" style="227" customWidth="1"/>
    <col min="5129" max="5376" width="9.140625" style="227"/>
    <col min="5377" max="5377" width="54.28515625" style="227" bestFit="1" customWidth="1"/>
    <col min="5378" max="5378" width="19.140625" style="227" customWidth="1"/>
    <col min="5379" max="5379" width="21.85546875" style="227" bestFit="1" customWidth="1"/>
    <col min="5380" max="5380" width="38.5703125" style="227" bestFit="1" customWidth="1"/>
    <col min="5381" max="5381" width="13.28515625" style="227" customWidth="1"/>
    <col min="5382" max="5382" width="20.5703125" style="227" customWidth="1"/>
    <col min="5383" max="5383" width="13.7109375" style="227" customWidth="1"/>
    <col min="5384" max="5384" width="13.5703125" style="227" customWidth="1"/>
    <col min="5385" max="5632" width="9.140625" style="227"/>
    <col min="5633" max="5633" width="54.28515625" style="227" bestFit="1" customWidth="1"/>
    <col min="5634" max="5634" width="19.140625" style="227" customWidth="1"/>
    <col min="5635" max="5635" width="21.85546875" style="227" bestFit="1" customWidth="1"/>
    <col min="5636" max="5636" width="38.5703125" style="227" bestFit="1" customWidth="1"/>
    <col min="5637" max="5637" width="13.28515625" style="227" customWidth="1"/>
    <col min="5638" max="5638" width="20.5703125" style="227" customWidth="1"/>
    <col min="5639" max="5639" width="13.7109375" style="227" customWidth="1"/>
    <col min="5640" max="5640" width="13.5703125" style="227" customWidth="1"/>
    <col min="5641" max="5888" width="9.140625" style="227"/>
    <col min="5889" max="5889" width="54.28515625" style="227" bestFit="1" customWidth="1"/>
    <col min="5890" max="5890" width="19.140625" style="227" customWidth="1"/>
    <col min="5891" max="5891" width="21.85546875" style="227" bestFit="1" customWidth="1"/>
    <col min="5892" max="5892" width="38.5703125" style="227" bestFit="1" customWidth="1"/>
    <col min="5893" max="5893" width="13.28515625" style="227" customWidth="1"/>
    <col min="5894" max="5894" width="20.5703125" style="227" customWidth="1"/>
    <col min="5895" max="5895" width="13.7109375" style="227" customWidth="1"/>
    <col min="5896" max="5896" width="13.5703125" style="227" customWidth="1"/>
    <col min="5897" max="6144" width="9.140625" style="227"/>
    <col min="6145" max="6145" width="54.28515625" style="227" bestFit="1" customWidth="1"/>
    <col min="6146" max="6146" width="19.140625" style="227" customWidth="1"/>
    <col min="6147" max="6147" width="21.85546875" style="227" bestFit="1" customWidth="1"/>
    <col min="6148" max="6148" width="38.5703125" style="227" bestFit="1" customWidth="1"/>
    <col min="6149" max="6149" width="13.28515625" style="227" customWidth="1"/>
    <col min="6150" max="6150" width="20.5703125" style="227" customWidth="1"/>
    <col min="6151" max="6151" width="13.7109375" style="227" customWidth="1"/>
    <col min="6152" max="6152" width="13.5703125" style="227" customWidth="1"/>
    <col min="6153" max="6400" width="9.140625" style="227"/>
    <col min="6401" max="6401" width="54.28515625" style="227" bestFit="1" customWidth="1"/>
    <col min="6402" max="6402" width="19.140625" style="227" customWidth="1"/>
    <col min="6403" max="6403" width="21.85546875" style="227" bestFit="1" customWidth="1"/>
    <col min="6404" max="6404" width="38.5703125" style="227" bestFit="1" customWidth="1"/>
    <col min="6405" max="6405" width="13.28515625" style="227" customWidth="1"/>
    <col min="6406" max="6406" width="20.5703125" style="227" customWidth="1"/>
    <col min="6407" max="6407" width="13.7109375" style="227" customWidth="1"/>
    <col min="6408" max="6408" width="13.5703125" style="227" customWidth="1"/>
    <col min="6409" max="6656" width="9.140625" style="227"/>
    <col min="6657" max="6657" width="54.28515625" style="227" bestFit="1" customWidth="1"/>
    <col min="6658" max="6658" width="19.140625" style="227" customWidth="1"/>
    <col min="6659" max="6659" width="21.85546875" style="227" bestFit="1" customWidth="1"/>
    <col min="6660" max="6660" width="38.5703125" style="227" bestFit="1" customWidth="1"/>
    <col min="6661" max="6661" width="13.28515625" style="227" customWidth="1"/>
    <col min="6662" max="6662" width="20.5703125" style="227" customWidth="1"/>
    <col min="6663" max="6663" width="13.7109375" style="227" customWidth="1"/>
    <col min="6664" max="6664" width="13.5703125" style="227" customWidth="1"/>
    <col min="6665" max="6912" width="9.140625" style="227"/>
    <col min="6913" max="6913" width="54.28515625" style="227" bestFit="1" customWidth="1"/>
    <col min="6914" max="6914" width="19.140625" style="227" customWidth="1"/>
    <col min="6915" max="6915" width="21.85546875" style="227" bestFit="1" customWidth="1"/>
    <col min="6916" max="6916" width="38.5703125" style="227" bestFit="1" customWidth="1"/>
    <col min="6917" max="6917" width="13.28515625" style="227" customWidth="1"/>
    <col min="6918" max="6918" width="20.5703125" style="227" customWidth="1"/>
    <col min="6919" max="6919" width="13.7109375" style="227" customWidth="1"/>
    <col min="6920" max="6920" width="13.5703125" style="227" customWidth="1"/>
    <col min="6921" max="7168" width="9.140625" style="227"/>
    <col min="7169" max="7169" width="54.28515625" style="227" bestFit="1" customWidth="1"/>
    <col min="7170" max="7170" width="19.140625" style="227" customWidth="1"/>
    <col min="7171" max="7171" width="21.85546875" style="227" bestFit="1" customWidth="1"/>
    <col min="7172" max="7172" width="38.5703125" style="227" bestFit="1" customWidth="1"/>
    <col min="7173" max="7173" width="13.28515625" style="227" customWidth="1"/>
    <col min="7174" max="7174" width="20.5703125" style="227" customWidth="1"/>
    <col min="7175" max="7175" width="13.7109375" style="227" customWidth="1"/>
    <col min="7176" max="7176" width="13.5703125" style="227" customWidth="1"/>
    <col min="7177" max="7424" width="9.140625" style="227"/>
    <col min="7425" max="7425" width="54.28515625" style="227" bestFit="1" customWidth="1"/>
    <col min="7426" max="7426" width="19.140625" style="227" customWidth="1"/>
    <col min="7427" max="7427" width="21.85546875" style="227" bestFit="1" customWidth="1"/>
    <col min="7428" max="7428" width="38.5703125" style="227" bestFit="1" customWidth="1"/>
    <col min="7429" max="7429" width="13.28515625" style="227" customWidth="1"/>
    <col min="7430" max="7430" width="20.5703125" style="227" customWidth="1"/>
    <col min="7431" max="7431" width="13.7109375" style="227" customWidth="1"/>
    <col min="7432" max="7432" width="13.5703125" style="227" customWidth="1"/>
    <col min="7433" max="7680" width="9.140625" style="227"/>
    <col min="7681" max="7681" width="54.28515625" style="227" bestFit="1" customWidth="1"/>
    <col min="7682" max="7682" width="19.140625" style="227" customWidth="1"/>
    <col min="7683" max="7683" width="21.85546875" style="227" bestFit="1" customWidth="1"/>
    <col min="7684" max="7684" width="38.5703125" style="227" bestFit="1" customWidth="1"/>
    <col min="7685" max="7685" width="13.28515625" style="227" customWidth="1"/>
    <col min="7686" max="7686" width="20.5703125" style="227" customWidth="1"/>
    <col min="7687" max="7687" width="13.7109375" style="227" customWidth="1"/>
    <col min="7688" max="7688" width="13.5703125" style="227" customWidth="1"/>
    <col min="7689" max="7936" width="9.140625" style="227"/>
    <col min="7937" max="7937" width="54.28515625" style="227" bestFit="1" customWidth="1"/>
    <col min="7938" max="7938" width="19.140625" style="227" customWidth="1"/>
    <col min="7939" max="7939" width="21.85546875" style="227" bestFit="1" customWidth="1"/>
    <col min="7940" max="7940" width="38.5703125" style="227" bestFit="1" customWidth="1"/>
    <col min="7941" max="7941" width="13.28515625" style="227" customWidth="1"/>
    <col min="7942" max="7942" width="20.5703125" style="227" customWidth="1"/>
    <col min="7943" max="7943" width="13.7109375" style="227" customWidth="1"/>
    <col min="7944" max="7944" width="13.5703125" style="227" customWidth="1"/>
    <col min="7945" max="8192" width="9.140625" style="227"/>
    <col min="8193" max="8193" width="54.28515625" style="227" bestFit="1" customWidth="1"/>
    <col min="8194" max="8194" width="19.140625" style="227" customWidth="1"/>
    <col min="8195" max="8195" width="21.85546875" style="227" bestFit="1" customWidth="1"/>
    <col min="8196" max="8196" width="38.5703125" style="227" bestFit="1" customWidth="1"/>
    <col min="8197" max="8197" width="13.28515625" style="227" customWidth="1"/>
    <col min="8198" max="8198" width="20.5703125" style="227" customWidth="1"/>
    <col min="8199" max="8199" width="13.7109375" style="227" customWidth="1"/>
    <col min="8200" max="8200" width="13.5703125" style="227" customWidth="1"/>
    <col min="8201" max="8448" width="9.140625" style="227"/>
    <col min="8449" max="8449" width="54.28515625" style="227" bestFit="1" customWidth="1"/>
    <col min="8450" max="8450" width="19.140625" style="227" customWidth="1"/>
    <col min="8451" max="8451" width="21.85546875" style="227" bestFit="1" customWidth="1"/>
    <col min="8452" max="8452" width="38.5703125" style="227" bestFit="1" customWidth="1"/>
    <col min="8453" max="8453" width="13.28515625" style="227" customWidth="1"/>
    <col min="8454" max="8454" width="20.5703125" style="227" customWidth="1"/>
    <col min="8455" max="8455" width="13.7109375" style="227" customWidth="1"/>
    <col min="8456" max="8456" width="13.5703125" style="227" customWidth="1"/>
    <col min="8457" max="8704" width="9.140625" style="227"/>
    <col min="8705" max="8705" width="54.28515625" style="227" bestFit="1" customWidth="1"/>
    <col min="8706" max="8706" width="19.140625" style="227" customWidth="1"/>
    <col min="8707" max="8707" width="21.85546875" style="227" bestFit="1" customWidth="1"/>
    <col min="8708" max="8708" width="38.5703125" style="227" bestFit="1" customWidth="1"/>
    <col min="8709" max="8709" width="13.28515625" style="227" customWidth="1"/>
    <col min="8710" max="8710" width="20.5703125" style="227" customWidth="1"/>
    <col min="8711" max="8711" width="13.7109375" style="227" customWidth="1"/>
    <col min="8712" max="8712" width="13.5703125" style="227" customWidth="1"/>
    <col min="8713" max="8960" width="9.140625" style="227"/>
    <col min="8961" max="8961" width="54.28515625" style="227" bestFit="1" customWidth="1"/>
    <col min="8962" max="8962" width="19.140625" style="227" customWidth="1"/>
    <col min="8963" max="8963" width="21.85546875" style="227" bestFit="1" customWidth="1"/>
    <col min="8964" max="8964" width="38.5703125" style="227" bestFit="1" customWidth="1"/>
    <col min="8965" max="8965" width="13.28515625" style="227" customWidth="1"/>
    <col min="8966" max="8966" width="20.5703125" style="227" customWidth="1"/>
    <col min="8967" max="8967" width="13.7109375" style="227" customWidth="1"/>
    <col min="8968" max="8968" width="13.5703125" style="227" customWidth="1"/>
    <col min="8969" max="9216" width="9.140625" style="227"/>
    <col min="9217" max="9217" width="54.28515625" style="227" bestFit="1" customWidth="1"/>
    <col min="9218" max="9218" width="19.140625" style="227" customWidth="1"/>
    <col min="9219" max="9219" width="21.85546875" style="227" bestFit="1" customWidth="1"/>
    <col min="9220" max="9220" width="38.5703125" style="227" bestFit="1" customWidth="1"/>
    <col min="9221" max="9221" width="13.28515625" style="227" customWidth="1"/>
    <col min="9222" max="9222" width="20.5703125" style="227" customWidth="1"/>
    <col min="9223" max="9223" width="13.7109375" style="227" customWidth="1"/>
    <col min="9224" max="9224" width="13.5703125" style="227" customWidth="1"/>
    <col min="9225" max="9472" width="9.140625" style="227"/>
    <col min="9473" max="9473" width="54.28515625" style="227" bestFit="1" customWidth="1"/>
    <col min="9474" max="9474" width="19.140625" style="227" customWidth="1"/>
    <col min="9475" max="9475" width="21.85546875" style="227" bestFit="1" customWidth="1"/>
    <col min="9476" max="9476" width="38.5703125" style="227" bestFit="1" customWidth="1"/>
    <col min="9477" max="9477" width="13.28515625" style="227" customWidth="1"/>
    <col min="9478" max="9478" width="20.5703125" style="227" customWidth="1"/>
    <col min="9479" max="9479" width="13.7109375" style="227" customWidth="1"/>
    <col min="9480" max="9480" width="13.5703125" style="227" customWidth="1"/>
    <col min="9481" max="9728" width="9.140625" style="227"/>
    <col min="9729" max="9729" width="54.28515625" style="227" bestFit="1" customWidth="1"/>
    <col min="9730" max="9730" width="19.140625" style="227" customWidth="1"/>
    <col min="9731" max="9731" width="21.85546875" style="227" bestFit="1" customWidth="1"/>
    <col min="9732" max="9732" width="38.5703125" style="227" bestFit="1" customWidth="1"/>
    <col min="9733" max="9733" width="13.28515625" style="227" customWidth="1"/>
    <col min="9734" max="9734" width="20.5703125" style="227" customWidth="1"/>
    <col min="9735" max="9735" width="13.7109375" style="227" customWidth="1"/>
    <col min="9736" max="9736" width="13.5703125" style="227" customWidth="1"/>
    <col min="9737" max="9984" width="9.140625" style="227"/>
    <col min="9985" max="9985" width="54.28515625" style="227" bestFit="1" customWidth="1"/>
    <col min="9986" max="9986" width="19.140625" style="227" customWidth="1"/>
    <col min="9987" max="9987" width="21.85546875" style="227" bestFit="1" customWidth="1"/>
    <col min="9988" max="9988" width="38.5703125" style="227" bestFit="1" customWidth="1"/>
    <col min="9989" max="9989" width="13.28515625" style="227" customWidth="1"/>
    <col min="9990" max="9990" width="20.5703125" style="227" customWidth="1"/>
    <col min="9991" max="9991" width="13.7109375" style="227" customWidth="1"/>
    <col min="9992" max="9992" width="13.5703125" style="227" customWidth="1"/>
    <col min="9993" max="10240" width="9.140625" style="227"/>
    <col min="10241" max="10241" width="54.28515625" style="227" bestFit="1" customWidth="1"/>
    <col min="10242" max="10242" width="19.140625" style="227" customWidth="1"/>
    <col min="10243" max="10243" width="21.85546875" style="227" bestFit="1" customWidth="1"/>
    <col min="10244" max="10244" width="38.5703125" style="227" bestFit="1" customWidth="1"/>
    <col min="10245" max="10245" width="13.28515625" style="227" customWidth="1"/>
    <col min="10246" max="10246" width="20.5703125" style="227" customWidth="1"/>
    <col min="10247" max="10247" width="13.7109375" style="227" customWidth="1"/>
    <col min="10248" max="10248" width="13.5703125" style="227" customWidth="1"/>
    <col min="10249" max="10496" width="9.140625" style="227"/>
    <col min="10497" max="10497" width="54.28515625" style="227" bestFit="1" customWidth="1"/>
    <col min="10498" max="10498" width="19.140625" style="227" customWidth="1"/>
    <col min="10499" max="10499" width="21.85546875" style="227" bestFit="1" customWidth="1"/>
    <col min="10500" max="10500" width="38.5703125" style="227" bestFit="1" customWidth="1"/>
    <col min="10501" max="10501" width="13.28515625" style="227" customWidth="1"/>
    <col min="10502" max="10502" width="20.5703125" style="227" customWidth="1"/>
    <col min="10503" max="10503" width="13.7109375" style="227" customWidth="1"/>
    <col min="10504" max="10504" width="13.5703125" style="227" customWidth="1"/>
    <col min="10505" max="10752" width="9.140625" style="227"/>
    <col min="10753" max="10753" width="54.28515625" style="227" bestFit="1" customWidth="1"/>
    <col min="10754" max="10754" width="19.140625" style="227" customWidth="1"/>
    <col min="10755" max="10755" width="21.85546875" style="227" bestFit="1" customWidth="1"/>
    <col min="10756" max="10756" width="38.5703125" style="227" bestFit="1" customWidth="1"/>
    <col min="10757" max="10757" width="13.28515625" style="227" customWidth="1"/>
    <col min="10758" max="10758" width="20.5703125" style="227" customWidth="1"/>
    <col min="10759" max="10759" width="13.7109375" style="227" customWidth="1"/>
    <col min="10760" max="10760" width="13.5703125" style="227" customWidth="1"/>
    <col min="10761" max="11008" width="9.140625" style="227"/>
    <col min="11009" max="11009" width="54.28515625" style="227" bestFit="1" customWidth="1"/>
    <col min="11010" max="11010" width="19.140625" style="227" customWidth="1"/>
    <col min="11011" max="11011" width="21.85546875" style="227" bestFit="1" customWidth="1"/>
    <col min="11012" max="11012" width="38.5703125" style="227" bestFit="1" customWidth="1"/>
    <col min="11013" max="11013" width="13.28515625" style="227" customWidth="1"/>
    <col min="11014" max="11014" width="20.5703125" style="227" customWidth="1"/>
    <col min="11015" max="11015" width="13.7109375" style="227" customWidth="1"/>
    <col min="11016" max="11016" width="13.5703125" style="227" customWidth="1"/>
    <col min="11017" max="11264" width="9.140625" style="227"/>
    <col min="11265" max="11265" width="54.28515625" style="227" bestFit="1" customWidth="1"/>
    <col min="11266" max="11266" width="19.140625" style="227" customWidth="1"/>
    <col min="11267" max="11267" width="21.85546875" style="227" bestFit="1" customWidth="1"/>
    <col min="11268" max="11268" width="38.5703125" style="227" bestFit="1" customWidth="1"/>
    <col min="11269" max="11269" width="13.28515625" style="227" customWidth="1"/>
    <col min="11270" max="11270" width="20.5703125" style="227" customWidth="1"/>
    <col min="11271" max="11271" width="13.7109375" style="227" customWidth="1"/>
    <col min="11272" max="11272" width="13.5703125" style="227" customWidth="1"/>
    <col min="11273" max="11520" width="9.140625" style="227"/>
    <col min="11521" max="11521" width="54.28515625" style="227" bestFit="1" customWidth="1"/>
    <col min="11522" max="11522" width="19.140625" style="227" customWidth="1"/>
    <col min="11523" max="11523" width="21.85546875" style="227" bestFit="1" customWidth="1"/>
    <col min="11524" max="11524" width="38.5703125" style="227" bestFit="1" customWidth="1"/>
    <col min="11525" max="11525" width="13.28515625" style="227" customWidth="1"/>
    <col min="11526" max="11526" width="20.5703125" style="227" customWidth="1"/>
    <col min="11527" max="11527" width="13.7109375" style="227" customWidth="1"/>
    <col min="11528" max="11528" width="13.5703125" style="227" customWidth="1"/>
    <col min="11529" max="11776" width="9.140625" style="227"/>
    <col min="11777" max="11777" width="54.28515625" style="227" bestFit="1" customWidth="1"/>
    <col min="11778" max="11778" width="19.140625" style="227" customWidth="1"/>
    <col min="11779" max="11779" width="21.85546875" style="227" bestFit="1" customWidth="1"/>
    <col min="11780" max="11780" width="38.5703125" style="227" bestFit="1" customWidth="1"/>
    <col min="11781" max="11781" width="13.28515625" style="227" customWidth="1"/>
    <col min="11782" max="11782" width="20.5703125" style="227" customWidth="1"/>
    <col min="11783" max="11783" width="13.7109375" style="227" customWidth="1"/>
    <col min="11784" max="11784" width="13.5703125" style="227" customWidth="1"/>
    <col min="11785" max="12032" width="9.140625" style="227"/>
    <col min="12033" max="12033" width="54.28515625" style="227" bestFit="1" customWidth="1"/>
    <col min="12034" max="12034" width="19.140625" style="227" customWidth="1"/>
    <col min="12035" max="12035" width="21.85546875" style="227" bestFit="1" customWidth="1"/>
    <col min="12036" max="12036" width="38.5703125" style="227" bestFit="1" customWidth="1"/>
    <col min="12037" max="12037" width="13.28515625" style="227" customWidth="1"/>
    <col min="12038" max="12038" width="20.5703125" style="227" customWidth="1"/>
    <col min="12039" max="12039" width="13.7109375" style="227" customWidth="1"/>
    <col min="12040" max="12040" width="13.5703125" style="227" customWidth="1"/>
    <col min="12041" max="12288" width="9.140625" style="227"/>
    <col min="12289" max="12289" width="54.28515625" style="227" bestFit="1" customWidth="1"/>
    <col min="12290" max="12290" width="19.140625" style="227" customWidth="1"/>
    <col min="12291" max="12291" width="21.85546875" style="227" bestFit="1" customWidth="1"/>
    <col min="12292" max="12292" width="38.5703125" style="227" bestFit="1" customWidth="1"/>
    <col min="12293" max="12293" width="13.28515625" style="227" customWidth="1"/>
    <col min="12294" max="12294" width="20.5703125" style="227" customWidth="1"/>
    <col min="12295" max="12295" width="13.7109375" style="227" customWidth="1"/>
    <col min="12296" max="12296" width="13.5703125" style="227" customWidth="1"/>
    <col min="12297" max="12544" width="9.140625" style="227"/>
    <col min="12545" max="12545" width="54.28515625" style="227" bestFit="1" customWidth="1"/>
    <col min="12546" max="12546" width="19.140625" style="227" customWidth="1"/>
    <col min="12547" max="12547" width="21.85546875" style="227" bestFit="1" customWidth="1"/>
    <col min="12548" max="12548" width="38.5703125" style="227" bestFit="1" customWidth="1"/>
    <col min="12549" max="12549" width="13.28515625" style="227" customWidth="1"/>
    <col min="12550" max="12550" width="20.5703125" style="227" customWidth="1"/>
    <col min="12551" max="12551" width="13.7109375" style="227" customWidth="1"/>
    <col min="12552" max="12552" width="13.5703125" style="227" customWidth="1"/>
    <col min="12553" max="12800" width="9.140625" style="227"/>
    <col min="12801" max="12801" width="54.28515625" style="227" bestFit="1" customWidth="1"/>
    <col min="12802" max="12802" width="19.140625" style="227" customWidth="1"/>
    <col min="12803" max="12803" width="21.85546875" style="227" bestFit="1" customWidth="1"/>
    <col min="12804" max="12804" width="38.5703125" style="227" bestFit="1" customWidth="1"/>
    <col min="12805" max="12805" width="13.28515625" style="227" customWidth="1"/>
    <col min="12806" max="12806" width="20.5703125" style="227" customWidth="1"/>
    <col min="12807" max="12807" width="13.7109375" style="227" customWidth="1"/>
    <col min="12808" max="12808" width="13.5703125" style="227" customWidth="1"/>
    <col min="12809" max="13056" width="9.140625" style="227"/>
    <col min="13057" max="13057" width="54.28515625" style="227" bestFit="1" customWidth="1"/>
    <col min="13058" max="13058" width="19.140625" style="227" customWidth="1"/>
    <col min="13059" max="13059" width="21.85546875" style="227" bestFit="1" customWidth="1"/>
    <col min="13060" max="13060" width="38.5703125" style="227" bestFit="1" customWidth="1"/>
    <col min="13061" max="13061" width="13.28515625" style="227" customWidth="1"/>
    <col min="13062" max="13062" width="20.5703125" style="227" customWidth="1"/>
    <col min="13063" max="13063" width="13.7109375" style="227" customWidth="1"/>
    <col min="13064" max="13064" width="13.5703125" style="227" customWidth="1"/>
    <col min="13065" max="13312" width="9.140625" style="227"/>
    <col min="13313" max="13313" width="54.28515625" style="227" bestFit="1" customWidth="1"/>
    <col min="13314" max="13314" width="19.140625" style="227" customWidth="1"/>
    <col min="13315" max="13315" width="21.85546875" style="227" bestFit="1" customWidth="1"/>
    <col min="13316" max="13316" width="38.5703125" style="227" bestFit="1" customWidth="1"/>
    <col min="13317" max="13317" width="13.28515625" style="227" customWidth="1"/>
    <col min="13318" max="13318" width="20.5703125" style="227" customWidth="1"/>
    <col min="13319" max="13319" width="13.7109375" style="227" customWidth="1"/>
    <col min="13320" max="13320" width="13.5703125" style="227" customWidth="1"/>
    <col min="13321" max="13568" width="9.140625" style="227"/>
    <col min="13569" max="13569" width="54.28515625" style="227" bestFit="1" customWidth="1"/>
    <col min="13570" max="13570" width="19.140625" style="227" customWidth="1"/>
    <col min="13571" max="13571" width="21.85546875" style="227" bestFit="1" customWidth="1"/>
    <col min="13572" max="13572" width="38.5703125" style="227" bestFit="1" customWidth="1"/>
    <col min="13573" max="13573" width="13.28515625" style="227" customWidth="1"/>
    <col min="13574" max="13574" width="20.5703125" style="227" customWidth="1"/>
    <col min="13575" max="13575" width="13.7109375" style="227" customWidth="1"/>
    <col min="13576" max="13576" width="13.5703125" style="227" customWidth="1"/>
    <col min="13577" max="13824" width="9.140625" style="227"/>
    <col min="13825" max="13825" width="54.28515625" style="227" bestFit="1" customWidth="1"/>
    <col min="13826" max="13826" width="19.140625" style="227" customWidth="1"/>
    <col min="13827" max="13827" width="21.85546875" style="227" bestFit="1" customWidth="1"/>
    <col min="13828" max="13828" width="38.5703125" style="227" bestFit="1" customWidth="1"/>
    <col min="13829" max="13829" width="13.28515625" style="227" customWidth="1"/>
    <col min="13830" max="13830" width="20.5703125" style="227" customWidth="1"/>
    <col min="13831" max="13831" width="13.7109375" style="227" customWidth="1"/>
    <col min="13832" max="13832" width="13.5703125" style="227" customWidth="1"/>
    <col min="13833" max="14080" width="9.140625" style="227"/>
    <col min="14081" max="14081" width="54.28515625" style="227" bestFit="1" customWidth="1"/>
    <col min="14082" max="14082" width="19.140625" style="227" customWidth="1"/>
    <col min="14083" max="14083" width="21.85546875" style="227" bestFit="1" customWidth="1"/>
    <col min="14084" max="14084" width="38.5703125" style="227" bestFit="1" customWidth="1"/>
    <col min="14085" max="14085" width="13.28515625" style="227" customWidth="1"/>
    <col min="14086" max="14086" width="20.5703125" style="227" customWidth="1"/>
    <col min="14087" max="14087" width="13.7109375" style="227" customWidth="1"/>
    <col min="14088" max="14088" width="13.5703125" style="227" customWidth="1"/>
    <col min="14089" max="14336" width="9.140625" style="227"/>
    <col min="14337" max="14337" width="54.28515625" style="227" bestFit="1" customWidth="1"/>
    <col min="14338" max="14338" width="19.140625" style="227" customWidth="1"/>
    <col min="14339" max="14339" width="21.85546875" style="227" bestFit="1" customWidth="1"/>
    <col min="14340" max="14340" width="38.5703125" style="227" bestFit="1" customWidth="1"/>
    <col min="14341" max="14341" width="13.28515625" style="227" customWidth="1"/>
    <col min="14342" max="14342" width="20.5703125" style="227" customWidth="1"/>
    <col min="14343" max="14343" width="13.7109375" style="227" customWidth="1"/>
    <col min="14344" max="14344" width="13.5703125" style="227" customWidth="1"/>
    <col min="14345" max="14592" width="9.140625" style="227"/>
    <col min="14593" max="14593" width="54.28515625" style="227" bestFit="1" customWidth="1"/>
    <col min="14594" max="14594" width="19.140625" style="227" customWidth="1"/>
    <col min="14595" max="14595" width="21.85546875" style="227" bestFit="1" customWidth="1"/>
    <col min="14596" max="14596" width="38.5703125" style="227" bestFit="1" customWidth="1"/>
    <col min="14597" max="14597" width="13.28515625" style="227" customWidth="1"/>
    <col min="14598" max="14598" width="20.5703125" style="227" customWidth="1"/>
    <col min="14599" max="14599" width="13.7109375" style="227" customWidth="1"/>
    <col min="14600" max="14600" width="13.5703125" style="227" customWidth="1"/>
    <col min="14601" max="14848" width="9.140625" style="227"/>
    <col min="14849" max="14849" width="54.28515625" style="227" bestFit="1" customWidth="1"/>
    <col min="14850" max="14850" width="19.140625" style="227" customWidth="1"/>
    <col min="14851" max="14851" width="21.85546875" style="227" bestFit="1" customWidth="1"/>
    <col min="14852" max="14852" width="38.5703125" style="227" bestFit="1" customWidth="1"/>
    <col min="14853" max="14853" width="13.28515625" style="227" customWidth="1"/>
    <col min="14854" max="14854" width="20.5703125" style="227" customWidth="1"/>
    <col min="14855" max="14855" width="13.7109375" style="227" customWidth="1"/>
    <col min="14856" max="14856" width="13.5703125" style="227" customWidth="1"/>
    <col min="14857" max="15104" width="9.140625" style="227"/>
    <col min="15105" max="15105" width="54.28515625" style="227" bestFit="1" customWidth="1"/>
    <col min="15106" max="15106" width="19.140625" style="227" customWidth="1"/>
    <col min="15107" max="15107" width="21.85546875" style="227" bestFit="1" customWidth="1"/>
    <col min="15108" max="15108" width="38.5703125" style="227" bestFit="1" customWidth="1"/>
    <col min="15109" max="15109" width="13.28515625" style="227" customWidth="1"/>
    <col min="15110" max="15110" width="20.5703125" style="227" customWidth="1"/>
    <col min="15111" max="15111" width="13.7109375" style="227" customWidth="1"/>
    <col min="15112" max="15112" width="13.5703125" style="227" customWidth="1"/>
    <col min="15113" max="15360" width="9.140625" style="227"/>
    <col min="15361" max="15361" width="54.28515625" style="227" bestFit="1" customWidth="1"/>
    <col min="15362" max="15362" width="19.140625" style="227" customWidth="1"/>
    <col min="15363" max="15363" width="21.85546875" style="227" bestFit="1" customWidth="1"/>
    <col min="15364" max="15364" width="38.5703125" style="227" bestFit="1" customWidth="1"/>
    <col min="15365" max="15365" width="13.28515625" style="227" customWidth="1"/>
    <col min="15366" max="15366" width="20.5703125" style="227" customWidth="1"/>
    <col min="15367" max="15367" width="13.7109375" style="227" customWidth="1"/>
    <col min="15368" max="15368" width="13.5703125" style="227" customWidth="1"/>
    <col min="15369" max="15616" width="9.140625" style="227"/>
    <col min="15617" max="15617" width="54.28515625" style="227" bestFit="1" customWidth="1"/>
    <col min="15618" max="15618" width="19.140625" style="227" customWidth="1"/>
    <col min="15619" max="15619" width="21.85546875" style="227" bestFit="1" customWidth="1"/>
    <col min="15620" max="15620" width="38.5703125" style="227" bestFit="1" customWidth="1"/>
    <col min="15621" max="15621" width="13.28515625" style="227" customWidth="1"/>
    <col min="15622" max="15622" width="20.5703125" style="227" customWidth="1"/>
    <col min="15623" max="15623" width="13.7109375" style="227" customWidth="1"/>
    <col min="15624" max="15624" width="13.5703125" style="227" customWidth="1"/>
    <col min="15625" max="15872" width="9.140625" style="227"/>
    <col min="15873" max="15873" width="54.28515625" style="227" bestFit="1" customWidth="1"/>
    <col min="15874" max="15874" width="19.140625" style="227" customWidth="1"/>
    <col min="15875" max="15875" width="21.85546875" style="227" bestFit="1" customWidth="1"/>
    <col min="15876" max="15876" width="38.5703125" style="227" bestFit="1" customWidth="1"/>
    <col min="15877" max="15877" width="13.28515625" style="227" customWidth="1"/>
    <col min="15878" max="15878" width="20.5703125" style="227" customWidth="1"/>
    <col min="15879" max="15879" width="13.7109375" style="227" customWidth="1"/>
    <col min="15880" max="15880" width="13.5703125" style="227" customWidth="1"/>
    <col min="15881" max="16128" width="9.140625" style="227"/>
    <col min="16129" max="16129" width="54.28515625" style="227" bestFit="1" customWidth="1"/>
    <col min="16130" max="16130" width="19.140625" style="227" customWidth="1"/>
    <col min="16131" max="16131" width="21.85546875" style="227" bestFit="1" customWidth="1"/>
    <col min="16132" max="16132" width="38.5703125" style="227" bestFit="1" customWidth="1"/>
    <col min="16133" max="16133" width="13.28515625" style="227" customWidth="1"/>
    <col min="16134" max="16134" width="20.5703125" style="227" customWidth="1"/>
    <col min="16135" max="16135" width="13.7109375" style="227" customWidth="1"/>
    <col min="16136" max="16136" width="13.5703125" style="227" customWidth="1"/>
    <col min="16137" max="16384" width="9.140625" style="227"/>
  </cols>
  <sheetData>
    <row r="1" spans="1:6" ht="18" x14ac:dyDescent="0.25">
      <c r="A1" s="290" t="s">
        <v>3979</v>
      </c>
    </row>
    <row r="2" spans="1:6" ht="18" x14ac:dyDescent="0.25">
      <c r="A2" s="290"/>
    </row>
    <row r="3" spans="1:6" x14ac:dyDescent="0.2">
      <c r="A3" s="278" t="s">
        <v>3957</v>
      </c>
    </row>
    <row r="4" spans="1:6" ht="25.5" customHeight="1" x14ac:dyDescent="0.2">
      <c r="A4" s="261" t="s">
        <v>3886</v>
      </c>
      <c r="B4" s="261" t="s">
        <v>3573</v>
      </c>
      <c r="C4" s="261" t="s">
        <v>3956</v>
      </c>
      <c r="D4" s="261" t="s">
        <v>3945</v>
      </c>
      <c r="E4" s="261" t="s">
        <v>3944</v>
      </c>
      <c r="F4" s="260" t="s">
        <v>3955</v>
      </c>
    </row>
    <row r="5" spans="1:6" x14ac:dyDescent="0.2">
      <c r="A5" s="331" t="s">
        <v>2317</v>
      </c>
      <c r="B5" s="330" t="s">
        <v>2316</v>
      </c>
      <c r="C5" s="348">
        <f>SUMIF('Staff data'!$B:$B,$B5,'Staff data'!$O:$O)</f>
        <v>1.1975963873418796</v>
      </c>
      <c r="D5" s="270">
        <f>+$H$55</f>
        <v>429</v>
      </c>
      <c r="E5" s="275">
        <f>D5/D7</f>
        <v>0.50058343057176191</v>
      </c>
      <c r="F5" s="254">
        <f>C5*E5</f>
        <v>0.59949690801594668</v>
      </c>
    </row>
    <row r="6" spans="1:6" x14ac:dyDescent="0.2">
      <c r="A6" s="331" t="s">
        <v>681</v>
      </c>
      <c r="B6" s="330" t="s">
        <v>680</v>
      </c>
      <c r="C6" s="348">
        <f>SUMIF('Staff data'!$B:$B,$B6,'Staff data'!$O:$O)</f>
        <v>1.1792197666390278</v>
      </c>
      <c r="D6" s="270">
        <f>+$H$56</f>
        <v>428</v>
      </c>
      <c r="E6" s="275">
        <f>D6/D7</f>
        <v>0.49941656942823803</v>
      </c>
      <c r="F6" s="254">
        <f>C6*E6</f>
        <v>0.58892189045683074</v>
      </c>
    </row>
    <row r="7" spans="1:6" x14ac:dyDescent="0.2">
      <c r="A7" s="232" t="s">
        <v>3926</v>
      </c>
      <c r="B7" s="267"/>
      <c r="C7" s="254"/>
      <c r="D7" s="270">
        <f>SUM(D5:D6)</f>
        <v>857</v>
      </c>
      <c r="E7" s="284">
        <f>SUM(E5:E6)</f>
        <v>1</v>
      </c>
      <c r="F7" s="271">
        <f>SUM(F5:F6)</f>
        <v>1.1884187984727774</v>
      </c>
    </row>
    <row r="8" spans="1:6" x14ac:dyDescent="0.2">
      <c r="A8" s="283"/>
      <c r="B8" s="282"/>
      <c r="D8" s="282"/>
      <c r="E8" s="282"/>
      <c r="F8" s="281"/>
    </row>
    <row r="9" spans="1:6" x14ac:dyDescent="0.2">
      <c r="A9" s="283"/>
      <c r="F9" s="245"/>
    </row>
    <row r="10" spans="1:6" x14ac:dyDescent="0.2">
      <c r="A10" s="278" t="s">
        <v>3954</v>
      </c>
      <c r="B10" s="262"/>
      <c r="C10" s="245"/>
      <c r="F10" s="245"/>
    </row>
    <row r="11" spans="1:6" ht="25.5" customHeight="1" x14ac:dyDescent="0.2">
      <c r="A11" s="261" t="s">
        <v>3886</v>
      </c>
      <c r="B11" s="261" t="s">
        <v>3573</v>
      </c>
      <c r="C11" s="286" t="s">
        <v>3953</v>
      </c>
      <c r="D11" s="261" t="s">
        <v>3945</v>
      </c>
      <c r="E11" s="261" t="s">
        <v>3944</v>
      </c>
      <c r="F11" s="288" t="s">
        <v>3952</v>
      </c>
    </row>
    <row r="12" spans="1:6" x14ac:dyDescent="0.2">
      <c r="A12" s="331" t="str">
        <f>+$A$5</f>
        <v>CHELSEA AND WESTMINSTER HOSPITAL NHS FOUNDATION TRUST</v>
      </c>
      <c r="B12" s="330" t="str">
        <f>+$B$5</f>
        <v>RQM</v>
      </c>
      <c r="C12" s="348">
        <f>SUMIF('Buildings data'!$B$2:$B$755,$B12,'Buildings data'!$L$2:$L$755)</f>
        <v>1.2836909174097848</v>
      </c>
      <c r="D12" s="270">
        <f>+$H$55</f>
        <v>429</v>
      </c>
      <c r="E12" s="325">
        <f>D12/$D$14</f>
        <v>0.50058343057176191</v>
      </c>
      <c r="F12" s="254">
        <f>C12*E12</f>
        <v>0.64259440323080241</v>
      </c>
    </row>
    <row r="13" spans="1:6" x14ac:dyDescent="0.2">
      <c r="A13" s="331" t="str">
        <f>+$A$6</f>
        <v>WEST MIDDLESEX UNIVERSITY HOSPITAL NHS TRUST</v>
      </c>
      <c r="B13" s="330" t="str">
        <f>+$B$6</f>
        <v>RFW</v>
      </c>
      <c r="C13" s="348">
        <f>SUMIF('Buildings data'!$B$2:$B$755,$B13,'Buildings data'!$L$2:$L$755)</f>
        <v>1.1045712545153963</v>
      </c>
      <c r="D13" s="270">
        <f>+$H$56</f>
        <v>428</v>
      </c>
      <c r="E13" s="325">
        <f>D13/$D$14</f>
        <v>0.49941656942823803</v>
      </c>
      <c r="F13" s="254">
        <f>C13*E13</f>
        <v>0.55164118661912442</v>
      </c>
    </row>
    <row r="14" spans="1:6" x14ac:dyDescent="0.2">
      <c r="A14" s="232" t="s">
        <v>3926</v>
      </c>
      <c r="B14" s="267"/>
      <c r="C14" s="254"/>
      <c r="D14" s="270">
        <f>SUM(D12:D13)</f>
        <v>857</v>
      </c>
      <c r="E14" s="284">
        <f>SUM(E12:E13)</f>
        <v>1</v>
      </c>
      <c r="F14" s="271">
        <f>SUM(F12:F13)</f>
        <v>1.1942355898499268</v>
      </c>
    </row>
    <row r="15" spans="1:6" x14ac:dyDescent="0.2">
      <c r="A15" s="282"/>
      <c r="B15" s="283"/>
      <c r="C15" s="287"/>
      <c r="D15" s="282"/>
      <c r="E15" s="282"/>
      <c r="F15" s="281"/>
    </row>
    <row r="16" spans="1:6" x14ac:dyDescent="0.2">
      <c r="B16" s="262"/>
      <c r="C16" s="245"/>
    </row>
    <row r="17" spans="1:9" x14ac:dyDescent="0.2">
      <c r="A17" s="278" t="s">
        <v>2735</v>
      </c>
      <c r="B17" s="262"/>
      <c r="C17" s="245"/>
    </row>
    <row r="18" spans="1:9" ht="25.5" x14ac:dyDescent="0.2">
      <c r="A18" s="261" t="s">
        <v>3886</v>
      </c>
      <c r="B18" s="261" t="s">
        <v>3573</v>
      </c>
      <c r="C18" s="286" t="s">
        <v>3951</v>
      </c>
      <c r="D18" s="261" t="s">
        <v>3945</v>
      </c>
      <c r="E18" s="261" t="s">
        <v>3944</v>
      </c>
      <c r="F18" s="260" t="s">
        <v>3950</v>
      </c>
    </row>
    <row r="19" spans="1:9" x14ac:dyDescent="0.2">
      <c r="A19" s="331" t="str">
        <f>+$A$5</f>
        <v>CHELSEA AND WESTMINSTER HOSPITAL NHS FOUNDATION TRUST</v>
      </c>
      <c r="B19" s="330" t="str">
        <f>+$B$5</f>
        <v>RQM</v>
      </c>
      <c r="C19" s="347">
        <f>VLOOKUP($B19,'M&amp;D data'!$C$13:$G$234,5,FALSE)</f>
        <v>1.0185025427599708</v>
      </c>
      <c r="D19" s="270">
        <f>+$H$55</f>
        <v>429</v>
      </c>
      <c r="E19" s="325">
        <f>D19/$D$14</f>
        <v>0.50058343057176191</v>
      </c>
      <c r="F19" s="346">
        <f>+E19*C19</f>
        <v>0.50984549690084879</v>
      </c>
    </row>
    <row r="20" spans="1:9" x14ac:dyDescent="0.2">
      <c r="A20" s="331" t="str">
        <f>+$A$6</f>
        <v>WEST MIDDLESEX UNIVERSITY HOSPITAL NHS TRUST</v>
      </c>
      <c r="B20" s="330" t="str">
        <f>+$B$6</f>
        <v>RFW</v>
      </c>
      <c r="C20" s="347">
        <f>VLOOKUP($B20,'M&amp;D data'!$C$13:$G$234,5,FALSE)</f>
        <v>1.0185025427599708</v>
      </c>
      <c r="D20" s="270">
        <f>+$H$56</f>
        <v>428</v>
      </c>
      <c r="E20" s="325">
        <f>D20/$D$14</f>
        <v>0.49941656942823803</v>
      </c>
      <c r="F20" s="346">
        <f>+E20*C20</f>
        <v>0.50865704585912197</v>
      </c>
    </row>
    <row r="21" spans="1:9" x14ac:dyDescent="0.2">
      <c r="A21" s="232" t="s">
        <v>3926</v>
      </c>
      <c r="B21" s="267"/>
      <c r="C21" s="346"/>
      <c r="D21" s="270">
        <f>SUM(D19:D20)</f>
        <v>857</v>
      </c>
      <c r="E21" s="284">
        <f>SUM(E19:E20)</f>
        <v>1</v>
      </c>
      <c r="F21" s="345">
        <f>SUM(F19:F20)</f>
        <v>1.0185025427599708</v>
      </c>
    </row>
    <row r="22" spans="1:9" x14ac:dyDescent="0.2">
      <c r="A22" s="282"/>
      <c r="B22" s="283"/>
      <c r="C22" s="282"/>
      <c r="D22" s="281"/>
      <c r="E22" s="280" t="s">
        <v>3931</v>
      </c>
      <c r="F22" s="329">
        <f>SUMPRODUCT(E19:E20,C19:C20)-F21</f>
        <v>0</v>
      </c>
    </row>
    <row r="23" spans="1:9" x14ac:dyDescent="0.2">
      <c r="B23" s="262"/>
    </row>
    <row r="24" spans="1:9" x14ac:dyDescent="0.2">
      <c r="A24" s="278" t="s">
        <v>2733</v>
      </c>
      <c r="B24" s="262"/>
      <c r="C24" s="226"/>
      <c r="D24" s="226"/>
    </row>
    <row r="25" spans="1:9" ht="38.25" x14ac:dyDescent="0.2">
      <c r="A25" s="244" t="s">
        <v>3886</v>
      </c>
      <c r="B25" s="244" t="s">
        <v>3573</v>
      </c>
      <c r="C25" s="244" t="s">
        <v>3949</v>
      </c>
      <c r="D25" s="260" t="s">
        <v>3948</v>
      </c>
      <c r="E25" s="260" t="s">
        <v>3947</v>
      </c>
      <c r="F25" s="244" t="s">
        <v>3946</v>
      </c>
      <c r="G25" s="244" t="s">
        <v>3945</v>
      </c>
      <c r="H25" s="277" t="s">
        <v>3944</v>
      </c>
      <c r="I25" s="244" t="s">
        <v>3943</v>
      </c>
    </row>
    <row r="26" spans="1:9" x14ac:dyDescent="0.2">
      <c r="A26" s="341" t="str">
        <f>+$A$5</f>
        <v>CHELSEA AND WESTMINSTER HOSPITAL NHS FOUNDATION TRUST</v>
      </c>
      <c r="B26" s="340" t="str">
        <f>+$B$5</f>
        <v>RQM</v>
      </c>
      <c r="C26" s="328">
        <f>VLOOKUP($B26,'Land data'!$B$2:$D$234,3,FALSE)</f>
        <v>2.34</v>
      </c>
      <c r="D26" s="322">
        <f>VLOOKUP($B26,'Land data'!$B$2:$E$234,4,FALSE)</f>
        <v>50000</v>
      </c>
      <c r="E26" s="270">
        <f>D26/C26</f>
        <v>21367.521367521367</v>
      </c>
      <c r="F26" s="232"/>
      <c r="G26" s="270">
        <f>+$H$55</f>
        <v>429</v>
      </c>
      <c r="H26" s="323">
        <f>G26/$D$14</f>
        <v>0.50058343057176191</v>
      </c>
      <c r="I26" s="274">
        <f>E26/E29</f>
        <v>18.836938562682871</v>
      </c>
    </row>
    <row r="27" spans="1:9" x14ac:dyDescent="0.2">
      <c r="A27" s="341" t="str">
        <f>+$A$6</f>
        <v>WEST MIDDLESEX UNIVERSITY HOSPITAL NHS TRUST</v>
      </c>
      <c r="B27" s="340" t="str">
        <f>+$B$6</f>
        <v>RFW</v>
      </c>
      <c r="C27" s="328">
        <f>VLOOKUP($B27,'Land data'!$B$2:$D$234,3,FALSE)</f>
        <v>7.1</v>
      </c>
      <c r="D27" s="270">
        <f>VLOOKUP($B27,'Land data'!$B$2:$E$234,4,FALSE)</f>
        <v>24500</v>
      </c>
      <c r="E27" s="270">
        <f>D27/C27</f>
        <v>3450.7042253521126</v>
      </c>
      <c r="F27" s="232"/>
      <c r="G27" s="270">
        <f>+$H$56</f>
        <v>428</v>
      </c>
      <c r="H27" s="323">
        <f>G27/$D$14</f>
        <v>0.49941656942823803</v>
      </c>
      <c r="I27" s="274">
        <f>E27/E29</f>
        <v>3.0420329233763632</v>
      </c>
    </row>
    <row r="28" spans="1:9" x14ac:dyDescent="0.2">
      <c r="A28" s="235" t="s">
        <v>3926</v>
      </c>
      <c r="B28" s="234"/>
      <c r="C28" s="266">
        <f>SUM(C26:C27)</f>
        <v>9.44</v>
      </c>
      <c r="D28" s="270">
        <f>SUM(D26:D27)</f>
        <v>74500</v>
      </c>
      <c r="E28" s="270">
        <f>D28/C28</f>
        <v>7891.9491525423737</v>
      </c>
      <c r="F28" s="271">
        <f>+E28/E29</f>
        <v>6.9572955500688662</v>
      </c>
      <c r="G28" s="322">
        <f>SUM(G26:G27)</f>
        <v>857</v>
      </c>
      <c r="H28" s="269">
        <f>SUM(H26:H27)</f>
        <v>1</v>
      </c>
      <c r="I28" s="268">
        <f>SUMPRODUCT(H26:H27,I26:I27)</f>
        <v>10.948700973857683</v>
      </c>
    </row>
    <row r="29" spans="1:9" x14ac:dyDescent="0.2">
      <c r="A29" s="233" t="s">
        <v>3942</v>
      </c>
      <c r="B29" s="240"/>
      <c r="C29" s="373">
        <f>SUM('PCT data'!$M$3:$M$154)+SUM('Land data'!$D$2:$D$234)</f>
        <v>7611.3175000000019</v>
      </c>
      <c r="D29" s="322">
        <f>SUM('PCT data'!$N$3:$N$154)+SUM('Land data'!$E$2:$E$234)</f>
        <v>8633833.4000000004</v>
      </c>
      <c r="E29" s="322">
        <f>D29/C29</f>
        <v>1134.3415118341861</v>
      </c>
      <c r="F29" s="232"/>
      <c r="G29" s="233"/>
      <c r="H29" s="233"/>
      <c r="I29" s="233"/>
    </row>
    <row r="30" spans="1:9" x14ac:dyDescent="0.2">
      <c r="A30" s="228" t="s">
        <v>3941</v>
      </c>
      <c r="F30" s="264"/>
      <c r="G30" s="263"/>
    </row>
    <row r="31" spans="1:9" x14ac:dyDescent="0.2">
      <c r="A31" s="228" t="s">
        <v>3940</v>
      </c>
    </row>
    <row r="32" spans="1:9" x14ac:dyDescent="0.2">
      <c r="A32" s="228"/>
    </row>
    <row r="33" spans="1:8" x14ac:dyDescent="0.2">
      <c r="A33" s="229" t="s">
        <v>3933</v>
      </c>
    </row>
    <row r="34" spans="1:8" ht="38.25" x14ac:dyDescent="0.2">
      <c r="A34" s="261" t="s">
        <v>3939</v>
      </c>
      <c r="B34" s="260" t="s">
        <v>3938</v>
      </c>
      <c r="C34" s="260" t="s">
        <v>3937</v>
      </c>
      <c r="D34" s="260" t="s">
        <v>3936</v>
      </c>
      <c r="E34" s="260" t="s">
        <v>3927</v>
      </c>
    </row>
    <row r="35" spans="1:8" x14ac:dyDescent="0.2">
      <c r="A35" s="259" t="s">
        <v>2734</v>
      </c>
      <c r="B35" s="258">
        <f>F7</f>
        <v>1.1884187984727774</v>
      </c>
      <c r="C35" s="255">
        <f>Staff_Weight</f>
        <v>0.54914759484508857</v>
      </c>
      <c r="D35" s="254">
        <f>B35*C35</f>
        <v>0.65261732485001578</v>
      </c>
      <c r="E35" s="232"/>
    </row>
    <row r="36" spans="1:8" x14ac:dyDescent="0.2">
      <c r="A36" s="257" t="s">
        <v>3935</v>
      </c>
      <c r="B36" s="256">
        <f>F14</f>
        <v>1.1942355898499268</v>
      </c>
      <c r="C36" s="255">
        <f>Building_Weight</f>
        <v>2.6635675286214532E-2</v>
      </c>
      <c r="D36" s="254">
        <f>B36*C36</f>
        <v>3.1809271386483533E-2</v>
      </c>
      <c r="E36" s="232"/>
    </row>
    <row r="37" spans="1:8" x14ac:dyDescent="0.2">
      <c r="A37" s="257" t="s">
        <v>2735</v>
      </c>
      <c r="B37" s="256">
        <f>F21</f>
        <v>1.0185025427599708</v>
      </c>
      <c r="C37" s="255">
        <f>MnD_Weight</f>
        <v>0.13904710383678176</v>
      </c>
      <c r="D37" s="254">
        <f>B37*C37</f>
        <v>0.14161982882117191</v>
      </c>
      <c r="E37" s="232"/>
    </row>
    <row r="38" spans="1:8" x14ac:dyDescent="0.2">
      <c r="A38" s="389" t="s">
        <v>3934</v>
      </c>
      <c r="B38" s="256">
        <f>I28</f>
        <v>10.948700973857683</v>
      </c>
      <c r="C38" s="255">
        <f>Land_Weight</f>
        <v>4.4820020140147153E-3</v>
      </c>
      <c r="D38" s="254">
        <f>B38*C38</f>
        <v>4.9072099815675008E-2</v>
      </c>
      <c r="E38" s="232"/>
    </row>
    <row r="39" spans="1:8" ht="13.5" thickBot="1" x14ac:dyDescent="0.25">
      <c r="A39" s="252" t="s">
        <v>632</v>
      </c>
      <c r="B39" s="253">
        <v>1</v>
      </c>
      <c r="C39" s="321">
        <f>Other_Weight</f>
        <v>0.28068762401790043</v>
      </c>
      <c r="D39" s="253">
        <f>B39*C39</f>
        <v>0.28068762401790043</v>
      </c>
      <c r="E39" s="252"/>
    </row>
    <row r="40" spans="1:8" ht="16.5" thickBot="1" x14ac:dyDescent="0.3">
      <c r="A40" s="251" t="s">
        <v>3933</v>
      </c>
      <c r="B40" s="250"/>
      <c r="C40" s="249">
        <f>SUM(C35:C39)</f>
        <v>1</v>
      </c>
      <c r="D40" s="248">
        <f>SUMPRODUCT(B35:B39,C35:C39)</f>
        <v>1.1558061488912466</v>
      </c>
      <c r="E40" s="247">
        <f ca="1">D40/B42</f>
        <v>1.247733529536794</v>
      </c>
    </row>
    <row r="42" spans="1:8" x14ac:dyDescent="0.2">
      <c r="A42" s="246" t="s">
        <v>3932</v>
      </c>
      <c r="B42" s="245">
        <f ca="1">Lowest_Underlying_MFF</f>
        <v>0.92632450882387185</v>
      </c>
    </row>
    <row r="43" spans="1:8" x14ac:dyDescent="0.2">
      <c r="A43" s="229"/>
    </row>
    <row r="44" spans="1:8" x14ac:dyDescent="0.2">
      <c r="A44" s="229" t="s">
        <v>3931</v>
      </c>
    </row>
    <row r="45" spans="1:8" ht="51" x14ac:dyDescent="0.2">
      <c r="A45" s="244" t="s">
        <v>3886</v>
      </c>
      <c r="B45" s="244" t="s">
        <v>3573</v>
      </c>
      <c r="C45" s="244" t="s">
        <v>3930</v>
      </c>
      <c r="D45" s="244" t="s">
        <v>3968</v>
      </c>
      <c r="E45" s="244" t="s">
        <v>3928</v>
      </c>
      <c r="F45" s="244" t="s">
        <v>3927</v>
      </c>
      <c r="H45" s="243"/>
    </row>
    <row r="46" spans="1:8" x14ac:dyDescent="0.2">
      <c r="A46" s="331" t="str">
        <f>+$A$5</f>
        <v>CHELSEA AND WESTMINSTER HOSPITAL NHS FOUNDATION TRUST</v>
      </c>
      <c r="B46" s="330" t="str">
        <f>+$B$5</f>
        <v>RQM</v>
      </c>
      <c r="C46" s="239">
        <f ca="1">($C$35*C5+$C$36*C12+$C$37*C19+$C$38*I26+$C$39*$B$39)/$B$42</f>
        <v>1.2939135131862662</v>
      </c>
      <c r="D46" s="238">
        <f ca="1">+VLOOKUP(B46,MFF_2014_15,4,FALSE)-ROUND(C46,6)</f>
        <v>0</v>
      </c>
      <c r="E46" s="242">
        <f ca="1">INDEX('All Trusts'!$E$6:$E$261,MATCH($B46,'All Trusts'!$B$6:$B$261,0),1)-C46</f>
        <v>0</v>
      </c>
      <c r="F46" s="319"/>
    </row>
    <row r="47" spans="1:8" x14ac:dyDescent="0.2">
      <c r="A47" s="331" t="str">
        <f>+$A$6</f>
        <v>WEST MIDDLESEX UNIVERSITY HOSPITAL NHS TRUST</v>
      </c>
      <c r="B47" s="330" t="str">
        <f>+$B$6</f>
        <v>RFW</v>
      </c>
      <c r="C47" s="239">
        <f ca="1">($C$35*C6+$C$36*C13+$C$37*C20+$C$38*I27+$C$39*$B$39)/$B$42</f>
        <v>1.2014456487292622</v>
      </c>
      <c r="D47" s="238">
        <f ca="1">+VLOOKUP(B47,MFF_2014_15,4,FALSE)-ROUND(C47,6)</f>
        <v>0</v>
      </c>
      <c r="E47" s="242">
        <f ca="1">INDEX('All Trusts'!$E$6:$E$261,MATCH($B47,'All Trusts'!$B$6:$B$261,0),1)-C47</f>
        <v>0</v>
      </c>
      <c r="F47" s="319"/>
    </row>
    <row r="48" spans="1:8" x14ac:dyDescent="0.2">
      <c r="A48" s="235" t="s">
        <v>3926</v>
      </c>
      <c r="B48" s="234"/>
      <c r="C48" s="233"/>
      <c r="D48" s="233"/>
      <c r="E48" s="232"/>
      <c r="F48" s="231">
        <f ca="1">ROUND(E40,6)</f>
        <v>1.2477339999999999</v>
      </c>
    </row>
    <row r="51" spans="1:8" x14ac:dyDescent="0.2">
      <c r="A51" s="229" t="s">
        <v>3925</v>
      </c>
    </row>
    <row r="52" spans="1:8" x14ac:dyDescent="0.2">
      <c r="A52" s="228" t="s">
        <v>3924</v>
      </c>
    </row>
    <row r="53" spans="1:8" ht="13.5" thickBot="1" x14ac:dyDescent="0.25">
      <c r="A53" s="227" t="s">
        <v>3921</v>
      </c>
      <c r="C53" s="368">
        <v>1</v>
      </c>
      <c r="D53" s="368">
        <f>C53+1</f>
        <v>2</v>
      </c>
      <c r="E53" s="368">
        <f t="shared" ref="E53:H53" si="0">D53+1</f>
        <v>3</v>
      </c>
      <c r="F53" s="368">
        <f t="shared" si="0"/>
        <v>4</v>
      </c>
      <c r="G53" s="368">
        <f t="shared" si="0"/>
        <v>5</v>
      </c>
      <c r="H53" s="368">
        <f t="shared" si="0"/>
        <v>6</v>
      </c>
    </row>
    <row r="54" spans="1:8" ht="26.25" thickBot="1" x14ac:dyDescent="0.25">
      <c r="A54" s="85" t="s">
        <v>3573</v>
      </c>
      <c r="B54" s="85" t="s">
        <v>2755</v>
      </c>
      <c r="C54" s="85" t="s">
        <v>2756</v>
      </c>
      <c r="D54" s="85" t="s">
        <v>2757</v>
      </c>
      <c r="E54" s="85" t="s">
        <v>2758</v>
      </c>
      <c r="F54" s="85" t="s">
        <v>2759</v>
      </c>
      <c r="G54" s="85" t="s">
        <v>2760</v>
      </c>
      <c r="H54" s="85" t="s">
        <v>2761</v>
      </c>
    </row>
    <row r="55" spans="1:8" ht="13.5" thickBot="1" x14ac:dyDescent="0.25">
      <c r="A55" s="67" t="s">
        <v>2316</v>
      </c>
      <c r="B55" s="67" t="s">
        <v>2317</v>
      </c>
      <c r="C55" s="67" t="s">
        <v>3173</v>
      </c>
      <c r="D55" s="67" t="str">
        <f>VLOOKUP($C55,'Buildings data'!$D:$I,D$53,FALSE)</f>
        <v>CHELSEA &amp; WESTMINSTER HOSPITAL</v>
      </c>
      <c r="E55" s="67" t="str">
        <f>VLOOKUP($C55,'Buildings data'!$D:$I,E$53,FALSE)</f>
        <v>SW10 9NH</v>
      </c>
      <c r="F55" s="67" t="str">
        <f>VLOOKUP($C55,'Buildings data'!$D:$I,F$53,FALSE)</f>
        <v>SW109</v>
      </c>
      <c r="G55" s="67" t="str">
        <f>VLOOKUP($C55,'Buildings data'!$D:$I,G$53,FALSE)</f>
        <v>5LA</v>
      </c>
      <c r="H55" s="337">
        <f>VLOOKUP($C55,'Buildings data'!$D:$I,H$53,FALSE)</f>
        <v>429</v>
      </c>
    </row>
    <row r="56" spans="1:8" ht="13.5" thickBot="1" x14ac:dyDescent="0.25">
      <c r="A56" s="67" t="s">
        <v>680</v>
      </c>
      <c r="B56" s="67" t="s">
        <v>681</v>
      </c>
      <c r="C56" s="67" t="s">
        <v>1925</v>
      </c>
      <c r="D56" s="67" t="str">
        <f>VLOOKUP($C56,'Buildings data'!$D:$I,D$53,FALSE)</f>
        <v>WEST MIDDLESEX UNIVERSITY HOSPITAL NHS TRUST</v>
      </c>
      <c r="E56" s="67" t="str">
        <f>VLOOKUP($C56,'Buildings data'!$D:$I,E$53,FALSE)</f>
        <v>TW7 6AF</v>
      </c>
      <c r="F56" s="67" t="str">
        <f>VLOOKUP($C56,'Buildings data'!$D:$I,F$53,FALSE)</f>
        <v>TW76</v>
      </c>
      <c r="G56" s="67" t="str">
        <f>VLOOKUP($C56,'Buildings data'!$D:$I,G$53,FALSE)</f>
        <v>5HY</v>
      </c>
      <c r="H56" s="337">
        <f>VLOOKUP($C56,'Buildings data'!$D:$I,H$53,FALSE)</f>
        <v>428</v>
      </c>
    </row>
    <row r="57" spans="1:8" x14ac:dyDescent="0.2">
      <c r="A57"/>
      <c r="B57"/>
      <c r="C57"/>
      <c r="D57"/>
      <c r="E57"/>
      <c r="F57"/>
      <c r="G57"/>
      <c r="H57"/>
    </row>
    <row r="58" spans="1:8" x14ac:dyDescent="0.2">
      <c r="A58" s="228" t="s">
        <v>3920</v>
      </c>
    </row>
    <row r="59" spans="1:8" x14ac:dyDescent="0.2">
      <c r="A59" s="227" t="s">
        <v>3919</v>
      </c>
    </row>
  </sheetData>
  <conditionalFormatting sqref="C46:C47">
    <cfRule type="cellIs" dxfId="3" priority="1" operator="lessThan">
      <formula>$F$48</formula>
    </cfRule>
    <cfRule type="cellIs" dxfId="2" priority="2" operator="greaterThan">
      <formula>$F$48</formula>
    </cfRule>
  </conditionalFormatting>
  <pageMargins left="0.7" right="0.7" top="0.75" bottom="0.75" header="0.3" footer="0.3"/>
  <pageSetup paperSize="2058" orientation="portrait" horizontalDpi="300" verticalDpi="300"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00B050"/>
  </sheetPr>
  <dimension ref="A1:I62"/>
  <sheetViews>
    <sheetView workbookViewId="0"/>
  </sheetViews>
  <sheetFormatPr defaultRowHeight="12.75" x14ac:dyDescent="0.2"/>
  <cols>
    <col min="1" max="1" width="54.28515625" style="227" bestFit="1" customWidth="1"/>
    <col min="2" max="2" width="17" style="227" customWidth="1"/>
    <col min="3" max="3" width="21.85546875" style="227" bestFit="1" customWidth="1"/>
    <col min="4" max="4" width="38.5703125" style="227" bestFit="1" customWidth="1"/>
    <col min="5" max="5" width="13.28515625" style="227" customWidth="1"/>
    <col min="6" max="6" width="20.5703125" style="227" customWidth="1"/>
    <col min="7" max="7" width="13.7109375" style="227" customWidth="1"/>
    <col min="8" max="8" width="13.5703125" style="227" customWidth="1"/>
    <col min="9" max="9" width="12" style="227" customWidth="1"/>
    <col min="10" max="256" width="9.140625" style="227"/>
    <col min="257" max="257" width="54.28515625" style="227" bestFit="1" customWidth="1"/>
    <col min="258" max="258" width="19.140625" style="227" customWidth="1"/>
    <col min="259" max="259" width="21.85546875" style="227" bestFit="1" customWidth="1"/>
    <col min="260" max="260" width="38.5703125" style="227" bestFit="1" customWidth="1"/>
    <col min="261" max="261" width="13.28515625" style="227" customWidth="1"/>
    <col min="262" max="262" width="20.5703125" style="227" customWidth="1"/>
    <col min="263" max="263" width="13.7109375" style="227" customWidth="1"/>
    <col min="264" max="264" width="13.5703125" style="227" customWidth="1"/>
    <col min="265" max="512" width="9.140625" style="227"/>
    <col min="513" max="513" width="54.28515625" style="227" bestFit="1" customWidth="1"/>
    <col min="514" max="514" width="19.140625" style="227" customWidth="1"/>
    <col min="515" max="515" width="21.85546875" style="227" bestFit="1" customWidth="1"/>
    <col min="516" max="516" width="38.5703125" style="227" bestFit="1" customWidth="1"/>
    <col min="517" max="517" width="13.28515625" style="227" customWidth="1"/>
    <col min="518" max="518" width="20.5703125" style="227" customWidth="1"/>
    <col min="519" max="519" width="13.7109375" style="227" customWidth="1"/>
    <col min="520" max="520" width="13.5703125" style="227" customWidth="1"/>
    <col min="521" max="768" width="9.140625" style="227"/>
    <col min="769" max="769" width="54.28515625" style="227" bestFit="1" customWidth="1"/>
    <col min="770" max="770" width="19.140625" style="227" customWidth="1"/>
    <col min="771" max="771" width="21.85546875" style="227" bestFit="1" customWidth="1"/>
    <col min="772" max="772" width="38.5703125" style="227" bestFit="1" customWidth="1"/>
    <col min="773" max="773" width="13.28515625" style="227" customWidth="1"/>
    <col min="774" max="774" width="20.5703125" style="227" customWidth="1"/>
    <col min="775" max="775" width="13.7109375" style="227" customWidth="1"/>
    <col min="776" max="776" width="13.5703125" style="227" customWidth="1"/>
    <col min="777" max="1024" width="9.140625" style="227"/>
    <col min="1025" max="1025" width="54.28515625" style="227" bestFit="1" customWidth="1"/>
    <col min="1026" max="1026" width="19.140625" style="227" customWidth="1"/>
    <col min="1027" max="1027" width="21.85546875" style="227" bestFit="1" customWidth="1"/>
    <col min="1028" max="1028" width="38.5703125" style="227" bestFit="1" customWidth="1"/>
    <col min="1029" max="1029" width="13.28515625" style="227" customWidth="1"/>
    <col min="1030" max="1030" width="20.5703125" style="227" customWidth="1"/>
    <col min="1031" max="1031" width="13.7109375" style="227" customWidth="1"/>
    <col min="1032" max="1032" width="13.5703125" style="227" customWidth="1"/>
    <col min="1033" max="1280" width="9.140625" style="227"/>
    <col min="1281" max="1281" width="54.28515625" style="227" bestFit="1" customWidth="1"/>
    <col min="1282" max="1282" width="19.140625" style="227" customWidth="1"/>
    <col min="1283" max="1283" width="21.85546875" style="227" bestFit="1" customWidth="1"/>
    <col min="1284" max="1284" width="38.5703125" style="227" bestFit="1" customWidth="1"/>
    <col min="1285" max="1285" width="13.28515625" style="227" customWidth="1"/>
    <col min="1286" max="1286" width="20.5703125" style="227" customWidth="1"/>
    <col min="1287" max="1287" width="13.7109375" style="227" customWidth="1"/>
    <col min="1288" max="1288" width="13.5703125" style="227" customWidth="1"/>
    <col min="1289" max="1536" width="9.140625" style="227"/>
    <col min="1537" max="1537" width="54.28515625" style="227" bestFit="1" customWidth="1"/>
    <col min="1538" max="1538" width="19.140625" style="227" customWidth="1"/>
    <col min="1539" max="1539" width="21.85546875" style="227" bestFit="1" customWidth="1"/>
    <col min="1540" max="1540" width="38.5703125" style="227" bestFit="1" customWidth="1"/>
    <col min="1541" max="1541" width="13.28515625" style="227" customWidth="1"/>
    <col min="1542" max="1542" width="20.5703125" style="227" customWidth="1"/>
    <col min="1543" max="1543" width="13.7109375" style="227" customWidth="1"/>
    <col min="1544" max="1544" width="13.5703125" style="227" customWidth="1"/>
    <col min="1545" max="1792" width="9.140625" style="227"/>
    <col min="1793" max="1793" width="54.28515625" style="227" bestFit="1" customWidth="1"/>
    <col min="1794" max="1794" width="19.140625" style="227" customWidth="1"/>
    <col min="1795" max="1795" width="21.85546875" style="227" bestFit="1" customWidth="1"/>
    <col min="1796" max="1796" width="38.5703125" style="227" bestFit="1" customWidth="1"/>
    <col min="1797" max="1797" width="13.28515625" style="227" customWidth="1"/>
    <col min="1798" max="1798" width="20.5703125" style="227" customWidth="1"/>
    <col min="1799" max="1799" width="13.7109375" style="227" customWidth="1"/>
    <col min="1800" max="1800" width="13.5703125" style="227" customWidth="1"/>
    <col min="1801" max="2048" width="9.140625" style="227"/>
    <col min="2049" max="2049" width="54.28515625" style="227" bestFit="1" customWidth="1"/>
    <col min="2050" max="2050" width="19.140625" style="227" customWidth="1"/>
    <col min="2051" max="2051" width="21.85546875" style="227" bestFit="1" customWidth="1"/>
    <col min="2052" max="2052" width="38.5703125" style="227" bestFit="1" customWidth="1"/>
    <col min="2053" max="2053" width="13.28515625" style="227" customWidth="1"/>
    <col min="2054" max="2054" width="20.5703125" style="227" customWidth="1"/>
    <col min="2055" max="2055" width="13.7109375" style="227" customWidth="1"/>
    <col min="2056" max="2056" width="13.5703125" style="227" customWidth="1"/>
    <col min="2057" max="2304" width="9.140625" style="227"/>
    <col min="2305" max="2305" width="54.28515625" style="227" bestFit="1" customWidth="1"/>
    <col min="2306" max="2306" width="19.140625" style="227" customWidth="1"/>
    <col min="2307" max="2307" width="21.85546875" style="227" bestFit="1" customWidth="1"/>
    <col min="2308" max="2308" width="38.5703125" style="227" bestFit="1" customWidth="1"/>
    <col min="2309" max="2309" width="13.28515625" style="227" customWidth="1"/>
    <col min="2310" max="2310" width="20.5703125" style="227" customWidth="1"/>
    <col min="2311" max="2311" width="13.7109375" style="227" customWidth="1"/>
    <col min="2312" max="2312" width="13.5703125" style="227" customWidth="1"/>
    <col min="2313" max="2560" width="9.140625" style="227"/>
    <col min="2561" max="2561" width="54.28515625" style="227" bestFit="1" customWidth="1"/>
    <col min="2562" max="2562" width="19.140625" style="227" customWidth="1"/>
    <col min="2563" max="2563" width="21.85546875" style="227" bestFit="1" customWidth="1"/>
    <col min="2564" max="2564" width="38.5703125" style="227" bestFit="1" customWidth="1"/>
    <col min="2565" max="2565" width="13.28515625" style="227" customWidth="1"/>
    <col min="2566" max="2566" width="20.5703125" style="227" customWidth="1"/>
    <col min="2567" max="2567" width="13.7109375" style="227" customWidth="1"/>
    <col min="2568" max="2568" width="13.5703125" style="227" customWidth="1"/>
    <col min="2569" max="2816" width="9.140625" style="227"/>
    <col min="2817" max="2817" width="54.28515625" style="227" bestFit="1" customWidth="1"/>
    <col min="2818" max="2818" width="19.140625" style="227" customWidth="1"/>
    <col min="2819" max="2819" width="21.85546875" style="227" bestFit="1" customWidth="1"/>
    <col min="2820" max="2820" width="38.5703125" style="227" bestFit="1" customWidth="1"/>
    <col min="2821" max="2821" width="13.28515625" style="227" customWidth="1"/>
    <col min="2822" max="2822" width="20.5703125" style="227" customWidth="1"/>
    <col min="2823" max="2823" width="13.7109375" style="227" customWidth="1"/>
    <col min="2824" max="2824" width="13.5703125" style="227" customWidth="1"/>
    <col min="2825" max="3072" width="9.140625" style="227"/>
    <col min="3073" max="3073" width="54.28515625" style="227" bestFit="1" customWidth="1"/>
    <col min="3074" max="3074" width="19.140625" style="227" customWidth="1"/>
    <col min="3075" max="3075" width="21.85546875" style="227" bestFit="1" customWidth="1"/>
    <col min="3076" max="3076" width="38.5703125" style="227" bestFit="1" customWidth="1"/>
    <col min="3077" max="3077" width="13.28515625" style="227" customWidth="1"/>
    <col min="3078" max="3078" width="20.5703125" style="227" customWidth="1"/>
    <col min="3079" max="3079" width="13.7109375" style="227" customWidth="1"/>
    <col min="3080" max="3080" width="13.5703125" style="227" customWidth="1"/>
    <col min="3081" max="3328" width="9.140625" style="227"/>
    <col min="3329" max="3329" width="54.28515625" style="227" bestFit="1" customWidth="1"/>
    <col min="3330" max="3330" width="19.140625" style="227" customWidth="1"/>
    <col min="3331" max="3331" width="21.85546875" style="227" bestFit="1" customWidth="1"/>
    <col min="3332" max="3332" width="38.5703125" style="227" bestFit="1" customWidth="1"/>
    <col min="3333" max="3333" width="13.28515625" style="227" customWidth="1"/>
    <col min="3334" max="3334" width="20.5703125" style="227" customWidth="1"/>
    <col min="3335" max="3335" width="13.7109375" style="227" customWidth="1"/>
    <col min="3336" max="3336" width="13.5703125" style="227" customWidth="1"/>
    <col min="3337" max="3584" width="9.140625" style="227"/>
    <col min="3585" max="3585" width="54.28515625" style="227" bestFit="1" customWidth="1"/>
    <col min="3586" max="3586" width="19.140625" style="227" customWidth="1"/>
    <col min="3587" max="3587" width="21.85546875" style="227" bestFit="1" customWidth="1"/>
    <col min="3588" max="3588" width="38.5703125" style="227" bestFit="1" customWidth="1"/>
    <col min="3589" max="3589" width="13.28515625" style="227" customWidth="1"/>
    <col min="3590" max="3590" width="20.5703125" style="227" customWidth="1"/>
    <col min="3591" max="3591" width="13.7109375" style="227" customWidth="1"/>
    <col min="3592" max="3592" width="13.5703125" style="227" customWidth="1"/>
    <col min="3593" max="3840" width="9.140625" style="227"/>
    <col min="3841" max="3841" width="54.28515625" style="227" bestFit="1" customWidth="1"/>
    <col min="3842" max="3842" width="19.140625" style="227" customWidth="1"/>
    <col min="3843" max="3843" width="21.85546875" style="227" bestFit="1" customWidth="1"/>
    <col min="3844" max="3844" width="38.5703125" style="227" bestFit="1" customWidth="1"/>
    <col min="3845" max="3845" width="13.28515625" style="227" customWidth="1"/>
    <col min="3846" max="3846" width="20.5703125" style="227" customWidth="1"/>
    <col min="3847" max="3847" width="13.7109375" style="227" customWidth="1"/>
    <col min="3848" max="3848" width="13.5703125" style="227" customWidth="1"/>
    <col min="3849" max="4096" width="9.140625" style="227"/>
    <col min="4097" max="4097" width="54.28515625" style="227" bestFit="1" customWidth="1"/>
    <col min="4098" max="4098" width="19.140625" style="227" customWidth="1"/>
    <col min="4099" max="4099" width="21.85546875" style="227" bestFit="1" customWidth="1"/>
    <col min="4100" max="4100" width="38.5703125" style="227" bestFit="1" customWidth="1"/>
    <col min="4101" max="4101" width="13.28515625" style="227" customWidth="1"/>
    <col min="4102" max="4102" width="20.5703125" style="227" customWidth="1"/>
    <col min="4103" max="4103" width="13.7109375" style="227" customWidth="1"/>
    <col min="4104" max="4104" width="13.5703125" style="227" customWidth="1"/>
    <col min="4105" max="4352" width="9.140625" style="227"/>
    <col min="4353" max="4353" width="54.28515625" style="227" bestFit="1" customWidth="1"/>
    <col min="4354" max="4354" width="19.140625" style="227" customWidth="1"/>
    <col min="4355" max="4355" width="21.85546875" style="227" bestFit="1" customWidth="1"/>
    <col min="4356" max="4356" width="38.5703125" style="227" bestFit="1" customWidth="1"/>
    <col min="4357" max="4357" width="13.28515625" style="227" customWidth="1"/>
    <col min="4358" max="4358" width="20.5703125" style="227" customWidth="1"/>
    <col min="4359" max="4359" width="13.7109375" style="227" customWidth="1"/>
    <col min="4360" max="4360" width="13.5703125" style="227" customWidth="1"/>
    <col min="4361" max="4608" width="9.140625" style="227"/>
    <col min="4609" max="4609" width="54.28515625" style="227" bestFit="1" customWidth="1"/>
    <col min="4610" max="4610" width="19.140625" style="227" customWidth="1"/>
    <col min="4611" max="4611" width="21.85546875" style="227" bestFit="1" customWidth="1"/>
    <col min="4612" max="4612" width="38.5703125" style="227" bestFit="1" customWidth="1"/>
    <col min="4613" max="4613" width="13.28515625" style="227" customWidth="1"/>
    <col min="4614" max="4614" width="20.5703125" style="227" customWidth="1"/>
    <col min="4615" max="4615" width="13.7109375" style="227" customWidth="1"/>
    <col min="4616" max="4616" width="13.5703125" style="227" customWidth="1"/>
    <col min="4617" max="4864" width="9.140625" style="227"/>
    <col min="4865" max="4865" width="54.28515625" style="227" bestFit="1" customWidth="1"/>
    <col min="4866" max="4866" width="19.140625" style="227" customWidth="1"/>
    <col min="4867" max="4867" width="21.85546875" style="227" bestFit="1" customWidth="1"/>
    <col min="4868" max="4868" width="38.5703125" style="227" bestFit="1" customWidth="1"/>
    <col min="4869" max="4869" width="13.28515625" style="227" customWidth="1"/>
    <col min="4870" max="4870" width="20.5703125" style="227" customWidth="1"/>
    <col min="4871" max="4871" width="13.7109375" style="227" customWidth="1"/>
    <col min="4872" max="4872" width="13.5703125" style="227" customWidth="1"/>
    <col min="4873" max="5120" width="9.140625" style="227"/>
    <col min="5121" max="5121" width="54.28515625" style="227" bestFit="1" customWidth="1"/>
    <col min="5122" max="5122" width="19.140625" style="227" customWidth="1"/>
    <col min="5123" max="5123" width="21.85546875" style="227" bestFit="1" customWidth="1"/>
    <col min="5124" max="5124" width="38.5703125" style="227" bestFit="1" customWidth="1"/>
    <col min="5125" max="5125" width="13.28515625" style="227" customWidth="1"/>
    <col min="5126" max="5126" width="20.5703125" style="227" customWidth="1"/>
    <col min="5127" max="5127" width="13.7109375" style="227" customWidth="1"/>
    <col min="5128" max="5128" width="13.5703125" style="227" customWidth="1"/>
    <col min="5129" max="5376" width="9.140625" style="227"/>
    <col min="5377" max="5377" width="54.28515625" style="227" bestFit="1" customWidth="1"/>
    <col min="5378" max="5378" width="19.140625" style="227" customWidth="1"/>
    <col min="5379" max="5379" width="21.85546875" style="227" bestFit="1" customWidth="1"/>
    <col min="5380" max="5380" width="38.5703125" style="227" bestFit="1" customWidth="1"/>
    <col min="5381" max="5381" width="13.28515625" style="227" customWidth="1"/>
    <col min="5382" max="5382" width="20.5703125" style="227" customWidth="1"/>
    <col min="5383" max="5383" width="13.7109375" style="227" customWidth="1"/>
    <col min="5384" max="5384" width="13.5703125" style="227" customWidth="1"/>
    <col min="5385" max="5632" width="9.140625" style="227"/>
    <col min="5633" max="5633" width="54.28515625" style="227" bestFit="1" customWidth="1"/>
    <col min="5634" max="5634" width="19.140625" style="227" customWidth="1"/>
    <col min="5635" max="5635" width="21.85546875" style="227" bestFit="1" customWidth="1"/>
    <col min="5636" max="5636" width="38.5703125" style="227" bestFit="1" customWidth="1"/>
    <col min="5637" max="5637" width="13.28515625" style="227" customWidth="1"/>
    <col min="5638" max="5638" width="20.5703125" style="227" customWidth="1"/>
    <col min="5639" max="5639" width="13.7109375" style="227" customWidth="1"/>
    <col min="5640" max="5640" width="13.5703125" style="227" customWidth="1"/>
    <col min="5641" max="5888" width="9.140625" style="227"/>
    <col min="5889" max="5889" width="54.28515625" style="227" bestFit="1" customWidth="1"/>
    <col min="5890" max="5890" width="19.140625" style="227" customWidth="1"/>
    <col min="5891" max="5891" width="21.85546875" style="227" bestFit="1" customWidth="1"/>
    <col min="5892" max="5892" width="38.5703125" style="227" bestFit="1" customWidth="1"/>
    <col min="5893" max="5893" width="13.28515625" style="227" customWidth="1"/>
    <col min="5894" max="5894" width="20.5703125" style="227" customWidth="1"/>
    <col min="5895" max="5895" width="13.7109375" style="227" customWidth="1"/>
    <col min="5896" max="5896" width="13.5703125" style="227" customWidth="1"/>
    <col min="5897" max="6144" width="9.140625" style="227"/>
    <col min="6145" max="6145" width="54.28515625" style="227" bestFit="1" customWidth="1"/>
    <col min="6146" max="6146" width="19.140625" style="227" customWidth="1"/>
    <col min="6147" max="6147" width="21.85546875" style="227" bestFit="1" customWidth="1"/>
    <col min="6148" max="6148" width="38.5703125" style="227" bestFit="1" customWidth="1"/>
    <col min="6149" max="6149" width="13.28515625" style="227" customWidth="1"/>
    <col min="6150" max="6150" width="20.5703125" style="227" customWidth="1"/>
    <col min="6151" max="6151" width="13.7109375" style="227" customWidth="1"/>
    <col min="6152" max="6152" width="13.5703125" style="227" customWidth="1"/>
    <col min="6153" max="6400" width="9.140625" style="227"/>
    <col min="6401" max="6401" width="54.28515625" style="227" bestFit="1" customWidth="1"/>
    <col min="6402" max="6402" width="19.140625" style="227" customWidth="1"/>
    <col min="6403" max="6403" width="21.85546875" style="227" bestFit="1" customWidth="1"/>
    <col min="6404" max="6404" width="38.5703125" style="227" bestFit="1" customWidth="1"/>
    <col min="6405" max="6405" width="13.28515625" style="227" customWidth="1"/>
    <col min="6406" max="6406" width="20.5703125" style="227" customWidth="1"/>
    <col min="6407" max="6407" width="13.7109375" style="227" customWidth="1"/>
    <col min="6408" max="6408" width="13.5703125" style="227" customWidth="1"/>
    <col min="6409" max="6656" width="9.140625" style="227"/>
    <col min="6657" max="6657" width="54.28515625" style="227" bestFit="1" customWidth="1"/>
    <col min="6658" max="6658" width="19.140625" style="227" customWidth="1"/>
    <col min="6659" max="6659" width="21.85546875" style="227" bestFit="1" customWidth="1"/>
    <col min="6660" max="6660" width="38.5703125" style="227" bestFit="1" customWidth="1"/>
    <col min="6661" max="6661" width="13.28515625" style="227" customWidth="1"/>
    <col min="6662" max="6662" width="20.5703125" style="227" customWidth="1"/>
    <col min="6663" max="6663" width="13.7109375" style="227" customWidth="1"/>
    <col min="6664" max="6664" width="13.5703125" style="227" customWidth="1"/>
    <col min="6665" max="6912" width="9.140625" style="227"/>
    <col min="6913" max="6913" width="54.28515625" style="227" bestFit="1" customWidth="1"/>
    <col min="6914" max="6914" width="19.140625" style="227" customWidth="1"/>
    <col min="6915" max="6915" width="21.85546875" style="227" bestFit="1" customWidth="1"/>
    <col min="6916" max="6916" width="38.5703125" style="227" bestFit="1" customWidth="1"/>
    <col min="6917" max="6917" width="13.28515625" style="227" customWidth="1"/>
    <col min="6918" max="6918" width="20.5703125" style="227" customWidth="1"/>
    <col min="6919" max="6919" width="13.7109375" style="227" customWidth="1"/>
    <col min="6920" max="6920" width="13.5703125" style="227" customWidth="1"/>
    <col min="6921" max="7168" width="9.140625" style="227"/>
    <col min="7169" max="7169" width="54.28515625" style="227" bestFit="1" customWidth="1"/>
    <col min="7170" max="7170" width="19.140625" style="227" customWidth="1"/>
    <col min="7171" max="7171" width="21.85546875" style="227" bestFit="1" customWidth="1"/>
    <col min="7172" max="7172" width="38.5703125" style="227" bestFit="1" customWidth="1"/>
    <col min="7173" max="7173" width="13.28515625" style="227" customWidth="1"/>
    <col min="7174" max="7174" width="20.5703125" style="227" customWidth="1"/>
    <col min="7175" max="7175" width="13.7109375" style="227" customWidth="1"/>
    <col min="7176" max="7176" width="13.5703125" style="227" customWidth="1"/>
    <col min="7177" max="7424" width="9.140625" style="227"/>
    <col min="7425" max="7425" width="54.28515625" style="227" bestFit="1" customWidth="1"/>
    <col min="7426" max="7426" width="19.140625" style="227" customWidth="1"/>
    <col min="7427" max="7427" width="21.85546875" style="227" bestFit="1" customWidth="1"/>
    <col min="7428" max="7428" width="38.5703125" style="227" bestFit="1" customWidth="1"/>
    <col min="7429" max="7429" width="13.28515625" style="227" customWidth="1"/>
    <col min="7430" max="7430" width="20.5703125" style="227" customWidth="1"/>
    <col min="7431" max="7431" width="13.7109375" style="227" customWidth="1"/>
    <col min="7432" max="7432" width="13.5703125" style="227" customWidth="1"/>
    <col min="7433" max="7680" width="9.140625" style="227"/>
    <col min="7681" max="7681" width="54.28515625" style="227" bestFit="1" customWidth="1"/>
    <col min="7682" max="7682" width="19.140625" style="227" customWidth="1"/>
    <col min="7683" max="7683" width="21.85546875" style="227" bestFit="1" customWidth="1"/>
    <col min="7684" max="7684" width="38.5703125" style="227" bestFit="1" customWidth="1"/>
    <col min="7685" max="7685" width="13.28515625" style="227" customWidth="1"/>
    <col min="7686" max="7686" width="20.5703125" style="227" customWidth="1"/>
    <col min="7687" max="7687" width="13.7109375" style="227" customWidth="1"/>
    <col min="7688" max="7688" width="13.5703125" style="227" customWidth="1"/>
    <col min="7689" max="7936" width="9.140625" style="227"/>
    <col min="7937" max="7937" width="54.28515625" style="227" bestFit="1" customWidth="1"/>
    <col min="7938" max="7938" width="19.140625" style="227" customWidth="1"/>
    <col min="7939" max="7939" width="21.85546875" style="227" bestFit="1" customWidth="1"/>
    <col min="7940" max="7940" width="38.5703125" style="227" bestFit="1" customWidth="1"/>
    <col min="7941" max="7941" width="13.28515625" style="227" customWidth="1"/>
    <col min="7942" max="7942" width="20.5703125" style="227" customWidth="1"/>
    <col min="7943" max="7943" width="13.7109375" style="227" customWidth="1"/>
    <col min="7944" max="7944" width="13.5703125" style="227" customWidth="1"/>
    <col min="7945" max="8192" width="9.140625" style="227"/>
    <col min="8193" max="8193" width="54.28515625" style="227" bestFit="1" customWidth="1"/>
    <col min="8194" max="8194" width="19.140625" style="227" customWidth="1"/>
    <col min="8195" max="8195" width="21.85546875" style="227" bestFit="1" customWidth="1"/>
    <col min="8196" max="8196" width="38.5703125" style="227" bestFit="1" customWidth="1"/>
    <col min="8197" max="8197" width="13.28515625" style="227" customWidth="1"/>
    <col min="8198" max="8198" width="20.5703125" style="227" customWidth="1"/>
    <col min="8199" max="8199" width="13.7109375" style="227" customWidth="1"/>
    <col min="8200" max="8200" width="13.5703125" style="227" customWidth="1"/>
    <col min="8201" max="8448" width="9.140625" style="227"/>
    <col min="8449" max="8449" width="54.28515625" style="227" bestFit="1" customWidth="1"/>
    <col min="8450" max="8450" width="19.140625" style="227" customWidth="1"/>
    <col min="8451" max="8451" width="21.85546875" style="227" bestFit="1" customWidth="1"/>
    <col min="8452" max="8452" width="38.5703125" style="227" bestFit="1" customWidth="1"/>
    <col min="8453" max="8453" width="13.28515625" style="227" customWidth="1"/>
    <col min="8454" max="8454" width="20.5703125" style="227" customWidth="1"/>
    <col min="8455" max="8455" width="13.7109375" style="227" customWidth="1"/>
    <col min="8456" max="8456" width="13.5703125" style="227" customWidth="1"/>
    <col min="8457" max="8704" width="9.140625" style="227"/>
    <col min="8705" max="8705" width="54.28515625" style="227" bestFit="1" customWidth="1"/>
    <col min="8706" max="8706" width="19.140625" style="227" customWidth="1"/>
    <col min="8707" max="8707" width="21.85546875" style="227" bestFit="1" customWidth="1"/>
    <col min="8708" max="8708" width="38.5703125" style="227" bestFit="1" customWidth="1"/>
    <col min="8709" max="8709" width="13.28515625" style="227" customWidth="1"/>
    <col min="8710" max="8710" width="20.5703125" style="227" customWidth="1"/>
    <col min="8711" max="8711" width="13.7109375" style="227" customWidth="1"/>
    <col min="8712" max="8712" width="13.5703125" style="227" customWidth="1"/>
    <col min="8713" max="8960" width="9.140625" style="227"/>
    <col min="8961" max="8961" width="54.28515625" style="227" bestFit="1" customWidth="1"/>
    <col min="8962" max="8962" width="19.140625" style="227" customWidth="1"/>
    <col min="8963" max="8963" width="21.85546875" style="227" bestFit="1" customWidth="1"/>
    <col min="8964" max="8964" width="38.5703125" style="227" bestFit="1" customWidth="1"/>
    <col min="8965" max="8965" width="13.28515625" style="227" customWidth="1"/>
    <col min="8966" max="8966" width="20.5703125" style="227" customWidth="1"/>
    <col min="8967" max="8967" width="13.7109375" style="227" customWidth="1"/>
    <col min="8968" max="8968" width="13.5703125" style="227" customWidth="1"/>
    <col min="8969" max="9216" width="9.140625" style="227"/>
    <col min="9217" max="9217" width="54.28515625" style="227" bestFit="1" customWidth="1"/>
    <col min="9218" max="9218" width="19.140625" style="227" customWidth="1"/>
    <col min="9219" max="9219" width="21.85546875" style="227" bestFit="1" customWidth="1"/>
    <col min="9220" max="9220" width="38.5703125" style="227" bestFit="1" customWidth="1"/>
    <col min="9221" max="9221" width="13.28515625" style="227" customWidth="1"/>
    <col min="9222" max="9222" width="20.5703125" style="227" customWidth="1"/>
    <col min="9223" max="9223" width="13.7109375" style="227" customWidth="1"/>
    <col min="9224" max="9224" width="13.5703125" style="227" customWidth="1"/>
    <col min="9225" max="9472" width="9.140625" style="227"/>
    <col min="9473" max="9473" width="54.28515625" style="227" bestFit="1" customWidth="1"/>
    <col min="9474" max="9474" width="19.140625" style="227" customWidth="1"/>
    <col min="9475" max="9475" width="21.85546875" style="227" bestFit="1" customWidth="1"/>
    <col min="9476" max="9476" width="38.5703125" style="227" bestFit="1" customWidth="1"/>
    <col min="9477" max="9477" width="13.28515625" style="227" customWidth="1"/>
    <col min="9478" max="9478" width="20.5703125" style="227" customWidth="1"/>
    <col min="9479" max="9479" width="13.7109375" style="227" customWidth="1"/>
    <col min="9480" max="9480" width="13.5703125" style="227" customWidth="1"/>
    <col min="9481" max="9728" width="9.140625" style="227"/>
    <col min="9729" max="9729" width="54.28515625" style="227" bestFit="1" customWidth="1"/>
    <col min="9730" max="9730" width="19.140625" style="227" customWidth="1"/>
    <col min="9731" max="9731" width="21.85546875" style="227" bestFit="1" customWidth="1"/>
    <col min="9732" max="9732" width="38.5703125" style="227" bestFit="1" customWidth="1"/>
    <col min="9733" max="9733" width="13.28515625" style="227" customWidth="1"/>
    <col min="9734" max="9734" width="20.5703125" style="227" customWidth="1"/>
    <col min="9735" max="9735" width="13.7109375" style="227" customWidth="1"/>
    <col min="9736" max="9736" width="13.5703125" style="227" customWidth="1"/>
    <col min="9737" max="9984" width="9.140625" style="227"/>
    <col min="9985" max="9985" width="54.28515625" style="227" bestFit="1" customWidth="1"/>
    <col min="9986" max="9986" width="19.140625" style="227" customWidth="1"/>
    <col min="9987" max="9987" width="21.85546875" style="227" bestFit="1" customWidth="1"/>
    <col min="9988" max="9988" width="38.5703125" style="227" bestFit="1" customWidth="1"/>
    <col min="9989" max="9989" width="13.28515625" style="227" customWidth="1"/>
    <col min="9990" max="9990" width="20.5703125" style="227" customWidth="1"/>
    <col min="9991" max="9991" width="13.7109375" style="227" customWidth="1"/>
    <col min="9992" max="9992" width="13.5703125" style="227" customWidth="1"/>
    <col min="9993" max="10240" width="9.140625" style="227"/>
    <col min="10241" max="10241" width="54.28515625" style="227" bestFit="1" customWidth="1"/>
    <col min="10242" max="10242" width="19.140625" style="227" customWidth="1"/>
    <col min="10243" max="10243" width="21.85546875" style="227" bestFit="1" customWidth="1"/>
    <col min="10244" max="10244" width="38.5703125" style="227" bestFit="1" customWidth="1"/>
    <col min="10245" max="10245" width="13.28515625" style="227" customWidth="1"/>
    <col min="10246" max="10246" width="20.5703125" style="227" customWidth="1"/>
    <col min="10247" max="10247" width="13.7109375" style="227" customWidth="1"/>
    <col min="10248" max="10248" width="13.5703125" style="227" customWidth="1"/>
    <col min="10249" max="10496" width="9.140625" style="227"/>
    <col min="10497" max="10497" width="54.28515625" style="227" bestFit="1" customWidth="1"/>
    <col min="10498" max="10498" width="19.140625" style="227" customWidth="1"/>
    <col min="10499" max="10499" width="21.85546875" style="227" bestFit="1" customWidth="1"/>
    <col min="10500" max="10500" width="38.5703125" style="227" bestFit="1" customWidth="1"/>
    <col min="10501" max="10501" width="13.28515625" style="227" customWidth="1"/>
    <col min="10502" max="10502" width="20.5703125" style="227" customWidth="1"/>
    <col min="10503" max="10503" width="13.7109375" style="227" customWidth="1"/>
    <col min="10504" max="10504" width="13.5703125" style="227" customWidth="1"/>
    <col min="10505" max="10752" width="9.140625" style="227"/>
    <col min="10753" max="10753" width="54.28515625" style="227" bestFit="1" customWidth="1"/>
    <col min="10754" max="10754" width="19.140625" style="227" customWidth="1"/>
    <col min="10755" max="10755" width="21.85546875" style="227" bestFit="1" customWidth="1"/>
    <col min="10756" max="10756" width="38.5703125" style="227" bestFit="1" customWidth="1"/>
    <col min="10757" max="10757" width="13.28515625" style="227" customWidth="1"/>
    <col min="10758" max="10758" width="20.5703125" style="227" customWidth="1"/>
    <col min="10759" max="10759" width="13.7109375" style="227" customWidth="1"/>
    <col min="10760" max="10760" width="13.5703125" style="227" customWidth="1"/>
    <col min="10761" max="11008" width="9.140625" style="227"/>
    <col min="11009" max="11009" width="54.28515625" style="227" bestFit="1" customWidth="1"/>
    <col min="11010" max="11010" width="19.140625" style="227" customWidth="1"/>
    <col min="11011" max="11011" width="21.85546875" style="227" bestFit="1" customWidth="1"/>
    <col min="11012" max="11012" width="38.5703125" style="227" bestFit="1" customWidth="1"/>
    <col min="11013" max="11013" width="13.28515625" style="227" customWidth="1"/>
    <col min="11014" max="11014" width="20.5703125" style="227" customWidth="1"/>
    <col min="11015" max="11015" width="13.7109375" style="227" customWidth="1"/>
    <col min="11016" max="11016" width="13.5703125" style="227" customWidth="1"/>
    <col min="11017" max="11264" width="9.140625" style="227"/>
    <col min="11265" max="11265" width="54.28515625" style="227" bestFit="1" customWidth="1"/>
    <col min="11266" max="11266" width="19.140625" style="227" customWidth="1"/>
    <col min="11267" max="11267" width="21.85546875" style="227" bestFit="1" customWidth="1"/>
    <col min="11268" max="11268" width="38.5703125" style="227" bestFit="1" customWidth="1"/>
    <col min="11269" max="11269" width="13.28515625" style="227" customWidth="1"/>
    <col min="11270" max="11270" width="20.5703125" style="227" customWidth="1"/>
    <col min="11271" max="11271" width="13.7109375" style="227" customWidth="1"/>
    <col min="11272" max="11272" width="13.5703125" style="227" customWidth="1"/>
    <col min="11273" max="11520" width="9.140625" style="227"/>
    <col min="11521" max="11521" width="54.28515625" style="227" bestFit="1" customWidth="1"/>
    <col min="11522" max="11522" width="19.140625" style="227" customWidth="1"/>
    <col min="11523" max="11523" width="21.85546875" style="227" bestFit="1" customWidth="1"/>
    <col min="11524" max="11524" width="38.5703125" style="227" bestFit="1" customWidth="1"/>
    <col min="11525" max="11525" width="13.28515625" style="227" customWidth="1"/>
    <col min="11526" max="11526" width="20.5703125" style="227" customWidth="1"/>
    <col min="11527" max="11527" width="13.7109375" style="227" customWidth="1"/>
    <col min="11528" max="11528" width="13.5703125" style="227" customWidth="1"/>
    <col min="11529" max="11776" width="9.140625" style="227"/>
    <col min="11777" max="11777" width="54.28515625" style="227" bestFit="1" customWidth="1"/>
    <col min="11778" max="11778" width="19.140625" style="227" customWidth="1"/>
    <col min="11779" max="11779" width="21.85546875" style="227" bestFit="1" customWidth="1"/>
    <col min="11780" max="11780" width="38.5703125" style="227" bestFit="1" customWidth="1"/>
    <col min="11781" max="11781" width="13.28515625" style="227" customWidth="1"/>
    <col min="11782" max="11782" width="20.5703125" style="227" customWidth="1"/>
    <col min="11783" max="11783" width="13.7109375" style="227" customWidth="1"/>
    <col min="11784" max="11784" width="13.5703125" style="227" customWidth="1"/>
    <col min="11785" max="12032" width="9.140625" style="227"/>
    <col min="12033" max="12033" width="54.28515625" style="227" bestFit="1" customWidth="1"/>
    <col min="12034" max="12034" width="19.140625" style="227" customWidth="1"/>
    <col min="12035" max="12035" width="21.85546875" style="227" bestFit="1" customWidth="1"/>
    <col min="12036" max="12036" width="38.5703125" style="227" bestFit="1" customWidth="1"/>
    <col min="12037" max="12037" width="13.28515625" style="227" customWidth="1"/>
    <col min="12038" max="12038" width="20.5703125" style="227" customWidth="1"/>
    <col min="12039" max="12039" width="13.7109375" style="227" customWidth="1"/>
    <col min="12040" max="12040" width="13.5703125" style="227" customWidth="1"/>
    <col min="12041" max="12288" width="9.140625" style="227"/>
    <col min="12289" max="12289" width="54.28515625" style="227" bestFit="1" customWidth="1"/>
    <col min="12290" max="12290" width="19.140625" style="227" customWidth="1"/>
    <col min="12291" max="12291" width="21.85546875" style="227" bestFit="1" customWidth="1"/>
    <col min="12292" max="12292" width="38.5703125" style="227" bestFit="1" customWidth="1"/>
    <col min="12293" max="12293" width="13.28515625" style="227" customWidth="1"/>
    <col min="12294" max="12294" width="20.5703125" style="227" customWidth="1"/>
    <col min="12295" max="12295" width="13.7109375" style="227" customWidth="1"/>
    <col min="12296" max="12296" width="13.5703125" style="227" customWidth="1"/>
    <col min="12297" max="12544" width="9.140625" style="227"/>
    <col min="12545" max="12545" width="54.28515625" style="227" bestFit="1" customWidth="1"/>
    <col min="12546" max="12546" width="19.140625" style="227" customWidth="1"/>
    <col min="12547" max="12547" width="21.85546875" style="227" bestFit="1" customWidth="1"/>
    <col min="12548" max="12548" width="38.5703125" style="227" bestFit="1" customWidth="1"/>
    <col min="12549" max="12549" width="13.28515625" style="227" customWidth="1"/>
    <col min="12550" max="12550" width="20.5703125" style="227" customWidth="1"/>
    <col min="12551" max="12551" width="13.7109375" style="227" customWidth="1"/>
    <col min="12552" max="12552" width="13.5703125" style="227" customWidth="1"/>
    <col min="12553" max="12800" width="9.140625" style="227"/>
    <col min="12801" max="12801" width="54.28515625" style="227" bestFit="1" customWidth="1"/>
    <col min="12802" max="12802" width="19.140625" style="227" customWidth="1"/>
    <col min="12803" max="12803" width="21.85546875" style="227" bestFit="1" customWidth="1"/>
    <col min="12804" max="12804" width="38.5703125" style="227" bestFit="1" customWidth="1"/>
    <col min="12805" max="12805" width="13.28515625" style="227" customWidth="1"/>
    <col min="12806" max="12806" width="20.5703125" style="227" customWidth="1"/>
    <col min="12807" max="12807" width="13.7109375" style="227" customWidth="1"/>
    <col min="12808" max="12808" width="13.5703125" style="227" customWidth="1"/>
    <col min="12809" max="13056" width="9.140625" style="227"/>
    <col min="13057" max="13057" width="54.28515625" style="227" bestFit="1" customWidth="1"/>
    <col min="13058" max="13058" width="19.140625" style="227" customWidth="1"/>
    <col min="13059" max="13059" width="21.85546875" style="227" bestFit="1" customWidth="1"/>
    <col min="13060" max="13060" width="38.5703125" style="227" bestFit="1" customWidth="1"/>
    <col min="13061" max="13061" width="13.28515625" style="227" customWidth="1"/>
    <col min="13062" max="13062" width="20.5703125" style="227" customWidth="1"/>
    <col min="13063" max="13063" width="13.7109375" style="227" customWidth="1"/>
    <col min="13064" max="13064" width="13.5703125" style="227" customWidth="1"/>
    <col min="13065" max="13312" width="9.140625" style="227"/>
    <col min="13313" max="13313" width="54.28515625" style="227" bestFit="1" customWidth="1"/>
    <col min="13314" max="13314" width="19.140625" style="227" customWidth="1"/>
    <col min="13315" max="13315" width="21.85546875" style="227" bestFit="1" customWidth="1"/>
    <col min="13316" max="13316" width="38.5703125" style="227" bestFit="1" customWidth="1"/>
    <col min="13317" max="13317" width="13.28515625" style="227" customWidth="1"/>
    <col min="13318" max="13318" width="20.5703125" style="227" customWidth="1"/>
    <col min="13319" max="13319" width="13.7109375" style="227" customWidth="1"/>
    <col min="13320" max="13320" width="13.5703125" style="227" customWidth="1"/>
    <col min="13321" max="13568" width="9.140625" style="227"/>
    <col min="13569" max="13569" width="54.28515625" style="227" bestFit="1" customWidth="1"/>
    <col min="13570" max="13570" width="19.140625" style="227" customWidth="1"/>
    <col min="13571" max="13571" width="21.85546875" style="227" bestFit="1" customWidth="1"/>
    <col min="13572" max="13572" width="38.5703125" style="227" bestFit="1" customWidth="1"/>
    <col min="13573" max="13573" width="13.28515625" style="227" customWidth="1"/>
    <col min="13574" max="13574" width="20.5703125" style="227" customWidth="1"/>
    <col min="13575" max="13575" width="13.7109375" style="227" customWidth="1"/>
    <col min="13576" max="13576" width="13.5703125" style="227" customWidth="1"/>
    <col min="13577" max="13824" width="9.140625" style="227"/>
    <col min="13825" max="13825" width="54.28515625" style="227" bestFit="1" customWidth="1"/>
    <col min="13826" max="13826" width="19.140625" style="227" customWidth="1"/>
    <col min="13827" max="13827" width="21.85546875" style="227" bestFit="1" customWidth="1"/>
    <col min="13828" max="13828" width="38.5703125" style="227" bestFit="1" customWidth="1"/>
    <col min="13829" max="13829" width="13.28515625" style="227" customWidth="1"/>
    <col min="13830" max="13830" width="20.5703125" style="227" customWidth="1"/>
    <col min="13831" max="13831" width="13.7109375" style="227" customWidth="1"/>
    <col min="13832" max="13832" width="13.5703125" style="227" customWidth="1"/>
    <col min="13833" max="14080" width="9.140625" style="227"/>
    <col min="14081" max="14081" width="54.28515625" style="227" bestFit="1" customWidth="1"/>
    <col min="14082" max="14082" width="19.140625" style="227" customWidth="1"/>
    <col min="14083" max="14083" width="21.85546875" style="227" bestFit="1" customWidth="1"/>
    <col min="14084" max="14084" width="38.5703125" style="227" bestFit="1" customWidth="1"/>
    <col min="14085" max="14085" width="13.28515625" style="227" customWidth="1"/>
    <col min="14086" max="14086" width="20.5703125" style="227" customWidth="1"/>
    <col min="14087" max="14087" width="13.7109375" style="227" customWidth="1"/>
    <col min="14088" max="14088" width="13.5703125" style="227" customWidth="1"/>
    <col min="14089" max="14336" width="9.140625" style="227"/>
    <col min="14337" max="14337" width="54.28515625" style="227" bestFit="1" customWidth="1"/>
    <col min="14338" max="14338" width="19.140625" style="227" customWidth="1"/>
    <col min="14339" max="14339" width="21.85546875" style="227" bestFit="1" customWidth="1"/>
    <col min="14340" max="14340" width="38.5703125" style="227" bestFit="1" customWidth="1"/>
    <col min="14341" max="14341" width="13.28515625" style="227" customWidth="1"/>
    <col min="14342" max="14342" width="20.5703125" style="227" customWidth="1"/>
    <col min="14343" max="14343" width="13.7109375" style="227" customWidth="1"/>
    <col min="14344" max="14344" width="13.5703125" style="227" customWidth="1"/>
    <col min="14345" max="14592" width="9.140625" style="227"/>
    <col min="14593" max="14593" width="54.28515625" style="227" bestFit="1" customWidth="1"/>
    <col min="14594" max="14594" width="19.140625" style="227" customWidth="1"/>
    <col min="14595" max="14595" width="21.85546875" style="227" bestFit="1" customWidth="1"/>
    <col min="14596" max="14596" width="38.5703125" style="227" bestFit="1" customWidth="1"/>
    <col min="14597" max="14597" width="13.28515625" style="227" customWidth="1"/>
    <col min="14598" max="14598" width="20.5703125" style="227" customWidth="1"/>
    <col min="14599" max="14599" width="13.7109375" style="227" customWidth="1"/>
    <col min="14600" max="14600" width="13.5703125" style="227" customWidth="1"/>
    <col min="14601" max="14848" width="9.140625" style="227"/>
    <col min="14849" max="14849" width="54.28515625" style="227" bestFit="1" customWidth="1"/>
    <col min="14850" max="14850" width="19.140625" style="227" customWidth="1"/>
    <col min="14851" max="14851" width="21.85546875" style="227" bestFit="1" customWidth="1"/>
    <col min="14852" max="14852" width="38.5703125" style="227" bestFit="1" customWidth="1"/>
    <col min="14853" max="14853" width="13.28515625" style="227" customWidth="1"/>
    <col min="14854" max="14854" width="20.5703125" style="227" customWidth="1"/>
    <col min="14855" max="14855" width="13.7109375" style="227" customWidth="1"/>
    <col min="14856" max="14856" width="13.5703125" style="227" customWidth="1"/>
    <col min="14857" max="15104" width="9.140625" style="227"/>
    <col min="15105" max="15105" width="54.28515625" style="227" bestFit="1" customWidth="1"/>
    <col min="15106" max="15106" width="19.140625" style="227" customWidth="1"/>
    <col min="15107" max="15107" width="21.85546875" style="227" bestFit="1" customWidth="1"/>
    <col min="15108" max="15108" width="38.5703125" style="227" bestFit="1" customWidth="1"/>
    <col min="15109" max="15109" width="13.28515625" style="227" customWidth="1"/>
    <col min="15110" max="15110" width="20.5703125" style="227" customWidth="1"/>
    <col min="15111" max="15111" width="13.7109375" style="227" customWidth="1"/>
    <col min="15112" max="15112" width="13.5703125" style="227" customWidth="1"/>
    <col min="15113" max="15360" width="9.140625" style="227"/>
    <col min="15361" max="15361" width="54.28515625" style="227" bestFit="1" customWidth="1"/>
    <col min="15362" max="15362" width="19.140625" style="227" customWidth="1"/>
    <col min="15363" max="15363" width="21.85546875" style="227" bestFit="1" customWidth="1"/>
    <col min="15364" max="15364" width="38.5703125" style="227" bestFit="1" customWidth="1"/>
    <col min="15365" max="15365" width="13.28515625" style="227" customWidth="1"/>
    <col min="15366" max="15366" width="20.5703125" style="227" customWidth="1"/>
    <col min="15367" max="15367" width="13.7109375" style="227" customWidth="1"/>
    <col min="15368" max="15368" width="13.5703125" style="227" customWidth="1"/>
    <col min="15369" max="15616" width="9.140625" style="227"/>
    <col min="15617" max="15617" width="54.28515625" style="227" bestFit="1" customWidth="1"/>
    <col min="15618" max="15618" width="19.140625" style="227" customWidth="1"/>
    <col min="15619" max="15619" width="21.85546875" style="227" bestFit="1" customWidth="1"/>
    <col min="15620" max="15620" width="38.5703125" style="227" bestFit="1" customWidth="1"/>
    <col min="15621" max="15621" width="13.28515625" style="227" customWidth="1"/>
    <col min="15622" max="15622" width="20.5703125" style="227" customWidth="1"/>
    <col min="15623" max="15623" width="13.7109375" style="227" customWidth="1"/>
    <col min="15624" max="15624" width="13.5703125" style="227" customWidth="1"/>
    <col min="15625" max="15872" width="9.140625" style="227"/>
    <col min="15873" max="15873" width="54.28515625" style="227" bestFit="1" customWidth="1"/>
    <col min="15874" max="15874" width="19.140625" style="227" customWidth="1"/>
    <col min="15875" max="15875" width="21.85546875" style="227" bestFit="1" customWidth="1"/>
    <col min="15876" max="15876" width="38.5703125" style="227" bestFit="1" customWidth="1"/>
    <col min="15877" max="15877" width="13.28515625" style="227" customWidth="1"/>
    <col min="15878" max="15878" width="20.5703125" style="227" customWidth="1"/>
    <col min="15879" max="15879" width="13.7109375" style="227" customWidth="1"/>
    <col min="15880" max="15880" width="13.5703125" style="227" customWidth="1"/>
    <col min="15881" max="16128" width="9.140625" style="227"/>
    <col min="16129" max="16129" width="54.28515625" style="227" bestFit="1" customWidth="1"/>
    <col min="16130" max="16130" width="19.140625" style="227" customWidth="1"/>
    <col min="16131" max="16131" width="21.85546875" style="227" bestFit="1" customWidth="1"/>
    <col min="16132" max="16132" width="38.5703125" style="227" bestFit="1" customWidth="1"/>
    <col min="16133" max="16133" width="13.28515625" style="227" customWidth="1"/>
    <col min="16134" max="16134" width="20.5703125" style="227" customWidth="1"/>
    <col min="16135" max="16135" width="13.7109375" style="227" customWidth="1"/>
    <col min="16136" max="16136" width="13.5703125" style="227" customWidth="1"/>
    <col min="16137" max="16384" width="9.140625" style="227"/>
  </cols>
  <sheetData>
    <row r="1" spans="1:6" ht="18" x14ac:dyDescent="0.25">
      <c r="A1" s="290" t="s">
        <v>3981</v>
      </c>
    </row>
    <row r="2" spans="1:6" ht="18" x14ac:dyDescent="0.25">
      <c r="A2" s="290"/>
    </row>
    <row r="3" spans="1:6" x14ac:dyDescent="0.2">
      <c r="A3" s="278" t="s">
        <v>3957</v>
      </c>
    </row>
    <row r="4" spans="1:6" ht="25.5" customHeight="1" x14ac:dyDescent="0.2">
      <c r="A4" s="261" t="s">
        <v>3886</v>
      </c>
      <c r="B4" s="261" t="s">
        <v>3573</v>
      </c>
      <c r="C4" s="261" t="s">
        <v>3956</v>
      </c>
      <c r="D4" s="261" t="s">
        <v>3945</v>
      </c>
      <c r="E4" s="261" t="s">
        <v>3944</v>
      </c>
      <c r="F4" s="260" t="s">
        <v>3955</v>
      </c>
    </row>
    <row r="5" spans="1:6" x14ac:dyDescent="0.2">
      <c r="A5" s="232" t="s">
        <v>2791</v>
      </c>
      <c r="B5" s="267" t="s">
        <v>2790</v>
      </c>
      <c r="C5" s="348">
        <f>SUMIF('Staff data'!$B:$B,$B5,'Staff data'!$O:$O)</f>
        <v>0.89162818046971637</v>
      </c>
      <c r="D5" s="270">
        <f>+$H$56</f>
        <v>455</v>
      </c>
      <c r="E5" s="275">
        <f>D5/D7</f>
        <v>0.89390962671905694</v>
      </c>
      <c r="F5" s="254">
        <f>C5*E5</f>
        <v>0.79703501397587606</v>
      </c>
    </row>
    <row r="6" spans="1:6" x14ac:dyDescent="0.2">
      <c r="A6" s="232" t="s">
        <v>1177</v>
      </c>
      <c r="B6" s="267" t="s">
        <v>3514</v>
      </c>
      <c r="C6" s="348">
        <f>SUMIF('Staff data'!$B:$B,$B6,'Staff data'!$O:$O)</f>
        <v>0.89076060974033866</v>
      </c>
      <c r="D6" s="270">
        <f>+$H$57+$H$58</f>
        <v>54</v>
      </c>
      <c r="E6" s="275">
        <f>D6/D7</f>
        <v>0.10609037328094302</v>
      </c>
      <c r="F6" s="254">
        <f>C6*E6</f>
        <v>9.4501125591312934E-2</v>
      </c>
    </row>
    <row r="7" spans="1:6" x14ac:dyDescent="0.2">
      <c r="A7" s="232" t="s">
        <v>3926</v>
      </c>
      <c r="B7" s="267"/>
      <c r="C7" s="254"/>
      <c r="D7" s="270">
        <f>SUM(D5:D6)</f>
        <v>509</v>
      </c>
      <c r="E7" s="284">
        <f>SUM(E5:E6)</f>
        <v>1</v>
      </c>
      <c r="F7" s="271">
        <f>SUM(F5:F6)</f>
        <v>0.89153613956718902</v>
      </c>
    </row>
    <row r="8" spans="1:6" x14ac:dyDescent="0.2">
      <c r="A8" s="282"/>
      <c r="B8" s="283"/>
      <c r="D8" s="282"/>
      <c r="E8" s="282"/>
      <c r="F8" s="281"/>
    </row>
    <row r="9" spans="1:6" x14ac:dyDescent="0.2">
      <c r="B9" s="283"/>
      <c r="F9" s="245"/>
    </row>
    <row r="10" spans="1:6" x14ac:dyDescent="0.2">
      <c r="A10" s="278" t="s">
        <v>3954</v>
      </c>
      <c r="B10" s="262"/>
      <c r="C10" s="245"/>
      <c r="F10" s="245"/>
    </row>
    <row r="11" spans="1:6" ht="25.5" customHeight="1" x14ac:dyDescent="0.2">
      <c r="A11" s="261" t="s">
        <v>3886</v>
      </c>
      <c r="B11" s="261" t="s">
        <v>3573</v>
      </c>
      <c r="C11" s="286" t="s">
        <v>3953</v>
      </c>
      <c r="D11" s="261" t="s">
        <v>3945</v>
      </c>
      <c r="E11" s="261" t="s">
        <v>3944</v>
      </c>
      <c r="F11" s="288" t="s">
        <v>3952</v>
      </c>
    </row>
    <row r="12" spans="1:6" x14ac:dyDescent="0.2">
      <c r="A12" s="331" t="str">
        <f>+$A$5</f>
        <v>SOUTH DEVON HEALTHCARE NHS FOUNDATION TRUST</v>
      </c>
      <c r="B12" s="330" t="str">
        <f>+$B$5</f>
        <v>RA9</v>
      </c>
      <c r="C12" s="348">
        <f>SUMIF('Buildings data'!$B$2:$B$778,$B12,'Buildings data'!$L$2:$L$778)</f>
        <v>0.97520705353611448</v>
      </c>
      <c r="D12" s="270">
        <f>+$H$56</f>
        <v>455</v>
      </c>
      <c r="E12" s="325">
        <f>D12/$D$14</f>
        <v>0.89390962671905694</v>
      </c>
      <c r="F12" s="254">
        <f>C12*E12</f>
        <v>0.87174697320025951</v>
      </c>
    </row>
    <row r="13" spans="1:6" x14ac:dyDescent="0.2">
      <c r="A13" s="331" t="str">
        <f>+$A$6</f>
        <v>TORBAY AND SOUTHERN DEVON HEALTH AND CARE NHS TRUST</v>
      </c>
      <c r="B13" s="330" t="str">
        <f>+$B$6</f>
        <v>R1G</v>
      </c>
      <c r="C13" s="348">
        <f>SUMIF('Buildings data'!$B$2:$B$778,$B13,'Buildings data'!$L$2:$L$778)</f>
        <v>0.97520705353611448</v>
      </c>
      <c r="D13" s="270">
        <f>+$H$57+$H$58</f>
        <v>54</v>
      </c>
      <c r="E13" s="325">
        <f>D13/$D$14</f>
        <v>0.10609037328094302</v>
      </c>
      <c r="F13" s="254">
        <f>C13*E13</f>
        <v>0.10346008033585496</v>
      </c>
    </row>
    <row r="14" spans="1:6" x14ac:dyDescent="0.2">
      <c r="A14" s="232" t="s">
        <v>3926</v>
      </c>
      <c r="B14" s="267"/>
      <c r="C14" s="254"/>
      <c r="D14" s="270">
        <f>SUM(D12:D13)</f>
        <v>509</v>
      </c>
      <c r="E14" s="284">
        <f>SUM(E12:E13)</f>
        <v>1</v>
      </c>
      <c r="F14" s="271">
        <f>SUM(F12:F13)</f>
        <v>0.97520705353611448</v>
      </c>
    </row>
    <row r="15" spans="1:6" x14ac:dyDescent="0.2">
      <c r="A15" s="282"/>
      <c r="B15" s="283"/>
      <c r="C15" s="287"/>
      <c r="D15" s="282"/>
      <c r="E15" s="282"/>
      <c r="F15" s="281"/>
    </row>
    <row r="16" spans="1:6" x14ac:dyDescent="0.2">
      <c r="B16" s="262"/>
      <c r="C16" s="245"/>
    </row>
    <row r="17" spans="1:9" x14ac:dyDescent="0.2">
      <c r="A17" s="278" t="s">
        <v>2735</v>
      </c>
      <c r="B17" s="262"/>
      <c r="C17" s="245"/>
    </row>
    <row r="18" spans="1:9" ht="25.5" x14ac:dyDescent="0.2">
      <c r="A18" s="261" t="s">
        <v>3886</v>
      </c>
      <c r="B18" s="261" t="s">
        <v>3573</v>
      </c>
      <c r="C18" s="286" t="s">
        <v>3951</v>
      </c>
      <c r="D18" s="261" t="s">
        <v>3945</v>
      </c>
      <c r="E18" s="261" t="s">
        <v>3944</v>
      </c>
      <c r="F18" s="260" t="s">
        <v>3950</v>
      </c>
    </row>
    <row r="19" spans="1:9" x14ac:dyDescent="0.2">
      <c r="A19" s="331" t="str">
        <f>+$A$5</f>
        <v>SOUTH DEVON HEALTHCARE NHS FOUNDATION TRUST</v>
      </c>
      <c r="B19" s="330" t="str">
        <f>+$B$5</f>
        <v>RA9</v>
      </c>
      <c r="C19" s="347">
        <f>VLOOKUP($B19,'M&amp;D data'!$C$13:$G$266,5,FALSE)</f>
        <v>0.99619990923086066</v>
      </c>
      <c r="D19" s="270">
        <f>+$H$56</f>
        <v>455</v>
      </c>
      <c r="E19" s="325">
        <f>D19/$D$14</f>
        <v>0.89390962671905694</v>
      </c>
      <c r="F19" s="346">
        <f>+E19*C19</f>
        <v>0.89051268899811709</v>
      </c>
    </row>
    <row r="20" spans="1:9" x14ac:dyDescent="0.2">
      <c r="A20" s="331" t="str">
        <f>+$A$6</f>
        <v>TORBAY AND SOUTHERN DEVON HEALTH AND CARE NHS TRUST</v>
      </c>
      <c r="B20" s="330" t="str">
        <f>+$B$6</f>
        <v>R1G</v>
      </c>
      <c r="C20" s="347">
        <f>VLOOKUP($B20,'M&amp;D data'!$C$13:$G$266,5,FALSE)</f>
        <v>0.99619990923086066</v>
      </c>
      <c r="D20" s="270">
        <f>+$H$57+$H$58</f>
        <v>54</v>
      </c>
      <c r="E20" s="325">
        <f>D20/$D$14</f>
        <v>0.10609037328094302</v>
      </c>
      <c r="F20" s="346">
        <f>+E20*C20</f>
        <v>0.10568722023274356</v>
      </c>
    </row>
    <row r="21" spans="1:9" x14ac:dyDescent="0.2">
      <c r="A21" s="232" t="s">
        <v>3926</v>
      </c>
      <c r="B21" s="267"/>
      <c r="C21" s="346"/>
      <c r="D21" s="270">
        <f>SUM(D19:D20)</f>
        <v>509</v>
      </c>
      <c r="E21" s="284">
        <f>SUM(E19:E20)</f>
        <v>1</v>
      </c>
      <c r="F21" s="345">
        <f>SUM(F19:F20)</f>
        <v>0.99619990923086066</v>
      </c>
    </row>
    <row r="22" spans="1:9" x14ac:dyDescent="0.2">
      <c r="A22" s="282"/>
      <c r="B22" s="283"/>
      <c r="C22" s="282"/>
      <c r="D22" s="281"/>
      <c r="E22" s="280" t="s">
        <v>3931</v>
      </c>
      <c r="F22" s="329">
        <f>SUMPRODUCT(E19:E20,C19:C20)-F21</f>
        <v>0</v>
      </c>
    </row>
    <row r="23" spans="1:9" x14ac:dyDescent="0.2">
      <c r="B23" s="262"/>
    </row>
    <row r="24" spans="1:9" x14ac:dyDescent="0.2">
      <c r="A24" s="278" t="s">
        <v>2733</v>
      </c>
      <c r="B24" s="262"/>
      <c r="C24" s="226"/>
      <c r="D24" s="226"/>
    </row>
    <row r="25" spans="1:9" ht="38.25" x14ac:dyDescent="0.2">
      <c r="A25" s="244" t="s">
        <v>3886</v>
      </c>
      <c r="B25" s="244" t="s">
        <v>3573</v>
      </c>
      <c r="C25" s="244" t="s">
        <v>3949</v>
      </c>
      <c r="D25" s="260" t="s">
        <v>3948</v>
      </c>
      <c r="E25" s="260" t="s">
        <v>3947</v>
      </c>
      <c r="F25" s="244" t="s">
        <v>3946</v>
      </c>
      <c r="G25" s="244" t="s">
        <v>3945</v>
      </c>
      <c r="H25" s="277" t="s">
        <v>3944</v>
      </c>
      <c r="I25" s="244" t="s">
        <v>3943</v>
      </c>
    </row>
    <row r="26" spans="1:9" x14ac:dyDescent="0.2">
      <c r="A26" s="341" t="str">
        <f>+$A$5</f>
        <v>SOUTH DEVON HEALTHCARE NHS FOUNDATION TRUST</v>
      </c>
      <c r="B26" s="340" t="str">
        <f>+$B$5</f>
        <v>RA9</v>
      </c>
      <c r="C26" s="328">
        <f>VLOOKUP($B26,'Land data'!$B$2:$D$234,3,FALSE)</f>
        <v>22.62</v>
      </c>
      <c r="D26" s="322">
        <f>VLOOKUP($B26,'Land data'!$B$2:$E$234,4,FALSE)</f>
        <v>23335</v>
      </c>
      <c r="E26" s="270">
        <f>D26/C26</f>
        <v>1031.6091954022988</v>
      </c>
      <c r="F26" s="232"/>
      <c r="G26" s="270">
        <f>+$H$56</f>
        <v>455</v>
      </c>
      <c r="H26" s="323">
        <f>G26/$D$14</f>
        <v>0.89390962671905694</v>
      </c>
      <c r="I26" s="274">
        <f>E26/E29</f>
        <v>0.90943440281421672</v>
      </c>
    </row>
    <row r="27" spans="1:9" x14ac:dyDescent="0.2">
      <c r="A27" s="341" t="str">
        <f>+$A$6</f>
        <v>TORBAY AND SOUTHERN DEVON HEALTH AND CARE NHS TRUST</v>
      </c>
      <c r="B27" s="340" t="str">
        <f>+$B$6</f>
        <v>R1G</v>
      </c>
      <c r="C27" s="328">
        <f>INDEX('PCT data'!M$1:M$151,MATCH($B27,'PCT data'!$F$1:$F$151,0),1)</f>
        <v>4.4043999999999999</v>
      </c>
      <c r="D27" s="322">
        <f>INDEX('PCT data'!N$1:N$151,MATCH($B27,'PCT data'!$F$1:$F$151,0),1)</f>
        <v>2821</v>
      </c>
      <c r="E27" s="270">
        <f>D27/C27</f>
        <v>640.49586776859508</v>
      </c>
      <c r="F27" s="232"/>
      <c r="G27" s="270">
        <f>+$H$57+$H$58</f>
        <v>54</v>
      </c>
      <c r="H27" s="323">
        <f>G27/$D$14</f>
        <v>0.10609037328094302</v>
      </c>
      <c r="I27" s="274">
        <f>E27/E29</f>
        <v>0.56464112534587418</v>
      </c>
    </row>
    <row r="28" spans="1:9" x14ac:dyDescent="0.2">
      <c r="A28" s="235" t="s">
        <v>3926</v>
      </c>
      <c r="B28" s="234"/>
      <c r="C28" s="266">
        <f>SUM(C26:C27)</f>
        <v>27.0244</v>
      </c>
      <c r="D28" s="270">
        <f>SUM(D26:D27)</f>
        <v>26156</v>
      </c>
      <c r="E28" s="270">
        <f>D28/C28</f>
        <v>967.86607658264381</v>
      </c>
      <c r="F28" s="271">
        <f>+E28/E29</f>
        <v>0.85324046284583377</v>
      </c>
      <c r="G28" s="322">
        <f>SUM(G26:G27)</f>
        <v>509</v>
      </c>
      <c r="H28" s="269">
        <f>SUM(H26:H27)</f>
        <v>1</v>
      </c>
      <c r="I28" s="268">
        <f>SUMPRODUCT(H26:H27,I26:I27)</f>
        <v>0.87285515530284041</v>
      </c>
    </row>
    <row r="29" spans="1:9" x14ac:dyDescent="0.2">
      <c r="A29" s="233" t="s">
        <v>3942</v>
      </c>
      <c r="B29" s="240"/>
      <c r="C29" s="373">
        <f>SUM('PCT data'!$M$3:$M$154)+SUM('Land data'!$D$2:$D$234)</f>
        <v>7611.3175000000019</v>
      </c>
      <c r="D29" s="322">
        <f>SUM('PCT data'!$N$3:$N$154)+SUM('Land data'!$E$2:$E$234)</f>
        <v>8633833.4000000004</v>
      </c>
      <c r="E29" s="322">
        <f>D29/C29</f>
        <v>1134.3415118341861</v>
      </c>
      <c r="F29" s="232"/>
      <c r="G29" s="233"/>
      <c r="H29" s="233"/>
      <c r="I29" s="233"/>
    </row>
    <row r="30" spans="1:9" x14ac:dyDescent="0.2">
      <c r="A30" s="228" t="s">
        <v>3941</v>
      </c>
      <c r="F30" s="264"/>
      <c r="G30" s="263"/>
    </row>
    <row r="31" spans="1:9" x14ac:dyDescent="0.2">
      <c r="A31" s="228" t="s">
        <v>3940</v>
      </c>
    </row>
    <row r="32" spans="1:9" x14ac:dyDescent="0.2">
      <c r="A32" s="228"/>
    </row>
    <row r="33" spans="1:8" x14ac:dyDescent="0.2">
      <c r="A33" s="229" t="s">
        <v>3933</v>
      </c>
    </row>
    <row r="34" spans="1:8" ht="38.25" x14ac:dyDescent="0.2">
      <c r="A34" s="261" t="s">
        <v>3939</v>
      </c>
      <c r="B34" s="260" t="s">
        <v>3938</v>
      </c>
      <c r="C34" s="260" t="s">
        <v>3937</v>
      </c>
      <c r="D34" s="260" t="s">
        <v>3936</v>
      </c>
      <c r="E34" s="260" t="s">
        <v>3927</v>
      </c>
    </row>
    <row r="35" spans="1:8" x14ac:dyDescent="0.2">
      <c r="A35" s="259" t="s">
        <v>2734</v>
      </c>
      <c r="B35" s="258">
        <f>F7</f>
        <v>0.89153613956718902</v>
      </c>
      <c r="C35" s="255">
        <f>Staff_Weight</f>
        <v>0.54914759484508857</v>
      </c>
      <c r="D35" s="254">
        <f>B35*C35</f>
        <v>0.48958492676079707</v>
      </c>
      <c r="E35" s="232"/>
    </row>
    <row r="36" spans="1:8" x14ac:dyDescent="0.2">
      <c r="A36" s="257" t="s">
        <v>3935</v>
      </c>
      <c r="B36" s="256">
        <f>F14</f>
        <v>0.97520705353611448</v>
      </c>
      <c r="C36" s="255">
        <f>Building_Weight</f>
        <v>2.6635675286214532E-2</v>
      </c>
      <c r="D36" s="254">
        <f>B36*C36</f>
        <v>2.5975298414813976E-2</v>
      </c>
      <c r="E36" s="232"/>
    </row>
    <row r="37" spans="1:8" x14ac:dyDescent="0.2">
      <c r="A37" s="257" t="s">
        <v>2735</v>
      </c>
      <c r="B37" s="256">
        <f>F21</f>
        <v>0.99619990923086066</v>
      </c>
      <c r="C37" s="255">
        <f>MnD_Weight</f>
        <v>0.13904710383678176</v>
      </c>
      <c r="D37" s="254">
        <f>B37*C37</f>
        <v>0.13851871222101605</v>
      </c>
      <c r="E37" s="232"/>
    </row>
    <row r="38" spans="1:8" x14ac:dyDescent="0.2">
      <c r="A38" s="232" t="s">
        <v>3969</v>
      </c>
      <c r="B38" s="256">
        <f>F28</f>
        <v>0.85324046284583377</v>
      </c>
      <c r="C38" s="255">
        <f>Land_Weight</f>
        <v>4.4820020140147153E-3</v>
      </c>
      <c r="D38" s="254">
        <f>B38*C38</f>
        <v>3.8242254729138748E-3</v>
      </c>
      <c r="E38" s="232"/>
    </row>
    <row r="39" spans="1:8" ht="13.5" thickBot="1" x14ac:dyDescent="0.25">
      <c r="A39" s="252" t="s">
        <v>632</v>
      </c>
      <c r="B39" s="253">
        <v>1</v>
      </c>
      <c r="C39" s="321">
        <f>Other_Weight</f>
        <v>0.28068762401790043</v>
      </c>
      <c r="D39" s="253">
        <f>B39*C39</f>
        <v>0.28068762401790043</v>
      </c>
      <c r="E39" s="252"/>
    </row>
    <row r="40" spans="1:8" ht="16.5" thickBot="1" x14ac:dyDescent="0.3">
      <c r="A40" s="251" t="s">
        <v>3933</v>
      </c>
      <c r="B40" s="250"/>
      <c r="C40" s="249">
        <f>SUM(C35:C39)</f>
        <v>1</v>
      </c>
      <c r="D40" s="248">
        <f>SUMPRODUCT(B35:B39,C35:C39)</f>
        <v>0.93859078688744146</v>
      </c>
      <c r="E40" s="247">
        <f ca="1">D40/B42</f>
        <v>1.0132418800827625</v>
      </c>
    </row>
    <row r="42" spans="1:8" x14ac:dyDescent="0.2">
      <c r="A42" s="246" t="s">
        <v>3932</v>
      </c>
      <c r="B42" s="245">
        <f ca="1">Lowest_Underlying_MFF</f>
        <v>0.92632450882387185</v>
      </c>
    </row>
    <row r="43" spans="1:8" x14ac:dyDescent="0.2">
      <c r="A43" s="229"/>
    </row>
    <row r="44" spans="1:8" x14ac:dyDescent="0.2">
      <c r="A44" s="229" t="s">
        <v>3931</v>
      </c>
    </row>
    <row r="45" spans="1:8" ht="51" x14ac:dyDescent="0.2">
      <c r="A45" s="244" t="s">
        <v>3886</v>
      </c>
      <c r="B45" s="244" t="s">
        <v>3573</v>
      </c>
      <c r="C45" s="244" t="s">
        <v>3930</v>
      </c>
      <c r="D45" s="244" t="s">
        <v>3968</v>
      </c>
      <c r="E45" s="244" t="s">
        <v>3928</v>
      </c>
      <c r="F45" s="244" t="s">
        <v>3927</v>
      </c>
      <c r="H45" s="243"/>
    </row>
    <row r="46" spans="1:8" x14ac:dyDescent="0.2">
      <c r="A46" s="331" t="str">
        <f>+$A$5</f>
        <v>SOUTH DEVON HEALTHCARE NHS FOUNDATION TRUST</v>
      </c>
      <c r="B46" s="330" t="str">
        <f>+$B$5</f>
        <v>RA9</v>
      </c>
      <c r="C46" s="239">
        <f ca="1">($C$35*C5+$C$36*C12+$C$37*C19+$C$38*I26+$C$39*$B$39)/$B$42</f>
        <v>1.0135683373765978</v>
      </c>
      <c r="D46" s="238">
        <f ca="1">+VLOOKUP(B46,MFF_2014_15,4,FALSE)-ROUND(C46,6)</f>
        <v>0</v>
      </c>
      <c r="E46" s="242">
        <f ca="1">INDEX('All Trusts'!$E$6:$E$261,MATCH($B46,'All Trusts'!$B$6:$B$261,0),1)-C46</f>
        <v>0</v>
      </c>
      <c r="F46" s="319"/>
    </row>
    <row r="47" spans="1:8" x14ac:dyDescent="0.2">
      <c r="A47" s="331" t="str">
        <f>+$A$6</f>
        <v>TORBAY AND SOUTHERN DEVON HEALTH AND CARE NHS TRUST</v>
      </c>
      <c r="B47" s="330" t="str">
        <f>+$B$6</f>
        <v>R1G</v>
      </c>
      <c r="C47" s="239">
        <f ca="1">($C$35*C6+$C$36*C13+$C$37*C20+$C$38*I27+$C$39*$B$39)/$B$42</f>
        <v>1.0113857452890855</v>
      </c>
      <c r="D47" s="238">
        <f ca="1">+VLOOKUP(B47,MFF_2014_15,4,FALSE)-ROUND(C47,6)</f>
        <v>0</v>
      </c>
      <c r="E47" s="242">
        <f ca="1">INDEX('All Trusts'!$E$6:$E$261,MATCH($B47,'All Trusts'!$B$6:$B$261,0),1)-C47</f>
        <v>0</v>
      </c>
      <c r="F47" s="319"/>
    </row>
    <row r="48" spans="1:8" x14ac:dyDescent="0.2">
      <c r="A48" s="235" t="s">
        <v>3926</v>
      </c>
      <c r="B48" s="234"/>
      <c r="C48" s="233"/>
      <c r="D48" s="233"/>
      <c r="E48" s="232"/>
      <c r="F48" s="231">
        <f ca="1">ROUND(E40,6)</f>
        <v>1.013242</v>
      </c>
    </row>
    <row r="51" spans="1:8" x14ac:dyDescent="0.2">
      <c r="A51" s="229" t="s">
        <v>3925</v>
      </c>
    </row>
    <row r="52" spans="1:8" x14ac:dyDescent="0.2">
      <c r="A52" s="228" t="s">
        <v>3924</v>
      </c>
    </row>
    <row r="53" spans="1:8" x14ac:dyDescent="0.2">
      <c r="A53" s="227" t="s">
        <v>3921</v>
      </c>
    </row>
    <row r="54" spans="1:8" ht="13.5" thickBot="1" x14ac:dyDescent="0.25">
      <c r="C54" s="368">
        <v>1</v>
      </c>
      <c r="D54" s="368">
        <f>C54+1</f>
        <v>2</v>
      </c>
      <c r="E54" s="368">
        <f t="shared" ref="E54:H54" si="0">D54+1</f>
        <v>3</v>
      </c>
      <c r="F54" s="368">
        <f t="shared" si="0"/>
        <v>4</v>
      </c>
      <c r="G54" s="368">
        <f t="shared" si="0"/>
        <v>5</v>
      </c>
      <c r="H54" s="368">
        <f t="shared" si="0"/>
        <v>6</v>
      </c>
    </row>
    <row r="55" spans="1:8" ht="26.25" thickBot="1" x14ac:dyDescent="0.25">
      <c r="A55" s="85" t="s">
        <v>3573</v>
      </c>
      <c r="B55" s="85" t="s">
        <v>2755</v>
      </c>
      <c r="C55" s="85" t="s">
        <v>2756</v>
      </c>
      <c r="D55" s="85" t="s">
        <v>2757</v>
      </c>
      <c r="E55" s="85" t="s">
        <v>2758</v>
      </c>
      <c r="F55" s="85" t="s">
        <v>2759</v>
      </c>
      <c r="G55" s="85" t="s">
        <v>2760</v>
      </c>
      <c r="H55" s="85" t="s">
        <v>3945</v>
      </c>
    </row>
    <row r="56" spans="1:8" ht="13.5" thickBot="1" x14ac:dyDescent="0.25">
      <c r="A56" s="21" t="s">
        <v>2790</v>
      </c>
      <c r="B56" s="21" t="s">
        <v>1776</v>
      </c>
      <c r="C56" s="21" t="s">
        <v>1777</v>
      </c>
      <c r="D56" s="21" t="str">
        <f>VLOOKUP($C56,'Buildings data'!$D:$I,D$54,FALSE)</f>
        <v>TORBAY DISTRICT GENERAL HOSPITAL</v>
      </c>
      <c r="E56" s="21" t="str">
        <f>VLOOKUP($C56,'Buildings data'!$D:$I,E$54,FALSE)</f>
        <v>TQ2 7AA</v>
      </c>
      <c r="F56" s="21" t="str">
        <f>VLOOKUP($C56,'Buildings data'!$D:$I,F$54,FALSE)</f>
        <v>TQ27</v>
      </c>
      <c r="G56" s="21" t="str">
        <f>VLOOKUP($C56,'Buildings data'!$D:$I,G$54,FALSE)</f>
        <v>TAL</v>
      </c>
      <c r="H56" s="343">
        <f>VLOOKUP($C56,'Buildings data'!$D:$I,H$54,FALSE)</f>
        <v>455</v>
      </c>
    </row>
    <row r="57" spans="1:8" ht="13.5" thickBot="1" x14ac:dyDescent="0.25">
      <c r="A57" s="67" t="s">
        <v>3561</v>
      </c>
      <c r="B57" s="67" t="s">
        <v>3846</v>
      </c>
      <c r="C57" s="67" t="s">
        <v>3847</v>
      </c>
      <c r="D57" s="67" t="str">
        <f>VLOOKUP($C57,'Buildings data'!$D:$I,D$54,FALSE)</f>
        <v>BRIXHAM HOSPITAL</v>
      </c>
      <c r="E57" s="67" t="str">
        <f>VLOOKUP($C57,'Buildings data'!$D:$I,E$54,FALSE)</f>
        <v>TQ5 9HW</v>
      </c>
      <c r="F57" s="67" t="str">
        <f>VLOOKUP($C57,'Buildings data'!$D:$I,F$54,FALSE)</f>
        <v>TQ59</v>
      </c>
      <c r="G57" s="67" t="str">
        <f>VLOOKUP($C57,'Buildings data'!$D:$I,G$54,FALSE)</f>
        <v>TAL</v>
      </c>
      <c r="H57" s="337">
        <f>VLOOKUP($C57,'Buildings data'!$D:$I,H$54,FALSE)</f>
        <v>20</v>
      </c>
    </row>
    <row r="58" spans="1:8" ht="13.5" thickBot="1" x14ac:dyDescent="0.25">
      <c r="A58" s="67" t="s">
        <v>3561</v>
      </c>
      <c r="B58" s="67" t="s">
        <v>3846</v>
      </c>
      <c r="C58" s="67" t="s">
        <v>3849</v>
      </c>
      <c r="D58" s="67" t="str">
        <f>VLOOKUP($C58,'Buildings data'!$D:$I,D$54,FALSE)</f>
        <v>PAIGNTON HOSPITAL</v>
      </c>
      <c r="E58" s="67" t="str">
        <f>VLOOKUP($C58,'Buildings data'!$D:$I,E$54,FALSE)</f>
        <v>TQ3 3AG</v>
      </c>
      <c r="F58" s="67" t="str">
        <f>VLOOKUP($C58,'Buildings data'!$D:$I,F$54,FALSE)</f>
        <v>TQ33</v>
      </c>
      <c r="G58" s="67" t="str">
        <f>VLOOKUP($C58,'Buildings data'!$D:$I,G$54,FALSE)</f>
        <v>TAL</v>
      </c>
      <c r="H58" s="337">
        <f>VLOOKUP($C58,'Buildings data'!$D:$I,H$54,FALSE)</f>
        <v>34</v>
      </c>
    </row>
    <row r="60" spans="1:8" x14ac:dyDescent="0.2">
      <c r="A60" s="228" t="s">
        <v>3920</v>
      </c>
    </row>
    <row r="61" spans="1:8" x14ac:dyDescent="0.2">
      <c r="A61" s="227" t="s">
        <v>3919</v>
      </c>
    </row>
    <row r="62" spans="1:8" x14ac:dyDescent="0.2">
      <c r="A62" s="227" t="s">
        <v>3980</v>
      </c>
    </row>
  </sheetData>
  <conditionalFormatting sqref="C46:C47">
    <cfRule type="cellIs" dxfId="1" priority="1" operator="lessThan">
      <formula>$F$48</formula>
    </cfRule>
    <cfRule type="cellIs" dxfId="0" priority="2" operator="greaterThan">
      <formula>$F$48</formula>
    </cfRule>
  </conditionalFormatting>
  <pageMargins left="0.7" right="0.7" top="0.75" bottom="0.75" header="0.3" footer="0.3"/>
  <pageSetup paperSize="2058" orientation="portrait" horizontalDpi="300" verticalDpi="300"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1:G248"/>
  <sheetViews>
    <sheetView workbookViewId="0">
      <selection sqref="A1:B1"/>
    </sheetView>
  </sheetViews>
  <sheetFormatPr defaultRowHeight="12.75" x14ac:dyDescent="0.2"/>
  <cols>
    <col min="1" max="1" width="9.28515625" customWidth="1"/>
    <col min="2" max="2" width="67.28515625" bestFit="1" customWidth="1"/>
    <col min="3" max="3" width="11.5703125" customWidth="1"/>
    <col min="4" max="4" width="9.7109375" customWidth="1"/>
  </cols>
  <sheetData>
    <row r="1" spans="1:7" x14ac:dyDescent="0.2">
      <c r="A1" s="645" t="s">
        <v>4175</v>
      </c>
      <c r="B1" s="645"/>
      <c r="C1" s="379"/>
      <c r="D1" s="205"/>
    </row>
    <row r="2" spans="1:7" ht="13.5" thickBot="1" x14ac:dyDescent="0.25">
      <c r="A2" s="387" t="s">
        <v>3885</v>
      </c>
      <c r="B2" s="388" t="s">
        <v>4176</v>
      </c>
      <c r="C2" s="379"/>
      <c r="D2" s="205"/>
    </row>
    <row r="3" spans="1:7" ht="34.5" thickBot="1" x14ac:dyDescent="0.25">
      <c r="A3" s="222" t="s">
        <v>3368</v>
      </c>
      <c r="B3" s="221" t="s">
        <v>3369</v>
      </c>
      <c r="C3" s="221" t="s">
        <v>3370</v>
      </c>
      <c r="D3" s="220" t="s">
        <v>4161</v>
      </c>
      <c r="G3" s="535"/>
    </row>
    <row r="4" spans="1:7" x14ac:dyDescent="0.2">
      <c r="A4" s="219" t="s">
        <v>3372</v>
      </c>
      <c r="B4" s="218" t="s">
        <v>3373</v>
      </c>
      <c r="C4" s="218" t="s">
        <v>3886</v>
      </c>
      <c r="D4" s="383">
        <v>1.060697</v>
      </c>
      <c r="F4" s="386"/>
      <c r="G4" s="380"/>
    </row>
    <row r="5" spans="1:7" x14ac:dyDescent="0.2">
      <c r="A5" s="211" t="s">
        <v>3376</v>
      </c>
      <c r="B5" s="210" t="s">
        <v>1311</v>
      </c>
      <c r="C5" s="210" t="s">
        <v>3886</v>
      </c>
      <c r="D5" s="384">
        <v>1.0455950000000001</v>
      </c>
      <c r="F5" s="386"/>
    </row>
    <row r="6" spans="1:7" x14ac:dyDescent="0.2">
      <c r="A6" s="211" t="s">
        <v>3378</v>
      </c>
      <c r="B6" s="210" t="s">
        <v>3905</v>
      </c>
      <c r="C6" s="210" t="s">
        <v>3886</v>
      </c>
      <c r="D6" s="384">
        <v>1.0387199999999999</v>
      </c>
    </row>
    <row r="7" spans="1:7" x14ac:dyDescent="0.2">
      <c r="A7" s="211" t="s">
        <v>3380</v>
      </c>
      <c r="B7" s="210" t="s">
        <v>1290</v>
      </c>
      <c r="C7" s="210" t="s">
        <v>3886</v>
      </c>
      <c r="D7" s="384">
        <v>1.0304629999999999</v>
      </c>
    </row>
    <row r="8" spans="1:7" x14ac:dyDescent="0.2">
      <c r="A8" s="211" t="s">
        <v>3382</v>
      </c>
      <c r="B8" s="210" t="s">
        <v>3383</v>
      </c>
      <c r="C8" s="210" t="s">
        <v>3886</v>
      </c>
      <c r="D8" s="384">
        <v>1.039863</v>
      </c>
    </row>
    <row r="9" spans="1:7" x14ac:dyDescent="0.2">
      <c r="A9" s="211" t="s">
        <v>3384</v>
      </c>
      <c r="B9" s="210" t="s">
        <v>4162</v>
      </c>
      <c r="C9" s="210" t="s">
        <v>3886</v>
      </c>
      <c r="D9" s="384">
        <v>1.169997</v>
      </c>
    </row>
    <row r="10" spans="1:7" x14ac:dyDescent="0.2">
      <c r="A10" s="211" t="s">
        <v>3386</v>
      </c>
      <c r="B10" s="210" t="s">
        <v>3387</v>
      </c>
      <c r="C10" s="210" t="s">
        <v>3886</v>
      </c>
      <c r="D10" s="384">
        <v>1.074719</v>
      </c>
    </row>
    <row r="11" spans="1:7" x14ac:dyDescent="0.2">
      <c r="A11" s="211" t="s">
        <v>3388</v>
      </c>
      <c r="B11" s="210" t="s">
        <v>3389</v>
      </c>
      <c r="C11" s="210" t="s">
        <v>3886</v>
      </c>
      <c r="D11" s="384">
        <v>1.1743949999999999</v>
      </c>
    </row>
    <row r="12" spans="1:7" x14ac:dyDescent="0.2">
      <c r="A12" s="211" t="s">
        <v>3224</v>
      </c>
      <c r="B12" s="210" t="s">
        <v>2262</v>
      </c>
      <c r="C12" s="210" t="s">
        <v>3886</v>
      </c>
      <c r="D12" s="384">
        <v>1.1972829999999999</v>
      </c>
    </row>
    <row r="13" spans="1:7" x14ac:dyDescent="0.2">
      <c r="A13" s="211" t="s">
        <v>2263</v>
      </c>
      <c r="B13" s="210" t="s">
        <v>2264</v>
      </c>
      <c r="C13" s="210" t="s">
        <v>3886</v>
      </c>
      <c r="D13" s="384">
        <v>1.2003189999999999</v>
      </c>
    </row>
    <row r="14" spans="1:7" x14ac:dyDescent="0.2">
      <c r="A14" s="211" t="s">
        <v>2265</v>
      </c>
      <c r="B14" s="210" t="s">
        <v>2266</v>
      </c>
      <c r="C14" s="210" t="s">
        <v>3886</v>
      </c>
      <c r="D14" s="384">
        <v>1.0323279999999999</v>
      </c>
    </row>
    <row r="15" spans="1:7" x14ac:dyDescent="0.2">
      <c r="A15" s="211" t="s">
        <v>3518</v>
      </c>
      <c r="B15" s="210" t="s">
        <v>3519</v>
      </c>
      <c r="C15" s="210" t="s">
        <v>3886</v>
      </c>
      <c r="D15" s="384">
        <v>1.2128019999999999</v>
      </c>
    </row>
    <row r="16" spans="1:7" x14ac:dyDescent="0.2">
      <c r="A16" s="211" t="s">
        <v>2269</v>
      </c>
      <c r="B16" s="210" t="s">
        <v>2270</v>
      </c>
      <c r="C16" s="210" t="s">
        <v>3886</v>
      </c>
      <c r="D16" s="384">
        <v>1.1228449999999999</v>
      </c>
    </row>
    <row r="17" spans="1:4" x14ac:dyDescent="0.2">
      <c r="A17" s="211" t="s">
        <v>2271</v>
      </c>
      <c r="B17" s="210" t="s">
        <v>2272</v>
      </c>
      <c r="C17" s="210" t="s">
        <v>3886</v>
      </c>
      <c r="D17" s="384">
        <v>1.0886909999999999</v>
      </c>
    </row>
    <row r="18" spans="1:4" x14ac:dyDescent="0.2">
      <c r="A18" s="211" t="s">
        <v>2275</v>
      </c>
      <c r="B18" s="210" t="s">
        <v>2276</v>
      </c>
      <c r="C18" s="210" t="s">
        <v>3886</v>
      </c>
      <c r="D18" s="384">
        <v>1.1504029999999998</v>
      </c>
    </row>
    <row r="19" spans="1:4" x14ac:dyDescent="0.2">
      <c r="A19" s="211" t="s">
        <v>2277</v>
      </c>
      <c r="B19" s="210" t="s">
        <v>2278</v>
      </c>
      <c r="C19" s="210" t="s">
        <v>3886</v>
      </c>
      <c r="D19" s="384">
        <v>1.0453329999999998</v>
      </c>
    </row>
    <row r="20" spans="1:4" x14ac:dyDescent="0.2">
      <c r="A20" s="211" t="s">
        <v>2279</v>
      </c>
      <c r="B20" s="210" t="s">
        <v>2280</v>
      </c>
      <c r="C20" s="210" t="s">
        <v>3886</v>
      </c>
      <c r="D20" s="384">
        <v>1.0516349999999999</v>
      </c>
    </row>
    <row r="21" spans="1:4" x14ac:dyDescent="0.2">
      <c r="A21" s="211" t="s">
        <v>2281</v>
      </c>
      <c r="B21" s="210" t="s">
        <v>2282</v>
      </c>
      <c r="C21" s="210" t="s">
        <v>3886</v>
      </c>
      <c r="D21" s="384">
        <v>1.0566899999999999</v>
      </c>
    </row>
    <row r="22" spans="1:4" x14ac:dyDescent="0.2">
      <c r="A22" s="211" t="s">
        <v>2283</v>
      </c>
      <c r="B22" s="210" t="s">
        <v>2284</v>
      </c>
      <c r="C22" s="210" t="s">
        <v>3886</v>
      </c>
      <c r="D22" s="384">
        <v>1.0439099999999999</v>
      </c>
    </row>
    <row r="23" spans="1:4" x14ac:dyDescent="0.2">
      <c r="A23" s="211" t="s">
        <v>2770</v>
      </c>
      <c r="B23" s="210" t="s">
        <v>2394</v>
      </c>
      <c r="C23" s="210" t="s">
        <v>3886</v>
      </c>
      <c r="D23" s="384">
        <v>1.0391919999999999</v>
      </c>
    </row>
    <row r="24" spans="1:4" x14ac:dyDescent="0.2">
      <c r="A24" s="211" t="s">
        <v>2285</v>
      </c>
      <c r="B24" s="210" t="s">
        <v>1313</v>
      </c>
      <c r="C24" s="210" t="s">
        <v>3886</v>
      </c>
      <c r="D24" s="384">
        <v>1.0265070000000001</v>
      </c>
    </row>
    <row r="25" spans="1:4" x14ac:dyDescent="0.2">
      <c r="A25" s="211" t="s">
        <v>3712</v>
      </c>
      <c r="B25" s="210" t="s">
        <v>1303</v>
      </c>
      <c r="C25" s="210" t="s">
        <v>3886</v>
      </c>
      <c r="D25" s="384">
        <v>1.048017</v>
      </c>
    </row>
    <row r="26" spans="1:4" x14ac:dyDescent="0.2">
      <c r="A26" s="211" t="s">
        <v>2287</v>
      </c>
      <c r="B26" s="210" t="s">
        <v>2288</v>
      </c>
      <c r="C26" s="210" t="s">
        <v>3886</v>
      </c>
      <c r="D26" s="384">
        <v>1.033892</v>
      </c>
    </row>
    <row r="27" spans="1:4" x14ac:dyDescent="0.2">
      <c r="A27" s="211" t="s">
        <v>2289</v>
      </c>
      <c r="B27" s="210" t="s">
        <v>2290</v>
      </c>
      <c r="C27" s="210" t="s">
        <v>3886</v>
      </c>
      <c r="D27" s="384">
        <v>1.0336920000000001</v>
      </c>
    </row>
    <row r="28" spans="1:4" x14ac:dyDescent="0.2">
      <c r="A28" s="211" t="s">
        <v>2291</v>
      </c>
      <c r="B28" s="210" t="s">
        <v>654</v>
      </c>
      <c r="C28" s="210" t="s">
        <v>3886</v>
      </c>
      <c r="D28" s="384">
        <v>1.0410709999999999</v>
      </c>
    </row>
    <row r="29" spans="1:4" x14ac:dyDescent="0.2">
      <c r="A29" s="211" t="s">
        <v>2292</v>
      </c>
      <c r="B29" s="210" t="s">
        <v>2293</v>
      </c>
      <c r="C29" s="210" t="s">
        <v>3886</v>
      </c>
      <c r="D29" s="384">
        <v>1.0743909999999999</v>
      </c>
    </row>
    <row r="30" spans="1:4" x14ac:dyDescent="0.2">
      <c r="A30" s="211" t="s">
        <v>2294</v>
      </c>
      <c r="B30" s="210" t="s">
        <v>1315</v>
      </c>
      <c r="C30" s="210" t="s">
        <v>3886</v>
      </c>
      <c r="D30" s="384">
        <v>1.144177</v>
      </c>
    </row>
    <row r="31" spans="1:4" x14ac:dyDescent="0.2">
      <c r="A31" s="211" t="s">
        <v>2296</v>
      </c>
      <c r="B31" s="210" t="s">
        <v>2297</v>
      </c>
      <c r="C31" s="210" t="s">
        <v>3886</v>
      </c>
      <c r="D31" s="384">
        <v>1.0396589999999999</v>
      </c>
    </row>
    <row r="32" spans="1:4" x14ac:dyDescent="0.2">
      <c r="A32" s="211" t="s">
        <v>2298</v>
      </c>
      <c r="B32" s="210" t="s">
        <v>2299</v>
      </c>
      <c r="C32" s="210" t="s">
        <v>3886</v>
      </c>
      <c r="D32" s="384">
        <v>1.038861</v>
      </c>
    </row>
    <row r="33" spans="1:4" x14ac:dyDescent="0.2">
      <c r="A33" s="211" t="s">
        <v>2300</v>
      </c>
      <c r="B33" s="210" t="s">
        <v>2301</v>
      </c>
      <c r="C33" s="210" t="s">
        <v>3886</v>
      </c>
      <c r="D33" s="384">
        <v>1.028613</v>
      </c>
    </row>
    <row r="34" spans="1:4" x14ac:dyDescent="0.2">
      <c r="A34" s="211" t="s">
        <v>2302</v>
      </c>
      <c r="B34" s="210" t="s">
        <v>2303</v>
      </c>
      <c r="C34" s="210" t="s">
        <v>3886</v>
      </c>
      <c r="D34" s="384">
        <v>1.088546</v>
      </c>
    </row>
    <row r="35" spans="1:4" x14ac:dyDescent="0.2">
      <c r="A35" s="211" t="s">
        <v>2304</v>
      </c>
      <c r="B35" s="210" t="s">
        <v>2305</v>
      </c>
      <c r="C35" s="210" t="s">
        <v>3886</v>
      </c>
      <c r="D35" s="384">
        <v>1.077334</v>
      </c>
    </row>
    <row r="36" spans="1:4" x14ac:dyDescent="0.2">
      <c r="A36" s="211" t="s">
        <v>2306</v>
      </c>
      <c r="B36" s="210" t="s">
        <v>2307</v>
      </c>
      <c r="C36" s="210" t="s">
        <v>3886</v>
      </c>
      <c r="D36" s="384">
        <v>1.0927449999999999</v>
      </c>
    </row>
    <row r="37" spans="1:4" x14ac:dyDescent="0.2">
      <c r="A37" s="211" t="s">
        <v>2308</v>
      </c>
      <c r="B37" s="210" t="s">
        <v>2053</v>
      </c>
      <c r="C37" s="210" t="s">
        <v>3886</v>
      </c>
      <c r="D37" s="384">
        <v>1.2232269999999998</v>
      </c>
    </row>
    <row r="38" spans="1:4" x14ac:dyDescent="0.2">
      <c r="A38" s="211" t="s">
        <v>2310</v>
      </c>
      <c r="B38" s="210" t="s">
        <v>2311</v>
      </c>
      <c r="C38" s="210" t="s">
        <v>3886</v>
      </c>
      <c r="D38" s="384">
        <v>1.214072</v>
      </c>
    </row>
    <row r="39" spans="1:4" x14ac:dyDescent="0.2">
      <c r="A39" s="211" t="s">
        <v>2312</v>
      </c>
      <c r="B39" s="210" t="s">
        <v>2313</v>
      </c>
      <c r="C39" s="210" t="s">
        <v>3886</v>
      </c>
      <c r="D39" s="384">
        <v>1.231257</v>
      </c>
    </row>
    <row r="40" spans="1:4" x14ac:dyDescent="0.2">
      <c r="A40" s="211" t="s">
        <v>2314</v>
      </c>
      <c r="B40" s="210" t="s">
        <v>2315</v>
      </c>
      <c r="C40" s="210" t="s">
        <v>3886</v>
      </c>
      <c r="D40" s="384">
        <v>1.0568010000000001</v>
      </c>
    </row>
    <row r="41" spans="1:4" x14ac:dyDescent="0.2">
      <c r="A41" s="211" t="s">
        <v>2316</v>
      </c>
      <c r="B41" s="210" t="s">
        <v>2317</v>
      </c>
      <c r="C41" s="210" t="s">
        <v>3886</v>
      </c>
      <c r="D41" s="384">
        <v>1.293914</v>
      </c>
    </row>
    <row r="42" spans="1:4" x14ac:dyDescent="0.2">
      <c r="A42" s="211" t="s">
        <v>2318</v>
      </c>
      <c r="B42" s="210" t="s">
        <v>2319</v>
      </c>
      <c r="C42" s="210" t="s">
        <v>3886</v>
      </c>
      <c r="D42" s="384">
        <v>1.042513</v>
      </c>
    </row>
    <row r="43" spans="1:4" x14ac:dyDescent="0.2">
      <c r="A43" s="211" t="s">
        <v>2320</v>
      </c>
      <c r="B43" s="210" t="s">
        <v>2321</v>
      </c>
      <c r="C43" s="210" t="s">
        <v>3886</v>
      </c>
      <c r="D43" s="384">
        <v>1.0288889999999999</v>
      </c>
    </row>
    <row r="44" spans="1:4" x14ac:dyDescent="0.2">
      <c r="A44" s="211" t="s">
        <v>2322</v>
      </c>
      <c r="B44" s="210" t="s">
        <v>2323</v>
      </c>
      <c r="C44" s="210" t="s">
        <v>3886</v>
      </c>
      <c r="D44" s="384">
        <v>1.02633</v>
      </c>
    </row>
    <row r="45" spans="1:4" x14ac:dyDescent="0.2">
      <c r="A45" s="211" t="s">
        <v>2326</v>
      </c>
      <c r="B45" s="210" t="s">
        <v>0</v>
      </c>
      <c r="C45" s="210" t="s">
        <v>3886</v>
      </c>
      <c r="D45" s="384">
        <v>1.0547070000000001</v>
      </c>
    </row>
    <row r="46" spans="1:4" x14ac:dyDescent="0.2">
      <c r="A46" s="211" t="s">
        <v>1</v>
      </c>
      <c r="B46" s="210" t="s">
        <v>1300</v>
      </c>
      <c r="C46" s="210" t="s">
        <v>3886</v>
      </c>
      <c r="D46" s="384">
        <v>1</v>
      </c>
    </row>
    <row r="47" spans="1:4" x14ac:dyDescent="0.2">
      <c r="A47" s="211" t="s">
        <v>3</v>
      </c>
      <c r="B47" s="210" t="s">
        <v>4</v>
      </c>
      <c r="C47" s="210" t="s">
        <v>3886</v>
      </c>
      <c r="D47" s="384">
        <v>1.0409409999999999</v>
      </c>
    </row>
    <row r="48" spans="1:4" x14ac:dyDescent="0.2">
      <c r="A48" s="211" t="s">
        <v>5</v>
      </c>
      <c r="B48" s="210" t="s">
        <v>6</v>
      </c>
      <c r="C48" s="210" t="s">
        <v>3886</v>
      </c>
      <c r="D48" s="384">
        <v>1.027841</v>
      </c>
    </row>
    <row r="49" spans="1:4" x14ac:dyDescent="0.2">
      <c r="A49" s="211" t="s">
        <v>7</v>
      </c>
      <c r="B49" s="210" t="s">
        <v>8</v>
      </c>
      <c r="C49" s="210" t="s">
        <v>3886</v>
      </c>
      <c r="D49" s="384">
        <v>1.054529</v>
      </c>
    </row>
    <row r="50" spans="1:4" x14ac:dyDescent="0.2">
      <c r="A50" s="211" t="s">
        <v>385</v>
      </c>
      <c r="B50" s="210" t="s">
        <v>1299</v>
      </c>
      <c r="C50" s="210" t="s">
        <v>3886</v>
      </c>
      <c r="D50" s="384">
        <v>1.2044729999999999</v>
      </c>
    </row>
    <row r="51" spans="1:4" x14ac:dyDescent="0.2">
      <c r="A51" s="211" t="s">
        <v>9</v>
      </c>
      <c r="B51" s="210" t="s">
        <v>10</v>
      </c>
      <c r="C51" s="210" t="s">
        <v>3886</v>
      </c>
      <c r="D51" s="384">
        <v>1.0265819999999999</v>
      </c>
    </row>
    <row r="52" spans="1:4" x14ac:dyDescent="0.2">
      <c r="A52" s="211" t="s">
        <v>11</v>
      </c>
      <c r="B52" s="210" t="s">
        <v>2328</v>
      </c>
      <c r="C52" s="210" t="s">
        <v>3886</v>
      </c>
      <c r="D52" s="384">
        <v>1.157727</v>
      </c>
    </row>
    <row r="53" spans="1:4" x14ac:dyDescent="0.2">
      <c r="A53" s="211" t="s">
        <v>2329</v>
      </c>
      <c r="B53" s="210" t="s">
        <v>2330</v>
      </c>
      <c r="C53" s="210" t="s">
        <v>3886</v>
      </c>
      <c r="D53" s="384">
        <v>1.0400099999999999</v>
      </c>
    </row>
    <row r="54" spans="1:4" x14ac:dyDescent="0.2">
      <c r="A54" s="211" t="s">
        <v>2331</v>
      </c>
      <c r="B54" s="210" t="s">
        <v>2332</v>
      </c>
      <c r="C54" s="210" t="s">
        <v>3886</v>
      </c>
      <c r="D54" s="384">
        <v>1.0320549999999999</v>
      </c>
    </row>
    <row r="55" spans="1:4" x14ac:dyDescent="0.2">
      <c r="A55" s="211" t="s">
        <v>2333</v>
      </c>
      <c r="B55" s="210" t="s">
        <v>1314</v>
      </c>
      <c r="C55" s="210" t="s">
        <v>3886</v>
      </c>
      <c r="D55" s="384">
        <v>1.033263</v>
      </c>
    </row>
    <row r="56" spans="1:4" x14ac:dyDescent="0.2">
      <c r="A56" s="211" t="s">
        <v>2335</v>
      </c>
      <c r="B56" s="210" t="s">
        <v>2336</v>
      </c>
      <c r="C56" s="210" t="s">
        <v>3886</v>
      </c>
      <c r="D56" s="384">
        <v>1.0165359999999999</v>
      </c>
    </row>
    <row r="57" spans="1:4" x14ac:dyDescent="0.2">
      <c r="A57" s="211" t="s">
        <v>2337</v>
      </c>
      <c r="B57" s="210" t="s">
        <v>2338</v>
      </c>
      <c r="C57" s="210" t="s">
        <v>3886</v>
      </c>
      <c r="D57" s="384">
        <v>1.0358799999999999</v>
      </c>
    </row>
    <row r="58" spans="1:4" x14ac:dyDescent="0.2">
      <c r="A58" s="211" t="s">
        <v>2339</v>
      </c>
      <c r="B58" s="210" t="s">
        <v>2340</v>
      </c>
      <c r="C58" s="210" t="s">
        <v>3886</v>
      </c>
      <c r="D58" s="384">
        <v>1.0473679999999999</v>
      </c>
    </row>
    <row r="59" spans="1:4" x14ac:dyDescent="0.2">
      <c r="A59" s="211" t="s">
        <v>2341</v>
      </c>
      <c r="B59" s="210" t="s">
        <v>1292</v>
      </c>
      <c r="C59" s="210" t="s">
        <v>3886</v>
      </c>
      <c r="D59" s="384">
        <v>1.0655679999999998</v>
      </c>
    </row>
    <row r="60" spans="1:4" x14ac:dyDescent="0.2">
      <c r="A60" s="211" t="s">
        <v>2343</v>
      </c>
      <c r="B60" s="210" t="s">
        <v>2344</v>
      </c>
      <c r="C60" s="210" t="s">
        <v>3886</v>
      </c>
      <c r="D60" s="384">
        <v>1.0368899999999999</v>
      </c>
    </row>
    <row r="61" spans="1:4" x14ac:dyDescent="0.2">
      <c r="A61" s="211" t="s">
        <v>2345</v>
      </c>
      <c r="B61" s="210" t="s">
        <v>2346</v>
      </c>
      <c r="C61" s="210" t="s">
        <v>3886</v>
      </c>
      <c r="D61" s="384">
        <v>1.199182</v>
      </c>
    </row>
    <row r="62" spans="1:4" x14ac:dyDescent="0.2">
      <c r="A62" s="211" t="s">
        <v>2347</v>
      </c>
      <c r="B62" s="210" t="s">
        <v>2348</v>
      </c>
      <c r="C62" s="210" t="s">
        <v>3886</v>
      </c>
      <c r="D62" s="384">
        <v>1.1404609999999999</v>
      </c>
    </row>
    <row r="63" spans="1:4" x14ac:dyDescent="0.2">
      <c r="A63" s="211" t="s">
        <v>2349</v>
      </c>
      <c r="B63" s="210" t="s">
        <v>2350</v>
      </c>
      <c r="C63" s="210" t="s">
        <v>3886</v>
      </c>
      <c r="D63" s="384">
        <v>1.0493399999999999</v>
      </c>
    </row>
    <row r="64" spans="1:4" x14ac:dyDescent="0.2">
      <c r="A64" s="211" t="s">
        <v>2351</v>
      </c>
      <c r="B64" s="210" t="s">
        <v>2352</v>
      </c>
      <c r="C64" s="210" t="s">
        <v>3886</v>
      </c>
      <c r="D64" s="384">
        <v>1.0455019999999999</v>
      </c>
    </row>
    <row r="65" spans="1:4" x14ac:dyDescent="0.2">
      <c r="A65" s="211" t="s">
        <v>2353</v>
      </c>
      <c r="B65" s="210" t="s">
        <v>2354</v>
      </c>
      <c r="C65" s="210" t="s">
        <v>3886</v>
      </c>
      <c r="D65" s="384">
        <v>1.0324979999999999</v>
      </c>
    </row>
    <row r="66" spans="1:4" x14ac:dyDescent="0.2">
      <c r="A66" s="211" t="s">
        <v>2355</v>
      </c>
      <c r="B66" s="210" t="s">
        <v>2356</v>
      </c>
      <c r="C66" s="210" t="s">
        <v>3886</v>
      </c>
      <c r="D66" s="384">
        <v>1.217778</v>
      </c>
    </row>
    <row r="67" spans="1:4" x14ac:dyDescent="0.2">
      <c r="A67" s="211" t="s">
        <v>2357</v>
      </c>
      <c r="B67" s="210" t="s">
        <v>2358</v>
      </c>
      <c r="C67" s="210" t="s">
        <v>3886</v>
      </c>
      <c r="D67" s="384">
        <v>1.0406759999999999</v>
      </c>
    </row>
    <row r="68" spans="1:4" x14ac:dyDescent="0.2">
      <c r="A68" s="211" t="s">
        <v>2359</v>
      </c>
      <c r="B68" s="210" t="s">
        <v>2360</v>
      </c>
      <c r="C68" s="210" t="s">
        <v>3886</v>
      </c>
      <c r="D68" s="384">
        <v>1.078589</v>
      </c>
    </row>
    <row r="69" spans="1:4" x14ac:dyDescent="0.2">
      <c r="A69" s="211" t="s">
        <v>2361</v>
      </c>
      <c r="B69" s="210" t="s">
        <v>1312</v>
      </c>
      <c r="C69" s="210" t="s">
        <v>3886</v>
      </c>
      <c r="D69" s="384">
        <v>1.044089</v>
      </c>
    </row>
    <row r="70" spans="1:4" x14ac:dyDescent="0.2">
      <c r="A70" s="211" t="s">
        <v>2363</v>
      </c>
      <c r="B70" s="210" t="s">
        <v>2364</v>
      </c>
      <c r="C70" s="210" t="s">
        <v>3886</v>
      </c>
      <c r="D70" s="384">
        <v>1.1921850000000001</v>
      </c>
    </row>
    <row r="71" spans="1:4" x14ac:dyDescent="0.2">
      <c r="A71" s="211" t="s">
        <v>2365</v>
      </c>
      <c r="B71" s="210" t="s">
        <v>2366</v>
      </c>
      <c r="C71" s="210" t="s">
        <v>3886</v>
      </c>
      <c r="D71" s="384">
        <v>1.161694</v>
      </c>
    </row>
    <row r="72" spans="1:4" x14ac:dyDescent="0.2">
      <c r="A72" s="211" t="s">
        <v>2367</v>
      </c>
      <c r="B72" s="210" t="s">
        <v>2368</v>
      </c>
      <c r="C72" s="210" t="s">
        <v>3886</v>
      </c>
      <c r="D72" s="384">
        <v>1.0282179999999999</v>
      </c>
    </row>
    <row r="73" spans="1:4" x14ac:dyDescent="0.2">
      <c r="A73" s="211" t="s">
        <v>2369</v>
      </c>
      <c r="B73" s="210" t="s">
        <v>2370</v>
      </c>
      <c r="C73" s="210" t="s">
        <v>3886</v>
      </c>
      <c r="D73" s="384">
        <v>1.0507359999999999</v>
      </c>
    </row>
    <row r="74" spans="1:4" x14ac:dyDescent="0.2">
      <c r="A74" s="211" t="s">
        <v>659</v>
      </c>
      <c r="B74" s="210" t="s">
        <v>3883</v>
      </c>
      <c r="C74" s="210" t="s">
        <v>3886</v>
      </c>
      <c r="D74" s="384">
        <v>1.0619609999999999</v>
      </c>
    </row>
    <row r="75" spans="1:4" x14ac:dyDescent="0.2">
      <c r="A75" s="211" t="s">
        <v>2371</v>
      </c>
      <c r="B75" s="210" t="s">
        <v>2372</v>
      </c>
      <c r="C75" s="210" t="s">
        <v>3886</v>
      </c>
      <c r="D75" s="384">
        <v>1.057096</v>
      </c>
    </row>
    <row r="76" spans="1:4" x14ac:dyDescent="0.2">
      <c r="A76" s="211" t="s">
        <v>2373</v>
      </c>
      <c r="B76" s="210" t="s">
        <v>1307</v>
      </c>
      <c r="C76" s="210" t="s">
        <v>3886</v>
      </c>
      <c r="D76" s="384">
        <v>1.2858309999999999</v>
      </c>
    </row>
    <row r="77" spans="1:4" x14ac:dyDescent="0.2">
      <c r="A77" s="211" t="s">
        <v>2377</v>
      </c>
      <c r="B77" s="210" t="s">
        <v>2378</v>
      </c>
      <c r="C77" s="210" t="s">
        <v>3886</v>
      </c>
      <c r="D77" s="384">
        <v>1.0951949999999999</v>
      </c>
    </row>
    <row r="78" spans="1:4" x14ac:dyDescent="0.2">
      <c r="A78" s="211" t="s">
        <v>2379</v>
      </c>
      <c r="B78" s="210" t="s">
        <v>2380</v>
      </c>
      <c r="C78" s="210" t="s">
        <v>3886</v>
      </c>
      <c r="D78" s="384">
        <v>1.0502479999999998</v>
      </c>
    </row>
    <row r="79" spans="1:4" x14ac:dyDescent="0.2">
      <c r="A79" s="211" t="s">
        <v>2381</v>
      </c>
      <c r="B79" s="210" t="s">
        <v>2382</v>
      </c>
      <c r="C79" s="210" t="s">
        <v>3886</v>
      </c>
      <c r="D79" s="384">
        <v>1.277029</v>
      </c>
    </row>
    <row r="80" spans="1:4" x14ac:dyDescent="0.2">
      <c r="A80" s="211" t="s">
        <v>2383</v>
      </c>
      <c r="B80" s="210" t="s">
        <v>2384</v>
      </c>
      <c r="C80" s="210" t="s">
        <v>3886</v>
      </c>
      <c r="D80" s="384">
        <v>1.1096059999999999</v>
      </c>
    </row>
    <row r="81" spans="1:4" x14ac:dyDescent="0.2">
      <c r="A81" s="211" t="s">
        <v>2387</v>
      </c>
      <c r="B81" s="210" t="s">
        <v>2388</v>
      </c>
      <c r="C81" s="210" t="s">
        <v>3886</v>
      </c>
      <c r="D81" s="384">
        <v>1.0393399999999999</v>
      </c>
    </row>
    <row r="82" spans="1:4" x14ac:dyDescent="0.2">
      <c r="A82" s="211" t="s">
        <v>2389</v>
      </c>
      <c r="B82" s="210" t="s">
        <v>2390</v>
      </c>
      <c r="C82" s="210" t="s">
        <v>3886</v>
      </c>
      <c r="D82" s="384">
        <v>1.049045</v>
      </c>
    </row>
    <row r="83" spans="1:4" x14ac:dyDescent="0.2">
      <c r="A83" s="211" t="s">
        <v>2391</v>
      </c>
      <c r="B83" s="210" t="s">
        <v>2392</v>
      </c>
      <c r="C83" s="210" t="s">
        <v>3886</v>
      </c>
      <c r="D83" s="384">
        <v>1.1686669999999999</v>
      </c>
    </row>
    <row r="84" spans="1:4" x14ac:dyDescent="0.2">
      <c r="A84" s="211" t="s">
        <v>1318</v>
      </c>
      <c r="B84" s="210" t="s">
        <v>1319</v>
      </c>
      <c r="C84" s="210" t="s">
        <v>3886</v>
      </c>
      <c r="D84" s="384">
        <v>1.1349209999999998</v>
      </c>
    </row>
    <row r="85" spans="1:4" x14ac:dyDescent="0.2">
      <c r="A85" s="211" t="s">
        <v>1320</v>
      </c>
      <c r="B85" s="210" t="s">
        <v>3894</v>
      </c>
      <c r="C85" s="210" t="s">
        <v>3886</v>
      </c>
      <c r="D85" s="384">
        <v>1.1447779999999999</v>
      </c>
    </row>
    <row r="86" spans="1:4" x14ac:dyDescent="0.2">
      <c r="A86" s="211" t="s">
        <v>1322</v>
      </c>
      <c r="B86" s="210" t="s">
        <v>1323</v>
      </c>
      <c r="C86" s="210" t="s">
        <v>3886</v>
      </c>
      <c r="D86" s="384">
        <v>1.0796949999999998</v>
      </c>
    </row>
    <row r="87" spans="1:4" x14ac:dyDescent="0.2">
      <c r="A87" s="211" t="s">
        <v>1324</v>
      </c>
      <c r="B87" s="210" t="s">
        <v>1325</v>
      </c>
      <c r="C87" s="210" t="s">
        <v>3886</v>
      </c>
      <c r="D87" s="384">
        <v>1.205155</v>
      </c>
    </row>
    <row r="88" spans="1:4" x14ac:dyDescent="0.2">
      <c r="A88" s="211" t="s">
        <v>1326</v>
      </c>
      <c r="B88" s="210" t="s">
        <v>1327</v>
      </c>
      <c r="C88" s="210" t="s">
        <v>3886</v>
      </c>
      <c r="D88" s="384">
        <v>1.179365</v>
      </c>
    </row>
    <row r="89" spans="1:4" x14ac:dyDescent="0.2">
      <c r="A89" s="211" t="s">
        <v>1328</v>
      </c>
      <c r="B89" s="210" t="s">
        <v>1329</v>
      </c>
      <c r="C89" s="210" t="s">
        <v>3886</v>
      </c>
      <c r="D89" s="384">
        <v>1.015522</v>
      </c>
    </row>
    <row r="90" spans="1:4" x14ac:dyDescent="0.2">
      <c r="A90" s="211" t="s">
        <v>1330</v>
      </c>
      <c r="B90" s="210" t="s">
        <v>1331</v>
      </c>
      <c r="C90" s="210" t="s">
        <v>3886</v>
      </c>
      <c r="D90" s="384">
        <v>1.018732</v>
      </c>
    </row>
    <row r="91" spans="1:4" x14ac:dyDescent="0.2">
      <c r="A91" s="211" t="s">
        <v>1332</v>
      </c>
      <c r="B91" s="210" t="s">
        <v>1333</v>
      </c>
      <c r="C91" s="210" t="s">
        <v>3886</v>
      </c>
      <c r="D91" s="384">
        <v>1.241725</v>
      </c>
    </row>
    <row r="92" spans="1:4" x14ac:dyDescent="0.2">
      <c r="A92" s="211" t="s">
        <v>1334</v>
      </c>
      <c r="B92" s="210" t="s">
        <v>1335</v>
      </c>
      <c r="C92" s="210" t="s">
        <v>3886</v>
      </c>
      <c r="D92" s="384">
        <v>1.04491</v>
      </c>
    </row>
    <row r="93" spans="1:4" x14ac:dyDescent="0.2">
      <c r="A93" s="211" t="s">
        <v>3374</v>
      </c>
      <c r="B93" s="210" t="s">
        <v>3375</v>
      </c>
      <c r="C93" s="210" t="s">
        <v>3886</v>
      </c>
      <c r="D93" s="384">
        <v>1.0510729999999999</v>
      </c>
    </row>
    <row r="94" spans="1:4" x14ac:dyDescent="0.2">
      <c r="A94" s="211" t="s">
        <v>1336</v>
      </c>
      <c r="B94" s="210" t="s">
        <v>1337</v>
      </c>
      <c r="C94" s="210" t="s">
        <v>3886</v>
      </c>
      <c r="D94" s="384">
        <v>1.018651</v>
      </c>
    </row>
    <row r="95" spans="1:4" x14ac:dyDescent="0.2">
      <c r="A95" s="211" t="s">
        <v>1338</v>
      </c>
      <c r="B95" s="210" t="s">
        <v>1339</v>
      </c>
      <c r="C95" s="210" t="s">
        <v>3886</v>
      </c>
      <c r="D95" s="384">
        <v>1.0973949999999999</v>
      </c>
    </row>
    <row r="96" spans="1:4" x14ac:dyDescent="0.2">
      <c r="A96" s="211" t="s">
        <v>1340</v>
      </c>
      <c r="B96" s="210" t="s">
        <v>4163</v>
      </c>
      <c r="C96" s="210" t="s">
        <v>3886</v>
      </c>
      <c r="D96" s="384">
        <v>1.0733189999999999</v>
      </c>
    </row>
    <row r="97" spans="1:4" x14ac:dyDescent="0.2">
      <c r="A97" s="211" t="s">
        <v>1341</v>
      </c>
      <c r="B97" s="210" t="s">
        <v>352</v>
      </c>
      <c r="C97" s="210" t="s">
        <v>3886</v>
      </c>
      <c r="D97" s="384">
        <v>1.054268</v>
      </c>
    </row>
    <row r="98" spans="1:4" x14ac:dyDescent="0.2">
      <c r="A98" s="211" t="s">
        <v>353</v>
      </c>
      <c r="B98" s="210" t="s">
        <v>354</v>
      </c>
      <c r="C98" s="210" t="s">
        <v>3886</v>
      </c>
      <c r="D98" s="384">
        <v>1.2132259999999999</v>
      </c>
    </row>
    <row r="99" spans="1:4" x14ac:dyDescent="0.2">
      <c r="A99" s="211" t="s">
        <v>355</v>
      </c>
      <c r="B99" s="210" t="s">
        <v>3911</v>
      </c>
      <c r="C99" s="210" t="s">
        <v>3886</v>
      </c>
      <c r="D99" s="384">
        <v>1.207517</v>
      </c>
    </row>
    <row r="100" spans="1:4" x14ac:dyDescent="0.2">
      <c r="A100" s="211" t="s">
        <v>357</v>
      </c>
      <c r="B100" s="210" t="s">
        <v>358</v>
      </c>
      <c r="C100" s="210" t="s">
        <v>3886</v>
      </c>
      <c r="D100" s="384">
        <v>1.0313509999999999</v>
      </c>
    </row>
    <row r="101" spans="1:4" x14ac:dyDescent="0.2">
      <c r="A101" s="211" t="s">
        <v>359</v>
      </c>
      <c r="B101" s="210" t="s">
        <v>360</v>
      </c>
      <c r="C101" s="210" t="s">
        <v>3886</v>
      </c>
      <c r="D101" s="384">
        <v>1.0354109999999999</v>
      </c>
    </row>
    <row r="102" spans="1:4" x14ac:dyDescent="0.2">
      <c r="A102" s="211" t="s">
        <v>361</v>
      </c>
      <c r="B102" s="210" t="s">
        <v>1295</v>
      </c>
      <c r="C102" s="210" t="s">
        <v>3886</v>
      </c>
      <c r="D102" s="384">
        <v>1.0401209999999999</v>
      </c>
    </row>
    <row r="103" spans="1:4" x14ac:dyDescent="0.2">
      <c r="A103" s="211" t="s">
        <v>3513</v>
      </c>
      <c r="B103" s="210" t="s">
        <v>3515</v>
      </c>
      <c r="C103" s="210" t="s">
        <v>3886</v>
      </c>
      <c r="D103" s="384">
        <v>1.0503279999999999</v>
      </c>
    </row>
    <row r="104" spans="1:4" x14ac:dyDescent="0.2">
      <c r="A104" s="211" t="s">
        <v>363</v>
      </c>
      <c r="B104" s="210" t="s">
        <v>364</v>
      </c>
      <c r="C104" s="210" t="s">
        <v>3886</v>
      </c>
      <c r="D104" s="384">
        <v>1.046098</v>
      </c>
    </row>
    <row r="105" spans="1:4" x14ac:dyDescent="0.2">
      <c r="A105" s="211" t="s">
        <v>365</v>
      </c>
      <c r="B105" s="210" t="s">
        <v>366</v>
      </c>
      <c r="C105" s="210" t="s">
        <v>3886</v>
      </c>
      <c r="D105" s="384">
        <v>1.0432489999999999</v>
      </c>
    </row>
    <row r="106" spans="1:4" x14ac:dyDescent="0.2">
      <c r="A106" s="211" t="s">
        <v>600</v>
      </c>
      <c r="B106" s="210" t="s">
        <v>3903</v>
      </c>
      <c r="C106" s="210" t="s">
        <v>3886</v>
      </c>
      <c r="D106" s="384">
        <v>1.2043010000000001</v>
      </c>
    </row>
    <row r="107" spans="1:4" x14ac:dyDescent="0.2">
      <c r="A107" s="211" t="s">
        <v>367</v>
      </c>
      <c r="B107" s="210" t="s">
        <v>368</v>
      </c>
      <c r="C107" s="210" t="s">
        <v>3886</v>
      </c>
      <c r="D107" s="384">
        <v>1.015523</v>
      </c>
    </row>
    <row r="108" spans="1:4" x14ac:dyDescent="0.2">
      <c r="A108" s="211" t="s">
        <v>369</v>
      </c>
      <c r="B108" s="210" t="s">
        <v>370</v>
      </c>
      <c r="C108" s="210" t="s">
        <v>3886</v>
      </c>
      <c r="D108" s="384">
        <v>1.0160039999999999</v>
      </c>
    </row>
    <row r="109" spans="1:4" x14ac:dyDescent="0.2">
      <c r="A109" s="211" t="s">
        <v>371</v>
      </c>
      <c r="B109" s="210" t="s">
        <v>372</v>
      </c>
      <c r="C109" s="210" t="s">
        <v>3886</v>
      </c>
      <c r="D109" s="384">
        <v>1.0439719999999999</v>
      </c>
    </row>
    <row r="110" spans="1:4" x14ac:dyDescent="0.2">
      <c r="A110" s="211" t="s">
        <v>373</v>
      </c>
      <c r="B110" s="210" t="s">
        <v>3910</v>
      </c>
      <c r="C110" s="210" t="s">
        <v>3886</v>
      </c>
      <c r="D110" s="384">
        <v>1.0417699999999999</v>
      </c>
    </row>
    <row r="111" spans="1:4" x14ac:dyDescent="0.2">
      <c r="A111" s="211" t="s">
        <v>375</v>
      </c>
      <c r="B111" s="210" t="s">
        <v>376</v>
      </c>
      <c r="C111" s="210" t="s">
        <v>3886</v>
      </c>
      <c r="D111" s="384">
        <v>1.0404499999999999</v>
      </c>
    </row>
    <row r="112" spans="1:4" x14ac:dyDescent="0.2">
      <c r="A112" s="211" t="s">
        <v>377</v>
      </c>
      <c r="B112" s="210" t="s">
        <v>378</v>
      </c>
      <c r="C112" s="210" t="s">
        <v>3886</v>
      </c>
      <c r="D112" s="384">
        <v>1.1964869999999999</v>
      </c>
    </row>
    <row r="113" spans="1:4" x14ac:dyDescent="0.2">
      <c r="A113" s="211" t="s">
        <v>379</v>
      </c>
      <c r="B113" s="210" t="s">
        <v>3909</v>
      </c>
      <c r="C113" s="210" t="s">
        <v>3886</v>
      </c>
      <c r="D113" s="384">
        <v>1.1202649999999998</v>
      </c>
    </row>
    <row r="114" spans="1:4" x14ac:dyDescent="0.2">
      <c r="A114" s="211" t="s">
        <v>381</v>
      </c>
      <c r="B114" s="212" t="s">
        <v>382</v>
      </c>
      <c r="C114" s="212" t="s">
        <v>3886</v>
      </c>
      <c r="D114" s="384">
        <v>1.1095079999999999</v>
      </c>
    </row>
    <row r="115" spans="1:4" x14ac:dyDescent="0.2">
      <c r="A115" s="211" t="s">
        <v>383</v>
      </c>
      <c r="B115" s="210" t="s">
        <v>384</v>
      </c>
      <c r="C115" s="210" t="s">
        <v>3886</v>
      </c>
      <c r="D115" s="384">
        <v>1.0565419999999999</v>
      </c>
    </row>
    <row r="116" spans="1:4" x14ac:dyDescent="0.2">
      <c r="A116" s="211" t="s">
        <v>387</v>
      </c>
      <c r="B116" s="210" t="s">
        <v>388</v>
      </c>
      <c r="C116" s="210" t="s">
        <v>3886</v>
      </c>
      <c r="D116" s="384">
        <v>1.1015969999999999</v>
      </c>
    </row>
    <row r="117" spans="1:4" x14ac:dyDescent="0.2">
      <c r="A117" s="211" t="s">
        <v>389</v>
      </c>
      <c r="B117" s="210" t="s">
        <v>390</v>
      </c>
      <c r="C117" s="210" t="s">
        <v>3886</v>
      </c>
      <c r="D117" s="384">
        <v>1.038589</v>
      </c>
    </row>
    <row r="118" spans="1:4" x14ac:dyDescent="0.2">
      <c r="A118" s="211" t="s">
        <v>391</v>
      </c>
      <c r="B118" s="210" t="s">
        <v>392</v>
      </c>
      <c r="C118" s="210" t="s">
        <v>3886</v>
      </c>
      <c r="D118" s="384">
        <v>1.043693</v>
      </c>
    </row>
    <row r="119" spans="1:4" x14ac:dyDescent="0.2">
      <c r="A119" s="211" t="s">
        <v>393</v>
      </c>
      <c r="B119" s="210" t="s">
        <v>394</v>
      </c>
      <c r="C119" s="210" t="s">
        <v>3886</v>
      </c>
      <c r="D119" s="384">
        <v>1.0992230000000001</v>
      </c>
    </row>
    <row r="120" spans="1:4" x14ac:dyDescent="0.2">
      <c r="A120" s="211" t="s">
        <v>395</v>
      </c>
      <c r="B120" s="210" t="s">
        <v>396</v>
      </c>
      <c r="C120" s="210" t="s">
        <v>3886</v>
      </c>
      <c r="D120" s="384">
        <v>1.034867</v>
      </c>
    </row>
    <row r="121" spans="1:4" x14ac:dyDescent="0.2">
      <c r="A121" s="211" t="s">
        <v>397</v>
      </c>
      <c r="B121" s="210" t="s">
        <v>398</v>
      </c>
      <c r="C121" s="210" t="s">
        <v>3886</v>
      </c>
      <c r="D121" s="384">
        <v>1.0406009999999999</v>
      </c>
    </row>
    <row r="122" spans="1:4" x14ac:dyDescent="0.2">
      <c r="A122" s="211" t="s">
        <v>399</v>
      </c>
      <c r="B122" s="210" t="s">
        <v>400</v>
      </c>
      <c r="C122" s="210" t="s">
        <v>3886</v>
      </c>
      <c r="D122" s="384">
        <v>1.106109</v>
      </c>
    </row>
    <row r="123" spans="1:4" x14ac:dyDescent="0.2">
      <c r="A123" s="211" t="s">
        <v>401</v>
      </c>
      <c r="B123" s="210" t="s">
        <v>402</v>
      </c>
      <c r="C123" s="210" t="s">
        <v>3886</v>
      </c>
      <c r="D123" s="384">
        <v>1.2646409999999999</v>
      </c>
    </row>
    <row r="124" spans="1:4" x14ac:dyDescent="0.2">
      <c r="A124" s="211" t="s">
        <v>405</v>
      </c>
      <c r="B124" s="210" t="s">
        <v>406</v>
      </c>
      <c r="C124" s="210" t="s">
        <v>3886</v>
      </c>
      <c r="D124" s="384">
        <v>1.0152649999999999</v>
      </c>
    </row>
    <row r="125" spans="1:4" x14ac:dyDescent="0.2">
      <c r="A125" s="211" t="s">
        <v>407</v>
      </c>
      <c r="B125" s="210" t="s">
        <v>1304</v>
      </c>
      <c r="C125" s="210" t="s">
        <v>3886</v>
      </c>
      <c r="D125" s="384">
        <v>1.0252829999999999</v>
      </c>
    </row>
    <row r="126" spans="1:4" x14ac:dyDescent="0.2">
      <c r="A126" s="211" t="s">
        <v>409</v>
      </c>
      <c r="B126" s="210" t="s">
        <v>410</v>
      </c>
      <c r="C126" s="210" t="s">
        <v>3886</v>
      </c>
      <c r="D126" s="384">
        <v>1.0192870000000001</v>
      </c>
    </row>
    <row r="127" spans="1:4" x14ac:dyDescent="0.2">
      <c r="A127" s="211" t="s">
        <v>411</v>
      </c>
      <c r="B127" s="210" t="s">
        <v>412</v>
      </c>
      <c r="C127" s="210" t="s">
        <v>3886</v>
      </c>
      <c r="D127" s="384">
        <v>1.0784639999999999</v>
      </c>
    </row>
    <row r="128" spans="1:4" x14ac:dyDescent="0.2">
      <c r="A128" s="211" t="s">
        <v>413</v>
      </c>
      <c r="B128" s="210" t="s">
        <v>414</v>
      </c>
      <c r="C128" s="210" t="s">
        <v>3886</v>
      </c>
      <c r="D128" s="384">
        <v>1.028605</v>
      </c>
    </row>
    <row r="129" spans="1:4" x14ac:dyDescent="0.2">
      <c r="A129" s="211" t="s">
        <v>415</v>
      </c>
      <c r="B129" s="210" t="s">
        <v>653</v>
      </c>
      <c r="C129" s="210" t="s">
        <v>3886</v>
      </c>
      <c r="D129" s="384">
        <v>1.0300240000000001</v>
      </c>
    </row>
    <row r="130" spans="1:4" x14ac:dyDescent="0.2">
      <c r="A130" s="211" t="s">
        <v>416</v>
      </c>
      <c r="B130" s="210" t="s">
        <v>417</v>
      </c>
      <c r="C130" s="210" t="s">
        <v>3886</v>
      </c>
      <c r="D130" s="384">
        <v>1.1728689999999999</v>
      </c>
    </row>
    <row r="131" spans="1:4" x14ac:dyDescent="0.2">
      <c r="A131" s="211" t="s">
        <v>418</v>
      </c>
      <c r="B131" s="210" t="s">
        <v>3898</v>
      </c>
      <c r="C131" s="210" t="s">
        <v>3886</v>
      </c>
      <c r="D131" s="384">
        <v>1.0865050000000001</v>
      </c>
    </row>
    <row r="132" spans="1:4" x14ac:dyDescent="0.2">
      <c r="A132" s="211" t="s">
        <v>3656</v>
      </c>
      <c r="B132" s="210" t="s">
        <v>3657</v>
      </c>
      <c r="C132" s="210" t="s">
        <v>3886</v>
      </c>
      <c r="D132" s="384">
        <v>1.201214</v>
      </c>
    </row>
    <row r="133" spans="1:4" x14ac:dyDescent="0.2">
      <c r="A133" s="211" t="s">
        <v>3658</v>
      </c>
      <c r="B133" s="210" t="s">
        <v>3659</v>
      </c>
      <c r="C133" s="210" t="s">
        <v>3886</v>
      </c>
      <c r="D133" s="384">
        <v>1.023582</v>
      </c>
    </row>
    <row r="134" spans="1:4" x14ac:dyDescent="0.2">
      <c r="A134" s="211" t="s">
        <v>3660</v>
      </c>
      <c r="B134" s="210" t="s">
        <v>3661</v>
      </c>
      <c r="C134" s="210" t="s">
        <v>3886</v>
      </c>
      <c r="D134" s="384">
        <v>1.024769</v>
      </c>
    </row>
    <row r="135" spans="1:4" x14ac:dyDescent="0.2">
      <c r="A135" s="211" t="s">
        <v>3662</v>
      </c>
      <c r="B135" s="210" t="s">
        <v>3663</v>
      </c>
      <c r="C135" s="210" t="s">
        <v>3886</v>
      </c>
      <c r="D135" s="384">
        <v>1.046667</v>
      </c>
    </row>
    <row r="136" spans="1:4" x14ac:dyDescent="0.2">
      <c r="A136" s="211" t="s">
        <v>3664</v>
      </c>
      <c r="B136" s="210" t="s">
        <v>3665</v>
      </c>
      <c r="C136" s="210" t="s">
        <v>3886</v>
      </c>
      <c r="D136" s="384">
        <v>1.1954050000000001</v>
      </c>
    </row>
    <row r="137" spans="1:4" x14ac:dyDescent="0.2">
      <c r="A137" s="211" t="s">
        <v>3666</v>
      </c>
      <c r="B137" s="210" t="s">
        <v>3667</v>
      </c>
      <c r="C137" s="210" t="s">
        <v>3886</v>
      </c>
      <c r="D137" s="384">
        <v>1.061131</v>
      </c>
    </row>
    <row r="138" spans="1:4" x14ac:dyDescent="0.2">
      <c r="A138" s="211" t="s">
        <v>3668</v>
      </c>
      <c r="B138" s="210" t="s">
        <v>3669</v>
      </c>
      <c r="C138" s="210" t="s">
        <v>3886</v>
      </c>
      <c r="D138" s="384">
        <v>1.0575319999999999</v>
      </c>
    </row>
    <row r="139" spans="1:4" x14ac:dyDescent="0.2">
      <c r="A139" s="211" t="s">
        <v>3670</v>
      </c>
      <c r="B139" s="210" t="s">
        <v>3671</v>
      </c>
      <c r="C139" s="210" t="s">
        <v>3886</v>
      </c>
      <c r="D139" s="384">
        <v>1.019398</v>
      </c>
    </row>
    <row r="140" spans="1:4" x14ac:dyDescent="0.2">
      <c r="A140" s="211" t="s">
        <v>3672</v>
      </c>
      <c r="B140" s="210" t="s">
        <v>3900</v>
      </c>
      <c r="C140" s="210" t="s">
        <v>3886</v>
      </c>
      <c r="D140" s="384">
        <v>1.025093</v>
      </c>
    </row>
    <row r="141" spans="1:4" x14ac:dyDescent="0.2">
      <c r="A141" s="211" t="s">
        <v>3674</v>
      </c>
      <c r="B141" s="210" t="s">
        <v>3675</v>
      </c>
      <c r="C141" s="210" t="s">
        <v>3886</v>
      </c>
      <c r="D141" s="384">
        <v>1.0293909999999999</v>
      </c>
    </row>
    <row r="142" spans="1:4" x14ac:dyDescent="0.2">
      <c r="A142" s="211" t="s">
        <v>3676</v>
      </c>
      <c r="B142" s="210" t="s">
        <v>3677</v>
      </c>
      <c r="C142" s="210" t="s">
        <v>3886</v>
      </c>
      <c r="D142" s="384">
        <v>1.030009</v>
      </c>
    </row>
    <row r="143" spans="1:4" x14ac:dyDescent="0.2">
      <c r="A143" s="211" t="s">
        <v>3678</v>
      </c>
      <c r="B143" s="210" t="s">
        <v>3679</v>
      </c>
      <c r="C143" s="210" t="s">
        <v>3886</v>
      </c>
      <c r="D143" s="384">
        <v>1.0387249999999999</v>
      </c>
    </row>
    <row r="144" spans="1:4" x14ac:dyDescent="0.2">
      <c r="A144" s="211" t="s">
        <v>3680</v>
      </c>
      <c r="B144" s="210" t="s">
        <v>3681</v>
      </c>
      <c r="C144" s="210" t="s">
        <v>3886</v>
      </c>
      <c r="D144" s="384">
        <v>1.0324309999999999</v>
      </c>
    </row>
    <row r="145" spans="1:4" x14ac:dyDescent="0.2">
      <c r="A145" s="211" t="s">
        <v>3684</v>
      </c>
      <c r="B145" s="210" t="s">
        <v>1306</v>
      </c>
      <c r="C145" s="210" t="s">
        <v>3886</v>
      </c>
      <c r="D145" s="384">
        <v>1.1106369999999999</v>
      </c>
    </row>
    <row r="146" spans="1:4" x14ac:dyDescent="0.2">
      <c r="A146" s="211" t="s">
        <v>3682</v>
      </c>
      <c r="B146" s="210" t="s">
        <v>3683</v>
      </c>
      <c r="C146" s="210" t="s">
        <v>3886</v>
      </c>
      <c r="D146" s="384">
        <v>1.100325</v>
      </c>
    </row>
    <row r="147" spans="1:4" x14ac:dyDescent="0.2">
      <c r="A147" s="211" t="s">
        <v>3688</v>
      </c>
      <c r="B147" s="210" t="s">
        <v>3689</v>
      </c>
      <c r="C147" s="210" t="s">
        <v>3886</v>
      </c>
      <c r="D147" s="384">
        <v>1.177673</v>
      </c>
    </row>
    <row r="148" spans="1:4" x14ac:dyDescent="0.2">
      <c r="A148" s="211" t="s">
        <v>3690</v>
      </c>
      <c r="B148" s="210" t="s">
        <v>3691</v>
      </c>
      <c r="C148" s="210" t="s">
        <v>3886</v>
      </c>
      <c r="D148" s="384">
        <v>1.080171</v>
      </c>
    </row>
    <row r="149" spans="1:4" x14ac:dyDescent="0.2">
      <c r="A149" s="211" t="s">
        <v>3692</v>
      </c>
      <c r="B149" s="212" t="s">
        <v>3693</v>
      </c>
      <c r="C149" s="212" t="s">
        <v>3886</v>
      </c>
      <c r="D149" s="384">
        <v>1.0489459999999999</v>
      </c>
    </row>
    <row r="150" spans="1:4" x14ac:dyDescent="0.2">
      <c r="A150" s="211" t="s">
        <v>3694</v>
      </c>
      <c r="B150" s="210" t="s">
        <v>3695</v>
      </c>
      <c r="C150" s="210" t="s">
        <v>3886</v>
      </c>
      <c r="D150" s="384">
        <v>1.05132</v>
      </c>
    </row>
    <row r="151" spans="1:4" x14ac:dyDescent="0.2">
      <c r="A151" s="211" t="s">
        <v>3696</v>
      </c>
      <c r="B151" s="210" t="s">
        <v>3697</v>
      </c>
      <c r="C151" s="210" t="s">
        <v>3886</v>
      </c>
      <c r="D151" s="384">
        <v>1.060238</v>
      </c>
    </row>
    <row r="152" spans="1:4" x14ac:dyDescent="0.2">
      <c r="A152" s="211" t="s">
        <v>3698</v>
      </c>
      <c r="B152" s="210" t="s">
        <v>3699</v>
      </c>
      <c r="C152" s="210" t="s">
        <v>3886</v>
      </c>
      <c r="D152" s="384">
        <v>1.0158199999999999</v>
      </c>
    </row>
    <row r="153" spans="1:4" x14ac:dyDescent="0.2">
      <c r="A153" s="211" t="s">
        <v>3700</v>
      </c>
      <c r="B153" s="210" t="s">
        <v>3701</v>
      </c>
      <c r="C153" s="210" t="s">
        <v>3886</v>
      </c>
      <c r="D153" s="384">
        <v>1.0666309999999999</v>
      </c>
    </row>
    <row r="154" spans="1:4" x14ac:dyDescent="0.2">
      <c r="A154" s="211" t="s">
        <v>3702</v>
      </c>
      <c r="B154" s="210" t="s">
        <v>3703</v>
      </c>
      <c r="C154" s="210" t="s">
        <v>3886</v>
      </c>
      <c r="D154" s="384">
        <v>1.0889769999999999</v>
      </c>
    </row>
    <row r="155" spans="1:4" x14ac:dyDescent="0.2">
      <c r="A155" s="211" t="s">
        <v>3704</v>
      </c>
      <c r="B155" s="210" t="s">
        <v>3705</v>
      </c>
      <c r="C155" s="210" t="s">
        <v>3886</v>
      </c>
      <c r="D155" s="384">
        <v>1.1429179999999999</v>
      </c>
    </row>
    <row r="156" spans="1:4" x14ac:dyDescent="0.2">
      <c r="A156" s="211" t="s">
        <v>3708</v>
      </c>
      <c r="B156" s="210" t="s">
        <v>3893</v>
      </c>
      <c r="C156" s="210" t="s">
        <v>3886</v>
      </c>
      <c r="D156" s="384">
        <v>1.0342529999999999</v>
      </c>
    </row>
    <row r="157" spans="1:4" x14ac:dyDescent="0.2">
      <c r="A157" s="211" t="s">
        <v>3710</v>
      </c>
      <c r="B157" s="210" t="s">
        <v>3711</v>
      </c>
      <c r="C157" s="210" t="s">
        <v>3886</v>
      </c>
      <c r="D157" s="384">
        <v>1.149759</v>
      </c>
    </row>
    <row r="158" spans="1:4" x14ac:dyDescent="0.2">
      <c r="A158" s="211" t="s">
        <v>3714</v>
      </c>
      <c r="B158" s="210" t="s">
        <v>3897</v>
      </c>
      <c r="C158" s="210" t="s">
        <v>3886</v>
      </c>
      <c r="D158" s="384">
        <v>1.2531949999999998</v>
      </c>
    </row>
    <row r="159" spans="1:4" x14ac:dyDescent="0.2">
      <c r="A159" s="211" t="s">
        <v>3716</v>
      </c>
      <c r="B159" s="210" t="s">
        <v>3717</v>
      </c>
      <c r="C159" s="210" t="s">
        <v>3886</v>
      </c>
      <c r="D159" s="384">
        <v>1.0031889999999999</v>
      </c>
    </row>
    <row r="160" spans="1:4" x14ac:dyDescent="0.2">
      <c r="A160" s="211" t="s">
        <v>3718</v>
      </c>
      <c r="B160" s="210" t="s">
        <v>3719</v>
      </c>
      <c r="C160" s="210" t="s">
        <v>3886</v>
      </c>
      <c r="D160" s="384">
        <v>1.0211479999999999</v>
      </c>
    </row>
    <row r="161" spans="1:4" x14ac:dyDescent="0.2">
      <c r="A161" s="211" t="s">
        <v>3720</v>
      </c>
      <c r="B161" s="212" t="s">
        <v>3521</v>
      </c>
      <c r="C161" s="212" t="s">
        <v>3886</v>
      </c>
      <c r="D161" s="384">
        <v>1.2464759999999999</v>
      </c>
    </row>
    <row r="162" spans="1:4" x14ac:dyDescent="0.2">
      <c r="A162" s="211" t="s">
        <v>3722</v>
      </c>
      <c r="B162" s="210" t="s">
        <v>3723</v>
      </c>
      <c r="C162" s="210" t="s">
        <v>3886</v>
      </c>
      <c r="D162" s="384">
        <v>1.042243</v>
      </c>
    </row>
    <row r="163" spans="1:4" x14ac:dyDescent="0.2">
      <c r="A163" s="211" t="s">
        <v>3724</v>
      </c>
      <c r="B163" s="210" t="s">
        <v>3725</v>
      </c>
      <c r="C163" s="210" t="s">
        <v>3886</v>
      </c>
      <c r="D163" s="384">
        <v>1.1004039999999999</v>
      </c>
    </row>
    <row r="164" spans="1:4" x14ac:dyDescent="0.2">
      <c r="A164" s="211" t="s">
        <v>3726</v>
      </c>
      <c r="B164" s="210" t="s">
        <v>3727</v>
      </c>
      <c r="C164" s="210" t="s">
        <v>3886</v>
      </c>
      <c r="D164" s="384">
        <v>1.179951</v>
      </c>
    </row>
    <row r="165" spans="1:4" x14ac:dyDescent="0.2">
      <c r="A165" s="211" t="s">
        <v>3728</v>
      </c>
      <c r="B165" s="210" t="s">
        <v>3729</v>
      </c>
      <c r="C165" s="210" t="s">
        <v>3886</v>
      </c>
      <c r="D165" s="384">
        <v>1.1599819999999998</v>
      </c>
    </row>
    <row r="166" spans="1:4" x14ac:dyDescent="0.2">
      <c r="A166" s="211" t="s">
        <v>3730</v>
      </c>
      <c r="B166" s="210" t="s">
        <v>3731</v>
      </c>
      <c r="C166" s="210" t="s">
        <v>3886</v>
      </c>
      <c r="D166" s="384">
        <v>1.080476</v>
      </c>
    </row>
    <row r="167" spans="1:4" x14ac:dyDescent="0.2">
      <c r="A167" s="211" t="s">
        <v>3732</v>
      </c>
      <c r="B167" s="210" t="s">
        <v>3733</v>
      </c>
      <c r="C167" s="210" t="s">
        <v>3886</v>
      </c>
      <c r="D167" s="384">
        <v>1.0559749999999999</v>
      </c>
    </row>
    <row r="168" spans="1:4" x14ac:dyDescent="0.2">
      <c r="A168" s="211" t="s">
        <v>3734</v>
      </c>
      <c r="B168" s="210" t="s">
        <v>3735</v>
      </c>
      <c r="C168" s="210" t="s">
        <v>3886</v>
      </c>
      <c r="D168" s="384">
        <v>1.070335</v>
      </c>
    </row>
    <row r="169" spans="1:4" x14ac:dyDescent="0.2">
      <c r="A169" s="211" t="s">
        <v>3736</v>
      </c>
      <c r="B169" s="210" t="s">
        <v>2769</v>
      </c>
      <c r="C169" s="210" t="s">
        <v>3886</v>
      </c>
      <c r="D169" s="384">
        <v>1.040565</v>
      </c>
    </row>
    <row r="170" spans="1:4" x14ac:dyDescent="0.2">
      <c r="A170" s="211" t="s">
        <v>2776</v>
      </c>
      <c r="B170" s="210" t="s">
        <v>2777</v>
      </c>
      <c r="C170" s="210" t="s">
        <v>3886</v>
      </c>
      <c r="D170" s="384">
        <v>1.032715</v>
      </c>
    </row>
    <row r="171" spans="1:4" x14ac:dyDescent="0.2">
      <c r="A171" s="211" t="s">
        <v>2774</v>
      </c>
      <c r="B171" s="210" t="s">
        <v>3887</v>
      </c>
      <c r="C171" s="210" t="s">
        <v>3886</v>
      </c>
      <c r="D171" s="384">
        <v>1.0305</v>
      </c>
    </row>
    <row r="172" spans="1:4" x14ac:dyDescent="0.2">
      <c r="A172" s="211" t="s">
        <v>2778</v>
      </c>
      <c r="B172" s="210" t="s">
        <v>2779</v>
      </c>
      <c r="C172" s="210" t="s">
        <v>3886</v>
      </c>
      <c r="D172" s="384">
        <v>1.0294220000000001</v>
      </c>
    </row>
    <row r="173" spans="1:4" x14ac:dyDescent="0.2">
      <c r="A173" s="211" t="s">
        <v>2780</v>
      </c>
      <c r="B173" s="210" t="s">
        <v>2781</v>
      </c>
      <c r="C173" s="210" t="s">
        <v>3886</v>
      </c>
      <c r="D173" s="384">
        <v>1.031436</v>
      </c>
    </row>
    <row r="174" spans="1:4" x14ac:dyDescent="0.2">
      <c r="A174" s="211" t="s">
        <v>2782</v>
      </c>
      <c r="B174" s="210" t="s">
        <v>2783</v>
      </c>
      <c r="C174" s="210" t="s">
        <v>3886</v>
      </c>
      <c r="D174" s="384">
        <v>1.0262500000000001</v>
      </c>
    </row>
    <row r="175" spans="1:4" x14ac:dyDescent="0.2">
      <c r="A175" s="211" t="s">
        <v>2784</v>
      </c>
      <c r="B175" s="210" t="s">
        <v>650</v>
      </c>
      <c r="C175" s="210" t="s">
        <v>3886</v>
      </c>
      <c r="D175" s="384">
        <v>1.032492</v>
      </c>
    </row>
    <row r="176" spans="1:4" x14ac:dyDescent="0.2">
      <c r="A176" s="211" t="s">
        <v>2785</v>
      </c>
      <c r="B176" s="210" t="s">
        <v>2786</v>
      </c>
      <c r="C176" s="210" t="s">
        <v>3886</v>
      </c>
      <c r="D176" s="384">
        <v>1.0921650000000001</v>
      </c>
    </row>
    <row r="177" spans="1:4" x14ac:dyDescent="0.2">
      <c r="A177" s="211" t="s">
        <v>2787</v>
      </c>
      <c r="B177" s="210" t="s">
        <v>2788</v>
      </c>
      <c r="C177" s="210" t="s">
        <v>3886</v>
      </c>
      <c r="D177" s="384">
        <v>1.035666</v>
      </c>
    </row>
    <row r="178" spans="1:4" x14ac:dyDescent="0.2">
      <c r="A178" s="211" t="s">
        <v>2789</v>
      </c>
      <c r="B178" s="210" t="s">
        <v>655</v>
      </c>
      <c r="C178" s="210" t="s">
        <v>3886</v>
      </c>
      <c r="D178" s="384">
        <v>1.1182989999999999</v>
      </c>
    </row>
    <row r="179" spans="1:4" x14ac:dyDescent="0.2">
      <c r="A179" s="211" t="s">
        <v>2790</v>
      </c>
      <c r="B179" s="210" t="s">
        <v>2791</v>
      </c>
      <c r="C179" s="210" t="s">
        <v>3886</v>
      </c>
      <c r="D179" s="384">
        <v>1.013568</v>
      </c>
    </row>
    <row r="180" spans="1:4" x14ac:dyDescent="0.2">
      <c r="A180" s="211" t="s">
        <v>547</v>
      </c>
      <c r="B180" s="210" t="s">
        <v>656</v>
      </c>
      <c r="C180" s="210" t="s">
        <v>3886</v>
      </c>
      <c r="D180" s="384">
        <v>1.094557</v>
      </c>
    </row>
    <row r="181" spans="1:4" x14ac:dyDescent="0.2">
      <c r="A181" s="211" t="s">
        <v>548</v>
      </c>
      <c r="B181" s="210" t="s">
        <v>549</v>
      </c>
      <c r="C181" s="210" t="s">
        <v>3886</v>
      </c>
      <c r="D181" s="384">
        <v>1.1099000000000001</v>
      </c>
    </row>
    <row r="182" spans="1:4" x14ac:dyDescent="0.2">
      <c r="A182" s="211" t="s">
        <v>550</v>
      </c>
      <c r="B182" s="210" t="s">
        <v>551</v>
      </c>
      <c r="C182" s="210" t="s">
        <v>3886</v>
      </c>
      <c r="D182" s="384">
        <v>1.1944779999999999</v>
      </c>
    </row>
    <row r="183" spans="1:4" x14ac:dyDescent="0.2">
      <c r="A183" s="211" t="s">
        <v>554</v>
      </c>
      <c r="B183" s="210" t="s">
        <v>555</v>
      </c>
      <c r="C183" s="210" t="s">
        <v>3886</v>
      </c>
      <c r="D183" s="384">
        <v>1.0315030000000001</v>
      </c>
    </row>
    <row r="184" spans="1:4" x14ac:dyDescent="0.2">
      <c r="A184" s="211" t="s">
        <v>556</v>
      </c>
      <c r="B184" s="210" t="s">
        <v>557</v>
      </c>
      <c r="C184" s="210" t="s">
        <v>3886</v>
      </c>
      <c r="D184" s="384">
        <v>1.029223</v>
      </c>
    </row>
    <row r="185" spans="1:4" x14ac:dyDescent="0.2">
      <c r="A185" s="211" t="s">
        <v>558</v>
      </c>
      <c r="B185" s="210" t="s">
        <v>559</v>
      </c>
      <c r="C185" s="210" t="s">
        <v>3886</v>
      </c>
      <c r="D185" s="384">
        <v>1.0294109999999999</v>
      </c>
    </row>
    <row r="186" spans="1:4" x14ac:dyDescent="0.2">
      <c r="A186" s="211" t="s">
        <v>560</v>
      </c>
      <c r="B186" s="210" t="s">
        <v>1301</v>
      </c>
      <c r="C186" s="210" t="s">
        <v>3886</v>
      </c>
      <c r="D186" s="384">
        <v>1.0565449999999998</v>
      </c>
    </row>
    <row r="187" spans="1:4" x14ac:dyDescent="0.2">
      <c r="A187" s="211" t="s">
        <v>562</v>
      </c>
      <c r="B187" s="210" t="s">
        <v>563</v>
      </c>
      <c r="C187" s="210" t="s">
        <v>3886</v>
      </c>
      <c r="D187" s="384">
        <v>1.200734</v>
      </c>
    </row>
    <row r="188" spans="1:4" x14ac:dyDescent="0.2">
      <c r="A188" s="211" t="s">
        <v>564</v>
      </c>
      <c r="B188" s="210" t="s">
        <v>565</v>
      </c>
      <c r="C188" s="210" t="s">
        <v>3886</v>
      </c>
      <c r="D188" s="384">
        <v>1.0371360000000001</v>
      </c>
    </row>
    <row r="189" spans="1:4" x14ac:dyDescent="0.2">
      <c r="A189" s="211" t="s">
        <v>566</v>
      </c>
      <c r="B189" s="210" t="s">
        <v>649</v>
      </c>
      <c r="C189" s="210" t="s">
        <v>3886</v>
      </c>
      <c r="D189" s="384">
        <v>1.048519</v>
      </c>
    </row>
    <row r="190" spans="1:4" x14ac:dyDescent="0.2">
      <c r="A190" s="211" t="s">
        <v>569</v>
      </c>
      <c r="B190" s="210" t="s">
        <v>570</v>
      </c>
      <c r="C190" s="210" t="s">
        <v>3886</v>
      </c>
      <c r="D190" s="384">
        <v>1.078193</v>
      </c>
    </row>
    <row r="191" spans="1:4" x14ac:dyDescent="0.2">
      <c r="A191" s="211" t="s">
        <v>2385</v>
      </c>
      <c r="B191" s="210" t="s">
        <v>1310</v>
      </c>
      <c r="C191" s="210" t="s">
        <v>3886</v>
      </c>
      <c r="D191" s="384">
        <v>1.0910629999999999</v>
      </c>
    </row>
    <row r="192" spans="1:4" x14ac:dyDescent="0.2">
      <c r="A192" s="211" t="s">
        <v>571</v>
      </c>
      <c r="B192" s="210" t="s">
        <v>572</v>
      </c>
      <c r="C192" s="210" t="s">
        <v>3886</v>
      </c>
      <c r="D192" s="384">
        <v>1.0360639999999999</v>
      </c>
    </row>
    <row r="193" spans="1:4" x14ac:dyDescent="0.2">
      <c r="A193" s="211" t="s">
        <v>573</v>
      </c>
      <c r="B193" s="210" t="s">
        <v>574</v>
      </c>
      <c r="C193" s="210" t="s">
        <v>3886</v>
      </c>
      <c r="D193" s="384">
        <v>1.2124539999999999</v>
      </c>
    </row>
    <row r="194" spans="1:4" x14ac:dyDescent="0.2">
      <c r="A194" s="211" t="s">
        <v>575</v>
      </c>
      <c r="B194" s="210" t="s">
        <v>576</v>
      </c>
      <c r="C194" s="210" t="s">
        <v>3886</v>
      </c>
      <c r="D194" s="384">
        <v>1.043069</v>
      </c>
    </row>
    <row r="195" spans="1:4" x14ac:dyDescent="0.2">
      <c r="A195" s="211" t="s">
        <v>577</v>
      </c>
      <c r="B195" s="210" t="s">
        <v>3915</v>
      </c>
      <c r="C195" s="210" t="s">
        <v>3886</v>
      </c>
      <c r="D195" s="384">
        <v>1.032675</v>
      </c>
    </row>
    <row r="196" spans="1:4" x14ac:dyDescent="0.2">
      <c r="A196" s="211" t="s">
        <v>578</v>
      </c>
      <c r="B196" s="210" t="s">
        <v>579</v>
      </c>
      <c r="C196" s="210" t="s">
        <v>3886</v>
      </c>
      <c r="D196" s="384">
        <v>1.057302</v>
      </c>
    </row>
    <row r="197" spans="1:4" x14ac:dyDescent="0.2">
      <c r="A197" s="211" t="s">
        <v>580</v>
      </c>
      <c r="B197" s="210" t="s">
        <v>581</v>
      </c>
      <c r="C197" s="210" t="s">
        <v>3886</v>
      </c>
      <c r="D197" s="384">
        <v>1.171362</v>
      </c>
    </row>
    <row r="198" spans="1:4" x14ac:dyDescent="0.2">
      <c r="A198" s="211" t="s">
        <v>582</v>
      </c>
      <c r="B198" s="210" t="s">
        <v>583</v>
      </c>
      <c r="C198" s="210" t="s">
        <v>3886</v>
      </c>
      <c r="D198" s="384">
        <v>1.164693</v>
      </c>
    </row>
    <row r="199" spans="1:4" x14ac:dyDescent="0.2">
      <c r="A199" s="211" t="s">
        <v>545</v>
      </c>
      <c r="B199" s="210" t="s">
        <v>2327</v>
      </c>
      <c r="C199" s="210" t="s">
        <v>3886</v>
      </c>
      <c r="D199" s="384">
        <v>1.070317</v>
      </c>
    </row>
    <row r="200" spans="1:4" x14ac:dyDescent="0.2">
      <c r="A200" s="211" t="s">
        <v>584</v>
      </c>
      <c r="B200" s="210" t="s">
        <v>585</v>
      </c>
      <c r="C200" s="210" t="s">
        <v>3886</v>
      </c>
      <c r="D200" s="384">
        <v>1.077078</v>
      </c>
    </row>
    <row r="201" spans="1:4" x14ac:dyDescent="0.2">
      <c r="A201" s="211" t="s">
        <v>586</v>
      </c>
      <c r="B201" s="210" t="s">
        <v>587</v>
      </c>
      <c r="C201" s="210" t="s">
        <v>3886</v>
      </c>
      <c r="D201" s="384">
        <v>1.0523179999999999</v>
      </c>
    </row>
    <row r="202" spans="1:4" x14ac:dyDescent="0.2">
      <c r="A202" s="211" t="s">
        <v>588</v>
      </c>
      <c r="B202" s="210" t="s">
        <v>589</v>
      </c>
      <c r="C202" s="210" t="s">
        <v>3886</v>
      </c>
      <c r="D202" s="384">
        <v>1.02973</v>
      </c>
    </row>
    <row r="203" spans="1:4" x14ac:dyDescent="0.2">
      <c r="A203" s="211" t="s">
        <v>590</v>
      </c>
      <c r="B203" s="210" t="s">
        <v>591</v>
      </c>
      <c r="C203" s="210" t="s">
        <v>3886</v>
      </c>
      <c r="D203" s="384">
        <v>1.23827</v>
      </c>
    </row>
    <row r="204" spans="1:4" x14ac:dyDescent="0.2">
      <c r="A204" s="211" t="s">
        <v>592</v>
      </c>
      <c r="B204" s="210" t="s">
        <v>593</v>
      </c>
      <c r="C204" s="210" t="s">
        <v>3886</v>
      </c>
      <c r="D204" s="384">
        <v>1.02654</v>
      </c>
    </row>
    <row r="205" spans="1:4" x14ac:dyDescent="0.2">
      <c r="A205" s="211" t="s">
        <v>594</v>
      </c>
      <c r="B205" s="210" t="s">
        <v>595</v>
      </c>
      <c r="C205" s="210" t="s">
        <v>3886</v>
      </c>
      <c r="D205" s="384">
        <v>1.066837</v>
      </c>
    </row>
    <row r="206" spans="1:4" x14ac:dyDescent="0.2">
      <c r="A206" s="211" t="s">
        <v>2324</v>
      </c>
      <c r="B206" s="210" t="s">
        <v>1293</v>
      </c>
      <c r="C206" s="210" t="s">
        <v>3886</v>
      </c>
      <c r="D206" s="384">
        <v>1.039401</v>
      </c>
    </row>
    <row r="207" spans="1:4" x14ac:dyDescent="0.2">
      <c r="A207" s="211" t="s">
        <v>596</v>
      </c>
      <c r="B207" s="210" t="s">
        <v>1305</v>
      </c>
      <c r="C207" s="210" t="s">
        <v>3886</v>
      </c>
      <c r="D207" s="384">
        <v>1.035649</v>
      </c>
    </row>
    <row r="208" spans="1:4" x14ac:dyDescent="0.2">
      <c r="A208" s="211" t="s">
        <v>598</v>
      </c>
      <c r="B208" s="210" t="s">
        <v>3522</v>
      </c>
      <c r="C208" s="210" t="s">
        <v>3886</v>
      </c>
      <c r="D208" s="384">
        <v>1.183046</v>
      </c>
    </row>
    <row r="209" spans="1:4" x14ac:dyDescent="0.2">
      <c r="A209" s="211" t="s">
        <v>602</v>
      </c>
      <c r="B209" s="210" t="s">
        <v>603</v>
      </c>
      <c r="C209" s="210" t="s">
        <v>3886</v>
      </c>
      <c r="D209" s="384">
        <v>1.035817</v>
      </c>
    </row>
    <row r="210" spans="1:4" x14ac:dyDescent="0.2">
      <c r="A210" s="211" t="s">
        <v>604</v>
      </c>
      <c r="B210" s="210" t="s">
        <v>605</v>
      </c>
      <c r="C210" s="210" t="s">
        <v>3886</v>
      </c>
      <c r="D210" s="384">
        <v>1.1534169999999999</v>
      </c>
    </row>
    <row r="211" spans="1:4" x14ac:dyDescent="0.2">
      <c r="A211" s="211" t="s">
        <v>606</v>
      </c>
      <c r="B211" s="210" t="s">
        <v>1291</v>
      </c>
      <c r="C211" s="210" t="s">
        <v>3886</v>
      </c>
      <c r="D211" s="384">
        <v>1.025949</v>
      </c>
    </row>
    <row r="212" spans="1:4" x14ac:dyDescent="0.2">
      <c r="A212" s="211" t="s">
        <v>3706</v>
      </c>
      <c r="B212" s="210" t="s">
        <v>3899</v>
      </c>
      <c r="C212" s="210" t="s">
        <v>3886</v>
      </c>
      <c r="D212" s="384">
        <v>1.0316149999999999</v>
      </c>
    </row>
    <row r="213" spans="1:4" x14ac:dyDescent="0.2">
      <c r="A213" s="211" t="s">
        <v>608</v>
      </c>
      <c r="B213" s="210" t="s">
        <v>609</v>
      </c>
      <c r="C213" s="210" t="s">
        <v>3886</v>
      </c>
      <c r="D213" s="384">
        <v>1.0272029999999999</v>
      </c>
    </row>
    <row r="214" spans="1:4" x14ac:dyDescent="0.2">
      <c r="A214" s="211" t="s">
        <v>610</v>
      </c>
      <c r="B214" s="210" t="s">
        <v>611</v>
      </c>
      <c r="C214" s="210" t="s">
        <v>3886</v>
      </c>
      <c r="D214" s="384">
        <v>1.064683</v>
      </c>
    </row>
    <row r="215" spans="1:4" x14ac:dyDescent="0.2">
      <c r="A215" s="211" t="s">
        <v>612</v>
      </c>
      <c r="B215" s="210" t="s">
        <v>613</v>
      </c>
      <c r="C215" s="210" t="s">
        <v>3886</v>
      </c>
      <c r="D215" s="384">
        <v>1.2137369999999998</v>
      </c>
    </row>
    <row r="216" spans="1:4" x14ac:dyDescent="0.2">
      <c r="A216" s="211" t="s">
        <v>614</v>
      </c>
      <c r="B216" s="210" t="s">
        <v>3869</v>
      </c>
      <c r="C216" s="210" t="s">
        <v>3886</v>
      </c>
      <c r="D216" s="384">
        <v>1.0444799999999999</v>
      </c>
    </row>
    <row r="217" spans="1:4" x14ac:dyDescent="0.2">
      <c r="A217" s="211" t="s">
        <v>3870</v>
      </c>
      <c r="B217" s="210" t="s">
        <v>3075</v>
      </c>
      <c r="C217" s="210" t="s">
        <v>3886</v>
      </c>
      <c r="D217" s="384">
        <v>1.0341130000000001</v>
      </c>
    </row>
    <row r="218" spans="1:4" x14ac:dyDescent="0.2">
      <c r="A218" s="211" t="s">
        <v>3872</v>
      </c>
      <c r="B218" s="210" t="s">
        <v>3873</v>
      </c>
      <c r="C218" s="210" t="s">
        <v>3886</v>
      </c>
      <c r="D218" s="384">
        <v>1.0403369999999998</v>
      </c>
    </row>
    <row r="219" spans="1:4" x14ac:dyDescent="0.2">
      <c r="A219" s="211" t="s">
        <v>3874</v>
      </c>
      <c r="B219" s="210" t="s">
        <v>3875</v>
      </c>
      <c r="C219" s="210" t="s">
        <v>3886</v>
      </c>
      <c r="D219" s="384">
        <v>1.213371</v>
      </c>
    </row>
    <row r="220" spans="1:4" x14ac:dyDescent="0.2">
      <c r="A220" s="211" t="s">
        <v>3514</v>
      </c>
      <c r="B220" s="210" t="s">
        <v>1177</v>
      </c>
      <c r="C220" s="210" t="s">
        <v>3886</v>
      </c>
      <c r="D220" s="384">
        <v>1.0113859999999999</v>
      </c>
    </row>
    <row r="221" spans="1:4" x14ac:dyDescent="0.2">
      <c r="A221" s="211" t="s">
        <v>3876</v>
      </c>
      <c r="B221" s="210" t="s">
        <v>3877</v>
      </c>
      <c r="C221" s="210" t="s">
        <v>3886</v>
      </c>
      <c r="D221" s="384">
        <v>1.014165</v>
      </c>
    </row>
    <row r="222" spans="1:4" x14ac:dyDescent="0.2">
      <c r="A222" s="211" t="s">
        <v>3878</v>
      </c>
      <c r="B222" s="210" t="s">
        <v>3879</v>
      </c>
      <c r="C222" s="210" t="s">
        <v>3886</v>
      </c>
      <c r="D222" s="384">
        <v>1.297607</v>
      </c>
    </row>
    <row r="223" spans="1:4" x14ac:dyDescent="0.2">
      <c r="A223" s="211" t="s">
        <v>3882</v>
      </c>
      <c r="B223" s="210" t="s">
        <v>661</v>
      </c>
      <c r="C223" s="210" t="s">
        <v>3886</v>
      </c>
      <c r="D223" s="384">
        <v>1.0241799999999999</v>
      </c>
    </row>
    <row r="224" spans="1:4" x14ac:dyDescent="0.2">
      <c r="A224" s="211" t="s">
        <v>662</v>
      </c>
      <c r="B224" s="210" t="s">
        <v>663</v>
      </c>
      <c r="C224" s="210" t="s">
        <v>3886</v>
      </c>
      <c r="D224" s="384">
        <v>1.059353</v>
      </c>
    </row>
    <row r="225" spans="1:4" x14ac:dyDescent="0.2">
      <c r="A225" s="211" t="s">
        <v>567</v>
      </c>
      <c r="B225" s="210" t="s">
        <v>1297</v>
      </c>
      <c r="C225" s="210" t="s">
        <v>3886</v>
      </c>
      <c r="D225" s="384">
        <v>1.0876029999999999</v>
      </c>
    </row>
    <row r="226" spans="1:4" x14ac:dyDescent="0.2">
      <c r="A226" s="211" t="s">
        <v>3880</v>
      </c>
      <c r="B226" s="210" t="s">
        <v>652</v>
      </c>
      <c r="C226" s="210" t="s">
        <v>3886</v>
      </c>
      <c r="D226" s="384">
        <v>1.0448659999999999</v>
      </c>
    </row>
    <row r="227" spans="1:4" x14ac:dyDescent="0.2">
      <c r="A227" s="211" t="s">
        <v>664</v>
      </c>
      <c r="B227" s="210" t="s">
        <v>665</v>
      </c>
      <c r="C227" s="210" t="s">
        <v>3886</v>
      </c>
      <c r="D227" s="384">
        <v>1.0840689999999999</v>
      </c>
    </row>
    <row r="228" spans="1:4" x14ac:dyDescent="0.2">
      <c r="A228" s="211" t="s">
        <v>666</v>
      </c>
      <c r="B228" s="210" t="s">
        <v>667</v>
      </c>
      <c r="C228" s="210" t="s">
        <v>3886</v>
      </c>
      <c r="D228" s="384">
        <v>1.0586180000000001</v>
      </c>
    </row>
    <row r="229" spans="1:4" x14ac:dyDescent="0.2">
      <c r="A229" s="211" t="s">
        <v>668</v>
      </c>
      <c r="B229" s="210" t="s">
        <v>669</v>
      </c>
      <c r="C229" s="210" t="s">
        <v>3886</v>
      </c>
      <c r="D229" s="384">
        <v>1.043404</v>
      </c>
    </row>
    <row r="230" spans="1:4" x14ac:dyDescent="0.2">
      <c r="A230" s="211" t="s">
        <v>670</v>
      </c>
      <c r="B230" s="210" t="s">
        <v>1309</v>
      </c>
      <c r="C230" s="210" t="s">
        <v>3886</v>
      </c>
      <c r="D230" s="384">
        <v>1.029326</v>
      </c>
    </row>
    <row r="231" spans="1:4" x14ac:dyDescent="0.2">
      <c r="A231" s="211" t="s">
        <v>672</v>
      </c>
      <c r="B231" s="210" t="s">
        <v>1288</v>
      </c>
      <c r="C231" s="210" t="s">
        <v>3886</v>
      </c>
      <c r="D231" s="384">
        <v>1.034403</v>
      </c>
    </row>
    <row r="232" spans="1:4" x14ac:dyDescent="0.2">
      <c r="A232" s="211" t="s">
        <v>674</v>
      </c>
      <c r="B232" s="210" t="s">
        <v>675</v>
      </c>
      <c r="C232" s="210" t="s">
        <v>3886</v>
      </c>
      <c r="D232" s="384">
        <v>1.0500339999999999</v>
      </c>
    </row>
    <row r="233" spans="1:4" x14ac:dyDescent="0.2">
      <c r="A233" s="211" t="s">
        <v>676</v>
      </c>
      <c r="B233" s="210" t="s">
        <v>677</v>
      </c>
      <c r="C233" s="210" t="s">
        <v>3886</v>
      </c>
      <c r="D233" s="384">
        <v>1.1707609999999999</v>
      </c>
    </row>
    <row r="234" spans="1:4" x14ac:dyDescent="0.2">
      <c r="A234" s="211" t="s">
        <v>678</v>
      </c>
      <c r="B234" s="210" t="s">
        <v>679</v>
      </c>
      <c r="C234" s="210" t="s">
        <v>3886</v>
      </c>
      <c r="D234" s="384">
        <v>1.1789159999999999</v>
      </c>
    </row>
    <row r="235" spans="1:4" x14ac:dyDescent="0.2">
      <c r="A235" s="211" t="s">
        <v>680</v>
      </c>
      <c r="B235" s="210" t="s">
        <v>681</v>
      </c>
      <c r="C235" s="210" t="s">
        <v>3886</v>
      </c>
      <c r="D235" s="384">
        <v>1.201446</v>
      </c>
    </row>
    <row r="236" spans="1:4" x14ac:dyDescent="0.2">
      <c r="A236" s="211" t="s">
        <v>682</v>
      </c>
      <c r="B236" s="210" t="s">
        <v>648</v>
      </c>
      <c r="C236" s="210" t="s">
        <v>3886</v>
      </c>
      <c r="D236" s="384">
        <v>1.040278</v>
      </c>
    </row>
    <row r="237" spans="1:4" x14ac:dyDescent="0.2">
      <c r="A237" s="211" t="s">
        <v>683</v>
      </c>
      <c r="B237" s="210" t="s">
        <v>1296</v>
      </c>
      <c r="C237" s="210" t="s">
        <v>3886</v>
      </c>
      <c r="D237" s="384">
        <v>1.0437719999999999</v>
      </c>
    </row>
    <row r="238" spans="1:4" x14ac:dyDescent="0.2">
      <c r="A238" s="211" t="s">
        <v>685</v>
      </c>
      <c r="B238" s="210" t="s">
        <v>3890</v>
      </c>
      <c r="C238" s="210" t="s">
        <v>3886</v>
      </c>
      <c r="D238" s="384">
        <v>1.080908</v>
      </c>
    </row>
    <row r="239" spans="1:4" x14ac:dyDescent="0.2">
      <c r="A239" s="211" t="s">
        <v>687</v>
      </c>
      <c r="B239" s="210" t="s">
        <v>688</v>
      </c>
      <c r="C239" s="210" t="s">
        <v>3886</v>
      </c>
      <c r="D239" s="384">
        <v>1.053007</v>
      </c>
    </row>
    <row r="240" spans="1:4" x14ac:dyDescent="0.2">
      <c r="A240" s="211" t="s">
        <v>691</v>
      </c>
      <c r="B240" s="210" t="s">
        <v>692</v>
      </c>
      <c r="C240" s="210" t="s">
        <v>3886</v>
      </c>
      <c r="D240" s="384">
        <v>1.039936</v>
      </c>
    </row>
    <row r="241" spans="1:4" x14ac:dyDescent="0.2">
      <c r="A241" s="211" t="s">
        <v>693</v>
      </c>
      <c r="B241" s="210" t="s">
        <v>694</v>
      </c>
      <c r="C241" s="210" t="s">
        <v>3886</v>
      </c>
      <c r="D241" s="384">
        <v>1.038864</v>
      </c>
    </row>
    <row r="242" spans="1:4" x14ac:dyDescent="0.2">
      <c r="A242" s="211" t="s">
        <v>695</v>
      </c>
      <c r="B242" s="210" t="s">
        <v>696</v>
      </c>
      <c r="C242" s="210" t="s">
        <v>3886</v>
      </c>
      <c r="D242" s="384">
        <v>1.037609</v>
      </c>
    </row>
    <row r="243" spans="1:4" x14ac:dyDescent="0.2">
      <c r="A243" s="211" t="s">
        <v>3516</v>
      </c>
      <c r="B243" s="210" t="s">
        <v>3517</v>
      </c>
      <c r="C243" s="210" t="s">
        <v>3886</v>
      </c>
      <c r="D243" s="384">
        <v>1.0363910000000001</v>
      </c>
    </row>
    <row r="244" spans="1:4" x14ac:dyDescent="0.2">
      <c r="A244" s="211" t="s">
        <v>699</v>
      </c>
      <c r="B244" s="210" t="s">
        <v>700</v>
      </c>
      <c r="C244" s="210" t="s">
        <v>3886</v>
      </c>
      <c r="D244" s="384">
        <v>1.0417809999999998</v>
      </c>
    </row>
    <row r="245" spans="1:4" x14ac:dyDescent="0.2">
      <c r="A245" s="211" t="s">
        <v>2393</v>
      </c>
      <c r="B245" s="210" t="s">
        <v>1317</v>
      </c>
      <c r="C245" s="210" t="s">
        <v>3886</v>
      </c>
      <c r="D245" s="384">
        <v>1.0245199999999999</v>
      </c>
    </row>
    <row r="246" spans="1:4" x14ac:dyDescent="0.2">
      <c r="A246" s="211" t="s">
        <v>701</v>
      </c>
      <c r="B246" s="210" t="s">
        <v>702</v>
      </c>
      <c r="C246" s="210" t="s">
        <v>3886</v>
      </c>
      <c r="D246" s="384">
        <v>1.035644</v>
      </c>
    </row>
    <row r="247" spans="1:4" x14ac:dyDescent="0.2">
      <c r="A247" s="211" t="s">
        <v>703</v>
      </c>
      <c r="B247" s="210" t="s">
        <v>1289</v>
      </c>
      <c r="C247" s="210" t="s">
        <v>3886</v>
      </c>
      <c r="D247" s="384">
        <v>1.0340419999999999</v>
      </c>
    </row>
    <row r="248" spans="1:4" ht="13.5" thickBot="1" x14ac:dyDescent="0.25">
      <c r="A248" s="208" t="s">
        <v>705</v>
      </c>
      <c r="B248" s="207" t="s">
        <v>706</v>
      </c>
      <c r="C248" s="207" t="s">
        <v>3886</v>
      </c>
      <c r="D248" s="385">
        <v>1.0407579999999998</v>
      </c>
    </row>
  </sheetData>
  <mergeCells count="1">
    <mergeCell ref="A1:B1"/>
  </mergeCells>
  <hyperlinks>
    <hyperlink ref="B2" r:id="rId1"/>
  </hyperlinks>
  <pageMargins left="0.7" right="0.7" top="0.75" bottom="0.75" header="0.3" footer="0.3"/>
  <pageSetup paperSize="9" orientation="portrait" verticalDpi="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autoPageBreaks="0"/>
  </sheetPr>
  <dimension ref="A1:U261"/>
  <sheetViews>
    <sheetView zoomScaleNormal="100" workbookViewId="0">
      <selection activeCell="C12" sqref="C12"/>
    </sheetView>
  </sheetViews>
  <sheetFormatPr defaultRowHeight="11.25" x14ac:dyDescent="0.2"/>
  <cols>
    <col min="1" max="1" width="11.42578125" style="6" customWidth="1"/>
    <col min="2" max="2" width="7.85546875" style="7" customWidth="1"/>
    <col min="3" max="3" width="68" style="7" customWidth="1"/>
    <col min="4" max="6" width="11.42578125" style="7" customWidth="1"/>
    <col min="7" max="7" width="11.42578125" style="14" customWidth="1"/>
    <col min="8" max="8" width="9.42578125" style="6" customWidth="1"/>
    <col min="9" max="9" width="8.85546875" style="6" customWidth="1"/>
    <col min="10" max="10" width="2.140625" style="7" customWidth="1"/>
    <col min="11" max="11" width="11.42578125" style="7" customWidth="1"/>
    <col min="12" max="12" width="8" style="6" customWidth="1"/>
    <col min="13" max="13" width="13.85546875" style="6" customWidth="1"/>
    <col min="14" max="14" width="14.28515625" style="6" customWidth="1"/>
    <col min="15" max="15" width="11.42578125" style="6" customWidth="1"/>
    <col min="16" max="16" width="8" style="6" customWidth="1"/>
    <col min="17" max="17" width="11.42578125" style="6" customWidth="1"/>
    <col min="18" max="18" width="8" style="6" customWidth="1"/>
    <col min="19" max="19" width="11.42578125" style="6" customWidth="1"/>
    <col min="20" max="20" width="8" style="6" customWidth="1"/>
    <col min="21" max="21" width="38.7109375" style="6" customWidth="1"/>
    <col min="22" max="241" width="11.42578125" style="6" customWidth="1"/>
    <col min="242" max="16384" width="9.140625" style="6"/>
  </cols>
  <sheetData>
    <row r="1" spans="1:21" ht="20.25" thickBot="1" x14ac:dyDescent="0.35">
      <c r="A1" s="332" t="s">
        <v>4208</v>
      </c>
    </row>
    <row r="2" spans="1:21" ht="35.25" customHeight="1" thickTop="1" thickBot="1" x14ac:dyDescent="0.25">
      <c r="A2" s="646" t="s">
        <v>4315</v>
      </c>
      <c r="B2" s="647"/>
      <c r="C2" s="647"/>
    </row>
    <row r="3" spans="1:21" ht="12.75" customHeight="1" thickBot="1" x14ac:dyDescent="0.25">
      <c r="C3" s="454" t="s">
        <v>4199</v>
      </c>
      <c r="D3" s="453">
        <f ca="1">MIN('Base MFF calcs'!$I$7:$I$258)</f>
        <v>0.92632450882387185</v>
      </c>
    </row>
    <row r="4" spans="1:21" ht="12.75" customHeight="1" x14ac:dyDescent="0.2">
      <c r="O4" s="204" t="s">
        <v>4167</v>
      </c>
    </row>
    <row r="5" spans="1:21" ht="13.5" customHeight="1" thickBot="1" x14ac:dyDescent="0.25">
      <c r="C5" s="14" t="s">
        <v>4155</v>
      </c>
      <c r="H5" s="204" t="s">
        <v>4164</v>
      </c>
    </row>
    <row r="6" spans="1:21" s="13" customFormat="1" ht="34.5" customHeight="1" thickBot="1" x14ac:dyDescent="0.25">
      <c r="A6" s="1" t="s">
        <v>3572</v>
      </c>
      <c r="B6" s="1" t="s">
        <v>3368</v>
      </c>
      <c r="C6" s="1" t="s">
        <v>3369</v>
      </c>
      <c r="D6" s="1" t="s">
        <v>634</v>
      </c>
      <c r="E6" s="1" t="s">
        <v>633</v>
      </c>
      <c r="F6" s="1" t="s">
        <v>1103</v>
      </c>
      <c r="G6" s="196" t="s">
        <v>635</v>
      </c>
      <c r="H6" s="1" t="s">
        <v>3371</v>
      </c>
      <c r="I6" s="1" t="s">
        <v>859</v>
      </c>
      <c r="J6" s="1"/>
      <c r="K6" s="1" t="s">
        <v>862</v>
      </c>
      <c r="L6" s="1" t="s">
        <v>635</v>
      </c>
      <c r="M6" s="15" t="s">
        <v>4165</v>
      </c>
      <c r="N6" s="15" t="s">
        <v>4166</v>
      </c>
      <c r="O6" s="83" t="s">
        <v>4152</v>
      </c>
      <c r="P6" s="496" t="s">
        <v>635</v>
      </c>
      <c r="Q6" s="83" t="s">
        <v>4171</v>
      </c>
      <c r="R6" s="496" t="s">
        <v>635</v>
      </c>
      <c r="S6" s="83" t="s">
        <v>4153</v>
      </c>
      <c r="T6" s="496" t="s">
        <v>635</v>
      </c>
      <c r="U6" s="458" t="s">
        <v>860</v>
      </c>
    </row>
    <row r="7" spans="1:21" ht="12.75" customHeight="1" x14ac:dyDescent="0.2">
      <c r="A7" s="484" t="s">
        <v>3528</v>
      </c>
      <c r="B7" s="460" t="s">
        <v>3372</v>
      </c>
      <c r="C7" s="460" t="s">
        <v>3373</v>
      </c>
      <c r="D7" s="173">
        <f>INDEX('Base MFF calcs'!$I$7:$I$258,MATCH($B7,'Base MFF calcs'!$B$7:$B$258,0),1)</f>
        <v>0.98254958801800263</v>
      </c>
      <c r="E7" s="461">
        <f ca="1">D7/MIN('Base MFF calcs'!$I$7:$I$258)</f>
        <v>1.0606969573389764</v>
      </c>
      <c r="F7" s="461">
        <v>1.060697</v>
      </c>
      <c r="G7" s="510">
        <f t="shared" ref="G7:G18" ca="1" si="0">IF(F7="",0,E7/F7-1)</f>
        <v>-4.0219802266427962E-8</v>
      </c>
      <c r="H7" s="173">
        <f t="shared" ref="H7:H18" ca="1" si="1">IF(ISERR(G7),E7,IF(G7&gt;2%,F7*1.02,IF(G7&lt;-2%,F7*0.98,E7)))</f>
        <v>1.0606969573389764</v>
      </c>
      <c r="I7" s="500">
        <v>1.060697</v>
      </c>
      <c r="J7" s="177"/>
      <c r="K7" s="173">
        <f t="shared" ref="K7:K18" ca="1" si="2">IF(LEFT(U7,6)="Merged","Merged",E7)</f>
        <v>1.0606969573389764</v>
      </c>
      <c r="L7" s="508">
        <f t="shared" ref="L7:L18" ca="1" si="3">IF(K7="Merged","N/A",K7/H7-1)</f>
        <v>0</v>
      </c>
      <c r="M7" s="173">
        <f t="shared" ref="M7:M18" ca="1" si="4">IF(L7="N/A",K7,IF(L7&gt;2%,1.02*H7,IF(L7&lt;-2%,0.98*H7,K7)))</f>
        <v>1.0606969573389764</v>
      </c>
      <c r="N7" s="173">
        <f ca="1">IF(SUMIFS('Merged Trusts and MFF year'!$C$1:$C$24,'Merged Trusts and MFF year'!$A$1:$A$24,$B7,'Merged Trusts and MFF year'!$D$1:$D$24,"2013-14")=0,M7,SUMIFS('Merged Trusts and MFF year'!$C$1:$C$24,'Merged Trusts and MFF year'!$A$1:$A$24,$B7,'Merged Trusts and MFF year'!$D$1:$D$24,"2013-14"))</f>
        <v>1.0606969573389764</v>
      </c>
      <c r="O7" s="497">
        <f ca="1">IF(SUMIFS('Merged Trusts and MFF year'!$C$1:$C$24,'Merged Trusts and MFF year'!$A$1:$A$24,$B7,'Merged Trusts and MFF year'!$D$1:$D$24,"2014-15")=0,N7,SUMIFS('Merged Trusts and MFF year'!$C$1:$C$24,'Merged Trusts and MFF year'!$A$1:$A$24,$B7,'Merged Trusts and MFF year'!$D$1:$D$24,"2014-15"))</f>
        <v>1.0606969573389764</v>
      </c>
      <c r="P7" s="504">
        <f t="shared" ref="P7:P70" ca="1" si="5">IF(OR(O7="Merged",N7=""),"N/A",O7/N7-1)</f>
        <v>0</v>
      </c>
      <c r="Q7" s="497">
        <f ca="1">IF(SUMIFS('Merged Trusts and MFF year'!$C$1:$C$24,'Merged Trusts and MFF year'!$A$1:$A$24,$B7,'Merged Trusts and MFF year'!$D$1:$D$24,"2015-16")=0,O7,SUMIFS('Merged Trusts and MFF year'!$C$1:$C$24,'Merged Trusts and MFF year'!$A$1:$A$24,$B7,'Merged Trusts and MFF year'!$D$1:$D$24,"2015-16"))</f>
        <v>1.0606969573389764</v>
      </c>
      <c r="R7" s="504">
        <f t="shared" ref="R7:R70" ca="1" si="6">IF(OR(Q7="Merged",O7=""),"N/A",Q7/O7-1)</f>
        <v>0</v>
      </c>
      <c r="S7" s="497">
        <f ca="1">IF(SUMIFS('Merged Trusts and MFF year'!$C$1:$C$24,'Merged Trusts and MFF year'!$A$1:$A$24,$B7,'Merged Trusts and MFF year'!$D$1:$D$24,"2016-17")=0,Q7,SUMIFS('Merged Trusts and MFF year'!$C$1:$C$24,'Merged Trusts and MFF year'!$A$1:$A$24,$B7,'Merged Trusts and MFF year'!$D$1:$D$24,"2016-17"))</f>
        <v>1.0606969573389764</v>
      </c>
      <c r="T7" s="504">
        <f t="shared" ref="T7:T70" ca="1" si="7">IF(OR(S7="Merged",Q7=""),"N/A",S7/Q7-1)</f>
        <v>0</v>
      </c>
      <c r="U7" s="462"/>
    </row>
    <row r="8" spans="1:21" ht="12.75" customHeight="1" x14ac:dyDescent="0.2">
      <c r="A8" s="171" t="s">
        <v>2975</v>
      </c>
      <c r="B8" s="172" t="s">
        <v>3376</v>
      </c>
      <c r="C8" s="463" t="s">
        <v>1311</v>
      </c>
      <c r="D8" s="174">
        <f>INDEX('Base MFF calcs'!$I$7:$I$258,MATCH($B8,'Base MFF calcs'!$B$7:$B$258,0),1)</f>
        <v>0.96856053444907331</v>
      </c>
      <c r="E8" s="176">
        <f ca="1">D8/MIN('Base MFF calcs'!$I$7:$I$258)</f>
        <v>1.0455952802963482</v>
      </c>
      <c r="F8" s="176">
        <v>1.0455950000000001</v>
      </c>
      <c r="G8" s="511">
        <f t="shared" ca="1" si="0"/>
        <v>2.6807353536995038E-7</v>
      </c>
      <c r="H8" s="174">
        <f t="shared" ca="1" si="1"/>
        <v>1.0455952802963482</v>
      </c>
      <c r="I8" s="501">
        <v>1.0455950000000001</v>
      </c>
      <c r="J8" s="177"/>
      <c r="K8" s="173">
        <f t="shared" ca="1" si="2"/>
        <v>1.0455952802963482</v>
      </c>
      <c r="L8" s="508">
        <f t="shared" ca="1" si="3"/>
        <v>0</v>
      </c>
      <c r="M8" s="174">
        <f t="shared" ca="1" si="4"/>
        <v>1.0455952802963482</v>
      </c>
      <c r="N8" s="174">
        <f ca="1">IF(SUMIFS('Merged Trusts and MFF year'!$C$1:$C$24,'Merged Trusts and MFF year'!$A$1:$A$24,$B8,'Merged Trusts and MFF year'!$D$1:$D$24,"2013-14")=0,M8,SUMIFS('Merged Trusts and MFF year'!$C$1:$C$24,'Merged Trusts and MFF year'!$A$1:$A$24,$B8,'Merged Trusts and MFF year'!$D$1:$D$24,"2013-14"))</f>
        <v>1.0455952802963482</v>
      </c>
      <c r="O8" s="498">
        <f ca="1">IF(SUMIFS('Merged Trusts and MFF year'!$C$1:$C$24,'Merged Trusts and MFF year'!$A$1:$A$24,$B8,'Merged Trusts and MFF year'!$D$1:$D$24,"2014-15")=0,N8,SUMIFS('Merged Trusts and MFF year'!$C$1:$C$24,'Merged Trusts and MFF year'!$A$1:$A$24,$B8,'Merged Trusts and MFF year'!$D$1:$D$24,"2014-15"))</f>
        <v>1.0455952802963482</v>
      </c>
      <c r="P8" s="504">
        <f t="shared" ca="1" si="5"/>
        <v>0</v>
      </c>
      <c r="Q8" s="498">
        <f ca="1">IF(SUMIFS('Merged Trusts and MFF year'!$C$1:$C$24,'Merged Trusts and MFF year'!$A$1:$A$24,$B8,'Merged Trusts and MFF year'!$D$1:$D$24,"2015-16")=0,O8,SUMIFS('Merged Trusts and MFF year'!$C$1:$C$24,'Merged Trusts and MFF year'!$A$1:$A$24,$B8,'Merged Trusts and MFF year'!$D$1:$D$24,"2015-16"))</f>
        <v>1.0455952802963482</v>
      </c>
      <c r="R8" s="504">
        <f t="shared" ca="1" si="6"/>
        <v>0</v>
      </c>
      <c r="S8" s="498">
        <f ca="1">IF(SUMIFS('Merged Trusts and MFF year'!$C$1:$C$24,'Merged Trusts and MFF year'!$A$1:$A$24,$B8,'Merged Trusts and MFF year'!$D$1:$D$24,"2016-17")=0,Q8,SUMIFS('Merged Trusts and MFF year'!$C$1:$C$24,'Merged Trusts and MFF year'!$A$1:$A$24,$B8,'Merged Trusts and MFF year'!$D$1:$D$24,"2016-17"))</f>
        <v>1.0455952802963482</v>
      </c>
      <c r="T8" s="504">
        <f t="shared" ca="1" si="7"/>
        <v>0</v>
      </c>
      <c r="U8" s="464"/>
    </row>
    <row r="9" spans="1:21" ht="12.75" customHeight="1" x14ac:dyDescent="0.2">
      <c r="A9" s="171" t="s">
        <v>2975</v>
      </c>
      <c r="B9" s="172" t="s">
        <v>3378</v>
      </c>
      <c r="C9" s="172" t="s">
        <v>3379</v>
      </c>
      <c r="D9" s="174">
        <f>INDEX('Base MFF calcs'!$I$7:$I$258,MATCH($B9,'Base MFF calcs'!$B$7:$B$258,0),1)</f>
        <v>0.96219151839255734</v>
      </c>
      <c r="E9" s="176">
        <f ca="1">D9/MIN('Base MFF calcs'!$I$7:$I$258)</f>
        <v>1.0387197026819734</v>
      </c>
      <c r="F9" s="176">
        <v>1.0387200000000001</v>
      </c>
      <c r="G9" s="511">
        <f t="shared" ca="1" si="0"/>
        <v>-2.8623500714086703E-7</v>
      </c>
      <c r="H9" s="174">
        <f t="shared" ca="1" si="1"/>
        <v>1.0387197026819734</v>
      </c>
      <c r="I9" s="501">
        <v>1.0387199999999999</v>
      </c>
      <c r="J9" s="177"/>
      <c r="K9" s="173">
        <f t="shared" ca="1" si="2"/>
        <v>1.0387197026819734</v>
      </c>
      <c r="L9" s="508">
        <f t="shared" ca="1" si="3"/>
        <v>0</v>
      </c>
      <c r="M9" s="174">
        <f t="shared" ca="1" si="4"/>
        <v>1.0387197026819734</v>
      </c>
      <c r="N9" s="174">
        <f ca="1">IF(SUMIFS('Merged Trusts and MFF year'!$C$1:$C$24,'Merged Trusts and MFF year'!$A$1:$A$24,$B9,'Merged Trusts and MFF year'!$D$1:$D$24,"2013-14")=0,M9,SUMIFS('Merged Trusts and MFF year'!$C$1:$C$24,'Merged Trusts and MFF year'!$A$1:$A$24,$B9,'Merged Trusts and MFF year'!$D$1:$D$24,"2013-14"))</f>
        <v>1.0387197026819734</v>
      </c>
      <c r="O9" s="498">
        <f ca="1">IF(SUMIFS('Merged Trusts and MFF year'!$C$1:$C$24,'Merged Trusts and MFF year'!$A$1:$A$24,$B9,'Merged Trusts and MFF year'!$D$1:$D$24,"2014-15")=0,N9,SUMIFS('Merged Trusts and MFF year'!$C$1:$C$24,'Merged Trusts and MFF year'!$A$1:$A$24,$B9,'Merged Trusts and MFF year'!$D$1:$D$24,"2014-15"))</f>
        <v>1.0387197026819734</v>
      </c>
      <c r="P9" s="504">
        <f t="shared" ca="1" si="5"/>
        <v>0</v>
      </c>
      <c r="Q9" s="498">
        <f ca="1">IF(SUMIFS('Merged Trusts and MFF year'!$C$1:$C$24,'Merged Trusts and MFF year'!$A$1:$A$24,$B9,'Merged Trusts and MFF year'!$D$1:$D$24,"2015-16")=0,O9,SUMIFS('Merged Trusts and MFF year'!$C$1:$C$24,'Merged Trusts and MFF year'!$A$1:$A$24,$B9,'Merged Trusts and MFF year'!$D$1:$D$24,"2015-16"))</f>
        <v>1.0387197026819734</v>
      </c>
      <c r="R9" s="504">
        <f t="shared" ca="1" si="6"/>
        <v>0</v>
      </c>
      <c r="S9" s="498">
        <f ca="1">IF(SUMIFS('Merged Trusts and MFF year'!$C$1:$C$24,'Merged Trusts and MFF year'!$A$1:$A$24,$B9,'Merged Trusts and MFF year'!$D$1:$D$24,"2016-17")=0,Q9,SUMIFS('Merged Trusts and MFF year'!$C$1:$C$24,'Merged Trusts and MFF year'!$A$1:$A$24,$B9,'Merged Trusts and MFF year'!$D$1:$D$24,"2016-17"))</f>
        <v>1.0387197026819734</v>
      </c>
      <c r="T9" s="504">
        <f t="shared" ca="1" si="7"/>
        <v>0</v>
      </c>
      <c r="U9" s="459"/>
    </row>
    <row r="10" spans="1:21" ht="12.75" customHeight="1" x14ac:dyDescent="0.2">
      <c r="A10" s="171" t="s">
        <v>3034</v>
      </c>
      <c r="B10" s="172" t="s">
        <v>3380</v>
      </c>
      <c r="C10" s="172" t="s">
        <v>1290</v>
      </c>
      <c r="D10" s="174">
        <f>INDEX('Base MFF calcs'!$I$7:$I$258,MATCH($B10,'Base MFF calcs'!$B$7:$B$258,0),1)</f>
        <v>0.9545433737684843</v>
      </c>
      <c r="E10" s="176">
        <f ca="1">D10/MIN('Base MFF calcs'!$I$7:$I$258)</f>
        <v>1.0304632606347004</v>
      </c>
      <c r="F10" s="176">
        <v>1.0304629999999999</v>
      </c>
      <c r="G10" s="511">
        <f t="shared" ca="1" si="0"/>
        <v>2.5292970295964778E-7</v>
      </c>
      <c r="H10" s="174">
        <f t="shared" ca="1" si="1"/>
        <v>1.0304632606347004</v>
      </c>
      <c r="I10" s="501">
        <v>1.0304629999999999</v>
      </c>
      <c r="J10" s="177"/>
      <c r="K10" s="173">
        <f t="shared" ca="1" si="2"/>
        <v>1.0304632606347004</v>
      </c>
      <c r="L10" s="508">
        <f t="shared" ca="1" si="3"/>
        <v>0</v>
      </c>
      <c r="M10" s="174">
        <f t="shared" ca="1" si="4"/>
        <v>1.0304632606347004</v>
      </c>
      <c r="N10" s="174">
        <f ca="1">IF(SUMIFS('Merged Trusts and MFF year'!$C$1:$C$24,'Merged Trusts and MFF year'!$A$1:$A$24,$B10,'Merged Trusts and MFF year'!$D$1:$D$24,"2013-14")=0,M10,SUMIFS('Merged Trusts and MFF year'!$C$1:$C$24,'Merged Trusts and MFF year'!$A$1:$A$24,$B10,'Merged Trusts and MFF year'!$D$1:$D$24,"2013-14"))</f>
        <v>1.0304632606347004</v>
      </c>
      <c r="O10" s="498">
        <f ca="1">IF(SUMIFS('Merged Trusts and MFF year'!$C$1:$C$24,'Merged Trusts and MFF year'!$A$1:$A$24,$B10,'Merged Trusts and MFF year'!$D$1:$D$24,"2014-15")=0,N10,SUMIFS('Merged Trusts and MFF year'!$C$1:$C$24,'Merged Trusts and MFF year'!$A$1:$A$24,$B10,'Merged Trusts and MFF year'!$D$1:$D$24,"2014-15"))</f>
        <v>1.0304632606347004</v>
      </c>
      <c r="P10" s="504">
        <f t="shared" ca="1" si="5"/>
        <v>0</v>
      </c>
      <c r="Q10" s="498">
        <f ca="1">IF(SUMIFS('Merged Trusts and MFF year'!$C$1:$C$24,'Merged Trusts and MFF year'!$A$1:$A$24,$B10,'Merged Trusts and MFF year'!$D$1:$D$24,"2015-16")=0,O10,SUMIFS('Merged Trusts and MFF year'!$C$1:$C$24,'Merged Trusts and MFF year'!$A$1:$A$24,$B10,'Merged Trusts and MFF year'!$D$1:$D$24,"2015-16"))</f>
        <v>1.0304632606347004</v>
      </c>
      <c r="R10" s="504">
        <f t="shared" ca="1" si="6"/>
        <v>0</v>
      </c>
      <c r="S10" s="498">
        <f ca="1">IF(SUMIFS('Merged Trusts and MFF year'!$C$1:$C$24,'Merged Trusts and MFF year'!$A$1:$A$24,$B10,'Merged Trusts and MFF year'!$D$1:$D$24,"2016-17")=0,Q10,SUMIFS('Merged Trusts and MFF year'!$C$1:$C$24,'Merged Trusts and MFF year'!$A$1:$A$24,$B10,'Merged Trusts and MFF year'!$D$1:$D$24,"2016-17"))</f>
        <v>1.0304632606347004</v>
      </c>
      <c r="T10" s="504">
        <f t="shared" ca="1" si="7"/>
        <v>0</v>
      </c>
      <c r="U10" s="464"/>
    </row>
    <row r="11" spans="1:21" ht="12.75" customHeight="1" x14ac:dyDescent="0.2">
      <c r="A11" s="171" t="s">
        <v>2975</v>
      </c>
      <c r="B11" s="172" t="s">
        <v>3382</v>
      </c>
      <c r="C11" s="172" t="s">
        <v>3383</v>
      </c>
      <c r="D11" s="174">
        <f>INDEX('Base MFF calcs'!$I$7:$I$258,MATCH($B11,'Base MFF calcs'!$B$7:$B$258,0),1)</f>
        <v>0.96325014368905904</v>
      </c>
      <c r="E11" s="176">
        <f ca="1">D11/MIN('Base MFF calcs'!$I$7:$I$258)</f>
        <v>1.0398625260515568</v>
      </c>
      <c r="F11" s="176">
        <v>1.039863</v>
      </c>
      <c r="G11" s="511">
        <f t="shared" ca="1" si="0"/>
        <v>-4.5577969709498234E-7</v>
      </c>
      <c r="H11" s="174">
        <f t="shared" ca="1" si="1"/>
        <v>1.0398625260515568</v>
      </c>
      <c r="I11" s="501">
        <v>1.039863</v>
      </c>
      <c r="J11" s="177"/>
      <c r="K11" s="173">
        <f t="shared" ca="1" si="2"/>
        <v>1.0398625260515568</v>
      </c>
      <c r="L11" s="508">
        <f t="shared" ca="1" si="3"/>
        <v>0</v>
      </c>
      <c r="M11" s="174">
        <f t="shared" ca="1" si="4"/>
        <v>1.0398625260515568</v>
      </c>
      <c r="N11" s="174">
        <f ca="1">IF(SUMIFS('Merged Trusts and MFF year'!$C$1:$C$24,'Merged Trusts and MFF year'!$A$1:$A$24,$B11,'Merged Trusts and MFF year'!$D$1:$D$24,"2013-14")=0,M11,SUMIFS('Merged Trusts and MFF year'!$C$1:$C$24,'Merged Trusts and MFF year'!$A$1:$A$24,$B11,'Merged Trusts and MFF year'!$D$1:$D$24,"2013-14"))</f>
        <v>1.0398625260515568</v>
      </c>
      <c r="O11" s="498">
        <f ca="1">IF(SUMIFS('Merged Trusts and MFF year'!$C$1:$C$24,'Merged Trusts and MFF year'!$A$1:$A$24,$B11,'Merged Trusts and MFF year'!$D$1:$D$24,"2014-15")=0,N11,SUMIFS('Merged Trusts and MFF year'!$C$1:$C$24,'Merged Trusts and MFF year'!$A$1:$A$24,$B11,'Merged Trusts and MFF year'!$D$1:$D$24,"2014-15"))</f>
        <v>1.0398625260515568</v>
      </c>
      <c r="P11" s="504">
        <f t="shared" ca="1" si="5"/>
        <v>0</v>
      </c>
      <c r="Q11" s="498">
        <f ca="1">IF(SUMIFS('Merged Trusts and MFF year'!$C$1:$C$24,'Merged Trusts and MFF year'!$A$1:$A$24,$B11,'Merged Trusts and MFF year'!$D$1:$D$24,"2015-16")=0,O11,SUMIFS('Merged Trusts and MFF year'!$C$1:$C$24,'Merged Trusts and MFF year'!$A$1:$A$24,$B11,'Merged Trusts and MFF year'!$D$1:$D$24,"2015-16"))</f>
        <v>1.0398625260515568</v>
      </c>
      <c r="R11" s="504">
        <f t="shared" ca="1" si="6"/>
        <v>0</v>
      </c>
      <c r="S11" s="498">
        <f ca="1">IF(SUMIFS('Merged Trusts and MFF year'!$C$1:$C$24,'Merged Trusts and MFF year'!$A$1:$A$24,$B11,'Merged Trusts and MFF year'!$D$1:$D$24,"2016-17")=0,Q11,SUMIFS('Merged Trusts and MFF year'!$C$1:$C$24,'Merged Trusts and MFF year'!$A$1:$A$24,$B11,'Merged Trusts and MFF year'!$D$1:$D$24,"2016-17"))</f>
        <v>1.0398625260515568</v>
      </c>
      <c r="T11" s="504">
        <f t="shared" ca="1" si="7"/>
        <v>0</v>
      </c>
      <c r="U11" s="459"/>
    </row>
    <row r="12" spans="1:21" ht="12.75" customHeight="1" x14ac:dyDescent="0.2">
      <c r="A12" s="171" t="s">
        <v>3496</v>
      </c>
      <c r="B12" s="172" t="s">
        <v>3384</v>
      </c>
      <c r="C12" s="463" t="s">
        <v>1308</v>
      </c>
      <c r="D12" s="174">
        <f>INDEX('Base MFF calcs'!$I$7:$I$258,MATCH($B12,'Base MFF calcs'!$B$7:$B$258,0),1)</f>
        <v>1.0837973052873568</v>
      </c>
      <c r="E12" s="176">
        <f ca="1">D12/MIN('Base MFF calcs'!$I$7:$I$258)</f>
        <v>1.1699974414618737</v>
      </c>
      <c r="F12" s="176">
        <v>1.169997</v>
      </c>
      <c r="G12" s="511">
        <f t="shared" ca="1" si="0"/>
        <v>3.7731880819791286E-7</v>
      </c>
      <c r="H12" s="174">
        <f t="shared" ca="1" si="1"/>
        <v>1.1699974414618737</v>
      </c>
      <c r="I12" s="501">
        <v>1.169997</v>
      </c>
      <c r="J12" s="177"/>
      <c r="K12" s="173">
        <f t="shared" ca="1" si="2"/>
        <v>1.1699974414618737</v>
      </c>
      <c r="L12" s="508">
        <f t="shared" ca="1" si="3"/>
        <v>0</v>
      </c>
      <c r="M12" s="174">
        <f t="shared" ca="1" si="4"/>
        <v>1.1699974414618737</v>
      </c>
      <c r="N12" s="174">
        <f ca="1">IF(SUMIFS('Merged Trusts and MFF year'!$C$1:$C$24,'Merged Trusts and MFF year'!$A$1:$A$24,$B12,'Merged Trusts and MFF year'!$D$1:$D$24,"2013-14")=0,M12,SUMIFS('Merged Trusts and MFF year'!$C$1:$C$24,'Merged Trusts and MFF year'!$A$1:$A$24,$B12,'Merged Trusts and MFF year'!$D$1:$D$24,"2013-14"))</f>
        <v>1.1699974414618737</v>
      </c>
      <c r="O12" s="498">
        <f ca="1">IF(SUMIFS('Merged Trusts and MFF year'!$C$1:$C$24,'Merged Trusts and MFF year'!$A$1:$A$24,$B12,'Merged Trusts and MFF year'!$D$1:$D$24,"2014-15")=0,N12,SUMIFS('Merged Trusts and MFF year'!$C$1:$C$24,'Merged Trusts and MFF year'!$A$1:$A$24,$B12,'Merged Trusts and MFF year'!$D$1:$D$24,"2014-15"))</f>
        <v>1.1699974414618737</v>
      </c>
      <c r="P12" s="504">
        <f t="shared" ca="1" si="5"/>
        <v>0</v>
      </c>
      <c r="Q12" s="498">
        <f ca="1">IF(SUMIFS('Merged Trusts and MFF year'!$C$1:$C$24,'Merged Trusts and MFF year'!$A$1:$A$24,$B12,'Merged Trusts and MFF year'!$D$1:$D$24,"2015-16")=0,O12,SUMIFS('Merged Trusts and MFF year'!$C$1:$C$24,'Merged Trusts and MFF year'!$A$1:$A$24,$B12,'Merged Trusts and MFF year'!$D$1:$D$24,"2015-16"))</f>
        <v>1.1699974414618737</v>
      </c>
      <c r="R12" s="504">
        <f t="shared" ca="1" si="6"/>
        <v>0</v>
      </c>
      <c r="S12" s="498">
        <f ca="1">IF(SUMIFS('Merged Trusts and MFF year'!$C$1:$C$24,'Merged Trusts and MFF year'!$A$1:$A$24,$B12,'Merged Trusts and MFF year'!$D$1:$D$24,"2016-17")=0,Q12,SUMIFS('Merged Trusts and MFF year'!$C$1:$C$24,'Merged Trusts and MFF year'!$A$1:$A$24,$B12,'Merged Trusts and MFF year'!$D$1:$D$24,"2016-17"))</f>
        <v>1.1699974414618737</v>
      </c>
      <c r="T12" s="504">
        <f t="shared" ca="1" si="7"/>
        <v>0</v>
      </c>
      <c r="U12" s="464"/>
    </row>
    <row r="13" spans="1:21" ht="12.75" customHeight="1" x14ac:dyDescent="0.2">
      <c r="A13" s="171" t="s">
        <v>3528</v>
      </c>
      <c r="B13" s="172" t="s">
        <v>3386</v>
      </c>
      <c r="C13" s="172" t="s">
        <v>3387</v>
      </c>
      <c r="D13" s="174">
        <f>INDEX('Base MFF calcs'!$I$7:$I$258,MATCH($B13,'Base MFF calcs'!$B$7:$B$258,0),1)</f>
        <v>0.99553875469986242</v>
      </c>
      <c r="E13" s="176">
        <f ca="1">D13/MIN('Base MFF calcs'!$I$7:$I$258)</f>
        <v>1.074719221198055</v>
      </c>
      <c r="F13" s="176">
        <v>1.074719</v>
      </c>
      <c r="G13" s="511">
        <f t="shared" ca="1" si="0"/>
        <v>2.058194328302676E-7</v>
      </c>
      <c r="H13" s="174">
        <f t="shared" ca="1" si="1"/>
        <v>1.074719221198055</v>
      </c>
      <c r="I13" s="501">
        <v>1.074719</v>
      </c>
      <c r="J13" s="177"/>
      <c r="K13" s="173">
        <f t="shared" ca="1" si="2"/>
        <v>1.074719221198055</v>
      </c>
      <c r="L13" s="508">
        <f t="shared" ca="1" si="3"/>
        <v>0</v>
      </c>
      <c r="M13" s="174">
        <f t="shared" ca="1" si="4"/>
        <v>1.074719221198055</v>
      </c>
      <c r="N13" s="174">
        <f ca="1">IF(SUMIFS('Merged Trusts and MFF year'!$C$1:$C$24,'Merged Trusts and MFF year'!$A$1:$A$24,$B13,'Merged Trusts and MFF year'!$D$1:$D$24,"2013-14")=0,M13,SUMIFS('Merged Trusts and MFF year'!$C$1:$C$24,'Merged Trusts and MFF year'!$A$1:$A$24,$B13,'Merged Trusts and MFF year'!$D$1:$D$24,"2013-14"))</f>
        <v>1.074719221198055</v>
      </c>
      <c r="O13" s="498">
        <f ca="1">IF(SUMIFS('Merged Trusts and MFF year'!$C$1:$C$24,'Merged Trusts and MFF year'!$A$1:$A$24,$B13,'Merged Trusts and MFF year'!$D$1:$D$24,"2014-15")=0,N13,SUMIFS('Merged Trusts and MFF year'!$C$1:$C$24,'Merged Trusts and MFF year'!$A$1:$A$24,$B13,'Merged Trusts and MFF year'!$D$1:$D$24,"2014-15"))</f>
        <v>1.074719221198055</v>
      </c>
      <c r="P13" s="504">
        <f t="shared" ca="1" si="5"/>
        <v>0</v>
      </c>
      <c r="Q13" s="498">
        <f ca="1">IF(SUMIFS('Merged Trusts and MFF year'!$C$1:$C$24,'Merged Trusts and MFF year'!$A$1:$A$24,$B13,'Merged Trusts and MFF year'!$D$1:$D$24,"2015-16")=0,O13,SUMIFS('Merged Trusts and MFF year'!$C$1:$C$24,'Merged Trusts and MFF year'!$A$1:$A$24,$B13,'Merged Trusts and MFF year'!$D$1:$D$24,"2015-16"))</f>
        <v>1.074719221198055</v>
      </c>
      <c r="R13" s="504">
        <f t="shared" ca="1" si="6"/>
        <v>0</v>
      </c>
      <c r="S13" s="498">
        <f ca="1">IF(SUMIFS('Merged Trusts and MFF year'!$C$1:$C$24,'Merged Trusts and MFF year'!$A$1:$A$24,$B13,'Merged Trusts and MFF year'!$D$1:$D$24,"2016-17")=0,Q13,SUMIFS('Merged Trusts and MFF year'!$C$1:$C$24,'Merged Trusts and MFF year'!$A$1:$A$24,$B13,'Merged Trusts and MFF year'!$D$1:$D$24,"2016-17"))</f>
        <v>1.074719221198055</v>
      </c>
      <c r="T13" s="504">
        <f t="shared" ca="1" si="7"/>
        <v>0</v>
      </c>
      <c r="U13" s="459"/>
    </row>
    <row r="14" spans="1:21" ht="12.75" customHeight="1" x14ac:dyDescent="0.2">
      <c r="A14" s="171" t="s">
        <v>1167</v>
      </c>
      <c r="B14" s="172" t="s">
        <v>3388</v>
      </c>
      <c r="C14" s="172" t="s">
        <v>3389</v>
      </c>
      <c r="D14" s="175">
        <f>INDEX('Base MFF calcs'!$I$7:$I$258,MATCH($B14,'Base MFF calcs'!$B$7:$B$258,0),1)</f>
        <v>1.0878710502598095</v>
      </c>
      <c r="E14" s="176">
        <f ca="1">D14/MIN('Base MFF calcs'!$I$7:$I$258)</f>
        <v>1.1743951929341141</v>
      </c>
      <c r="F14" s="176">
        <v>1.1743950000000001</v>
      </c>
      <c r="G14" s="511">
        <f t="shared" ca="1" si="0"/>
        <v>1.642838347581943E-7</v>
      </c>
      <c r="H14" s="174">
        <f t="shared" ca="1" si="1"/>
        <v>1.1743951929341141</v>
      </c>
      <c r="I14" s="501">
        <v>1.1743949999999999</v>
      </c>
      <c r="J14" s="177"/>
      <c r="K14" s="173">
        <f t="shared" ca="1" si="2"/>
        <v>1.1743951929341141</v>
      </c>
      <c r="L14" s="508">
        <f t="shared" ca="1" si="3"/>
        <v>0</v>
      </c>
      <c r="M14" s="174">
        <f t="shared" ca="1" si="4"/>
        <v>1.1743951929341141</v>
      </c>
      <c r="N14" s="174">
        <f ca="1">IF(SUMIFS('Merged Trusts and MFF year'!$C$1:$C$24,'Merged Trusts and MFF year'!$A$1:$A$24,$B14,'Merged Trusts and MFF year'!$D$1:$D$24,"2013-14")=0,M14,SUMIFS('Merged Trusts and MFF year'!$C$1:$C$24,'Merged Trusts and MFF year'!$A$1:$A$24,$B14,'Merged Trusts and MFF year'!$D$1:$D$24,"2013-14"))</f>
        <v>1.1743951929341141</v>
      </c>
      <c r="O14" s="498">
        <f ca="1">IF(SUMIFS('Merged Trusts and MFF year'!$C$1:$C$24,'Merged Trusts and MFF year'!$A$1:$A$24,$B14,'Merged Trusts and MFF year'!$D$1:$D$24,"2014-15")=0,N14,SUMIFS('Merged Trusts and MFF year'!$C$1:$C$24,'Merged Trusts and MFF year'!$A$1:$A$24,$B14,'Merged Trusts and MFF year'!$D$1:$D$24,"2014-15"))</f>
        <v>1.1743951929341141</v>
      </c>
      <c r="P14" s="504">
        <f t="shared" ca="1" si="5"/>
        <v>0</v>
      </c>
      <c r="Q14" s="498">
        <f ca="1">IF(SUMIFS('Merged Trusts and MFF year'!$C$1:$C$24,'Merged Trusts and MFF year'!$A$1:$A$24,$B14,'Merged Trusts and MFF year'!$D$1:$D$24,"2015-16")=0,O14,SUMIFS('Merged Trusts and MFF year'!$C$1:$C$24,'Merged Trusts and MFF year'!$A$1:$A$24,$B14,'Merged Trusts and MFF year'!$D$1:$D$24,"2015-16"))</f>
        <v>1.1743951929341141</v>
      </c>
      <c r="R14" s="504">
        <f t="shared" ca="1" si="6"/>
        <v>0</v>
      </c>
      <c r="S14" s="498">
        <f ca="1">IF(SUMIFS('Merged Trusts and MFF year'!$C$1:$C$24,'Merged Trusts and MFF year'!$A$1:$A$24,$B14,'Merged Trusts and MFF year'!$D$1:$D$24,"2016-17")=0,Q14,SUMIFS('Merged Trusts and MFF year'!$C$1:$C$24,'Merged Trusts and MFF year'!$A$1:$A$24,$B14,'Merged Trusts and MFF year'!$D$1:$D$24,"2016-17"))</f>
        <v>1.1743951929341141</v>
      </c>
      <c r="T14" s="504">
        <f t="shared" ca="1" si="7"/>
        <v>0</v>
      </c>
      <c r="U14" s="459"/>
    </row>
    <row r="15" spans="1:21" ht="12.75" customHeight="1" x14ac:dyDescent="0.2">
      <c r="A15" s="171" t="s">
        <v>1167</v>
      </c>
      <c r="B15" s="172" t="s">
        <v>3224</v>
      </c>
      <c r="C15" s="172" t="s">
        <v>2262</v>
      </c>
      <c r="D15" s="175">
        <f>INDEX('Base MFF calcs'!$I$7:$I$258,MATCH($B15,'Base MFF calcs'!$B$7:$B$258,0),1)</f>
        <v>1.109072293536707</v>
      </c>
      <c r="E15" s="176">
        <f ca="1">D15/MIN('Base MFF calcs'!$I$7:$I$258)</f>
        <v>1.1972826833059451</v>
      </c>
      <c r="F15" s="176">
        <v>1.1972830000000001</v>
      </c>
      <c r="G15" s="511">
        <f t="shared" ca="1" si="0"/>
        <v>-2.6451060863852405E-7</v>
      </c>
      <c r="H15" s="174">
        <f t="shared" ca="1" si="1"/>
        <v>1.1972826833059451</v>
      </c>
      <c r="I15" s="501">
        <v>1.1972829999999999</v>
      </c>
      <c r="J15" s="177"/>
      <c r="K15" s="173">
        <f t="shared" ca="1" si="2"/>
        <v>1.1972826833059451</v>
      </c>
      <c r="L15" s="508">
        <f t="shared" ca="1" si="3"/>
        <v>0</v>
      </c>
      <c r="M15" s="174">
        <f t="shared" ca="1" si="4"/>
        <v>1.1972826833059451</v>
      </c>
      <c r="N15" s="174">
        <f ca="1">IF(SUMIFS('Merged Trusts and MFF year'!$C$1:$C$24,'Merged Trusts and MFF year'!$A$1:$A$24,$B15,'Merged Trusts and MFF year'!$D$1:$D$24,"2013-14")=0,M15,SUMIFS('Merged Trusts and MFF year'!$C$1:$C$24,'Merged Trusts and MFF year'!$A$1:$A$24,$B15,'Merged Trusts and MFF year'!$D$1:$D$24,"2013-14"))</f>
        <v>1.1972826833059451</v>
      </c>
      <c r="O15" s="498">
        <f ca="1">IF(SUMIFS('Merged Trusts and MFF year'!$C$1:$C$24,'Merged Trusts and MFF year'!$A$1:$A$24,$B15,'Merged Trusts and MFF year'!$D$1:$D$24,"2014-15")=0,N15,SUMIFS('Merged Trusts and MFF year'!$C$1:$C$24,'Merged Trusts and MFF year'!$A$1:$A$24,$B15,'Merged Trusts and MFF year'!$D$1:$D$24,"2014-15"))</f>
        <v>1.1972826833059451</v>
      </c>
      <c r="P15" s="504">
        <f t="shared" ca="1" si="5"/>
        <v>0</v>
      </c>
      <c r="Q15" s="498">
        <f ca="1">IF(SUMIFS('Merged Trusts and MFF year'!$C$1:$C$24,'Merged Trusts and MFF year'!$A$1:$A$24,$B15,'Merged Trusts and MFF year'!$D$1:$D$24,"2015-16")=0,O15,SUMIFS('Merged Trusts and MFF year'!$C$1:$C$24,'Merged Trusts and MFF year'!$A$1:$A$24,$B15,'Merged Trusts and MFF year'!$D$1:$D$24,"2015-16"))</f>
        <v>1.1972826833059451</v>
      </c>
      <c r="R15" s="504">
        <f t="shared" ca="1" si="6"/>
        <v>0</v>
      </c>
      <c r="S15" s="498">
        <f ca="1">IF(SUMIFS('Merged Trusts and MFF year'!$C$1:$C$24,'Merged Trusts and MFF year'!$A$1:$A$24,$B15,'Merged Trusts and MFF year'!$D$1:$D$24,"2016-17")=0,Q15,SUMIFS('Merged Trusts and MFF year'!$C$1:$C$24,'Merged Trusts and MFF year'!$A$1:$A$24,$B15,'Merged Trusts and MFF year'!$D$1:$D$24,"2016-17"))</f>
        <v>1.1972826833059451</v>
      </c>
      <c r="T15" s="504">
        <f t="shared" ca="1" si="7"/>
        <v>0</v>
      </c>
      <c r="U15" s="459" t="s">
        <v>4220</v>
      </c>
    </row>
    <row r="16" spans="1:21" ht="12.75" customHeight="1" x14ac:dyDescent="0.2">
      <c r="A16" s="171" t="s">
        <v>1167</v>
      </c>
      <c r="B16" s="172" t="s">
        <v>2263</v>
      </c>
      <c r="C16" s="172" t="s">
        <v>2264</v>
      </c>
      <c r="D16" s="175">
        <f>INDEX('Base MFF calcs'!$I$7:$I$258,MATCH($B16,'Base MFF calcs'!$B$7:$B$258,0),1)</f>
        <v>1.1118847404224024</v>
      </c>
      <c r="E16" s="176">
        <f ca="1">D16/MIN('Base MFF calcs'!$I$7:$I$258)</f>
        <v>1.2003188189786009</v>
      </c>
      <c r="F16" s="176">
        <v>1.2003189999999999</v>
      </c>
      <c r="G16" s="511">
        <f t="shared" ca="1" si="0"/>
        <v>-1.5081107518355452E-7</v>
      </c>
      <c r="H16" s="174">
        <f t="shared" ca="1" si="1"/>
        <v>1.2003188189786009</v>
      </c>
      <c r="I16" s="501">
        <v>1.2003189999999999</v>
      </c>
      <c r="J16" s="177"/>
      <c r="K16" s="173">
        <f t="shared" ca="1" si="2"/>
        <v>1.2003188189786009</v>
      </c>
      <c r="L16" s="508">
        <f t="shared" ca="1" si="3"/>
        <v>0</v>
      </c>
      <c r="M16" s="174">
        <f t="shared" ca="1" si="4"/>
        <v>1.2003188189786009</v>
      </c>
      <c r="N16" s="174">
        <f ca="1">IF(SUMIFS('Merged Trusts and MFF year'!$C$1:$C$24,'Merged Trusts and MFF year'!$A$1:$A$24,$B16,'Merged Trusts and MFF year'!$D$1:$D$24,"2013-14")=0,M16,SUMIFS('Merged Trusts and MFF year'!$C$1:$C$24,'Merged Trusts and MFF year'!$A$1:$A$24,$B16,'Merged Trusts and MFF year'!$D$1:$D$24,"2013-14"))</f>
        <v>1.2003188189786009</v>
      </c>
      <c r="O16" s="498">
        <f ca="1">IF(SUMIFS('Merged Trusts and MFF year'!$C$1:$C$24,'Merged Trusts and MFF year'!$A$1:$A$24,$B16,'Merged Trusts and MFF year'!$D$1:$D$24,"2014-15")=0,N16,SUMIFS('Merged Trusts and MFF year'!$C$1:$C$24,'Merged Trusts and MFF year'!$A$1:$A$24,$B16,'Merged Trusts and MFF year'!$D$1:$D$24,"2014-15"))</f>
        <v>1.2003188189786009</v>
      </c>
      <c r="P16" s="504">
        <f t="shared" ca="1" si="5"/>
        <v>0</v>
      </c>
      <c r="Q16" s="498">
        <f ca="1">IF(SUMIFS('Merged Trusts and MFF year'!$C$1:$C$24,'Merged Trusts and MFF year'!$A$1:$A$24,$B16,'Merged Trusts and MFF year'!$D$1:$D$24,"2015-16")=0,O16,SUMIFS('Merged Trusts and MFF year'!$C$1:$C$24,'Merged Trusts and MFF year'!$A$1:$A$24,$B16,'Merged Trusts and MFF year'!$D$1:$D$24,"2015-16"))</f>
        <v>1.2003188189786009</v>
      </c>
      <c r="R16" s="504">
        <f t="shared" ca="1" si="6"/>
        <v>0</v>
      </c>
      <c r="S16" s="498">
        <f ca="1">IF(SUMIFS('Merged Trusts and MFF year'!$C$1:$C$24,'Merged Trusts and MFF year'!$A$1:$A$24,$B16,'Merged Trusts and MFF year'!$D$1:$D$24,"2016-17")=0,Q16,SUMIFS('Merged Trusts and MFF year'!$C$1:$C$24,'Merged Trusts and MFF year'!$A$1:$A$24,$B16,'Merged Trusts and MFF year'!$D$1:$D$24,"2016-17"))</f>
        <v>1.2003188189786009</v>
      </c>
      <c r="T16" s="504">
        <f t="shared" ca="1" si="7"/>
        <v>0</v>
      </c>
      <c r="U16" s="459"/>
    </row>
    <row r="17" spans="1:21" ht="12.75" customHeight="1" x14ac:dyDescent="0.2">
      <c r="A17" s="171" t="s">
        <v>3034</v>
      </c>
      <c r="B17" s="172" t="s">
        <v>2265</v>
      </c>
      <c r="C17" s="172" t="s">
        <v>2266</v>
      </c>
      <c r="D17" s="175">
        <f>INDEX('Base MFF calcs'!$I$7:$I$258,MATCH($B17,'Base MFF calcs'!$B$7:$B$258,0),1)</f>
        <v>0.9562710080658503</v>
      </c>
      <c r="E17" s="176">
        <f ca="1">D17/MIN('Base MFF calcs'!$I$7:$I$258)</f>
        <v>1.032328302832018</v>
      </c>
      <c r="F17" s="176">
        <v>1.0323279999999999</v>
      </c>
      <c r="G17" s="511">
        <f t="shared" ca="1" si="0"/>
        <v>2.933486431544452E-7</v>
      </c>
      <c r="H17" s="174">
        <f t="shared" ca="1" si="1"/>
        <v>1.032328302832018</v>
      </c>
      <c r="I17" s="501">
        <v>1.0323279999999999</v>
      </c>
      <c r="J17" s="177"/>
      <c r="K17" s="173">
        <f t="shared" ca="1" si="2"/>
        <v>1.032328302832018</v>
      </c>
      <c r="L17" s="508">
        <f t="shared" ca="1" si="3"/>
        <v>0</v>
      </c>
      <c r="M17" s="174">
        <f t="shared" ca="1" si="4"/>
        <v>1.032328302832018</v>
      </c>
      <c r="N17" s="174">
        <f ca="1">IF(SUMIFS('Merged Trusts and MFF year'!$C$1:$C$24,'Merged Trusts and MFF year'!$A$1:$A$24,$B17,'Merged Trusts and MFF year'!$D$1:$D$24,"2013-14")=0,M17,SUMIFS('Merged Trusts and MFF year'!$C$1:$C$24,'Merged Trusts and MFF year'!$A$1:$A$24,$B17,'Merged Trusts and MFF year'!$D$1:$D$24,"2013-14"))</f>
        <v>1.032328302832018</v>
      </c>
      <c r="O17" s="498">
        <f ca="1">IF(SUMIFS('Merged Trusts and MFF year'!$C$1:$C$24,'Merged Trusts and MFF year'!$A$1:$A$24,$B17,'Merged Trusts and MFF year'!$D$1:$D$24,"2014-15")=0,N17,SUMIFS('Merged Trusts and MFF year'!$C$1:$C$24,'Merged Trusts and MFF year'!$A$1:$A$24,$B17,'Merged Trusts and MFF year'!$D$1:$D$24,"2014-15"))</f>
        <v>1.032328302832018</v>
      </c>
      <c r="P17" s="504">
        <f t="shared" ca="1" si="5"/>
        <v>0</v>
      </c>
      <c r="Q17" s="498">
        <f ca="1">IF(SUMIFS('Merged Trusts and MFF year'!$C$1:$C$24,'Merged Trusts and MFF year'!$A$1:$A$24,$B17,'Merged Trusts and MFF year'!$D$1:$D$24,"2015-16")=0,O17,SUMIFS('Merged Trusts and MFF year'!$C$1:$C$24,'Merged Trusts and MFF year'!$A$1:$A$24,$B17,'Merged Trusts and MFF year'!$D$1:$D$24,"2015-16"))</f>
        <v>1.032328302832018</v>
      </c>
      <c r="R17" s="504">
        <f t="shared" ca="1" si="6"/>
        <v>0</v>
      </c>
      <c r="S17" s="498">
        <f ca="1">IF(SUMIFS('Merged Trusts and MFF year'!$C$1:$C$24,'Merged Trusts and MFF year'!$A$1:$A$24,$B17,'Merged Trusts and MFF year'!$D$1:$D$24,"2016-17")=0,Q17,SUMIFS('Merged Trusts and MFF year'!$C$1:$C$24,'Merged Trusts and MFF year'!$A$1:$A$24,$B17,'Merged Trusts and MFF year'!$D$1:$D$24,"2016-17"))</f>
        <v>1.032328302832018</v>
      </c>
      <c r="T17" s="504">
        <f t="shared" ca="1" si="7"/>
        <v>0</v>
      </c>
      <c r="U17" s="459"/>
    </row>
    <row r="18" spans="1:21" x14ac:dyDescent="0.2">
      <c r="A18" s="171" t="s">
        <v>1167</v>
      </c>
      <c r="B18" s="172" t="s">
        <v>2267</v>
      </c>
      <c r="C18" s="172" t="s">
        <v>2268</v>
      </c>
      <c r="D18" s="175">
        <f>INDEX('Base MFF calcs'!$I$7:$I$258,MATCH($B18,'Base MFF calcs'!$B$7:$B$258,0),1)</f>
        <v>1.1369684179905619</v>
      </c>
      <c r="E18" s="176">
        <f ca="1">D18/MIN('Base MFF calcs'!$I$7:$I$258)</f>
        <v>1.2273975341904089</v>
      </c>
      <c r="F18" s="176">
        <v>1.227398</v>
      </c>
      <c r="G18" s="511">
        <f t="shared" ca="1" si="0"/>
        <v>-3.7950981757184366E-7</v>
      </c>
      <c r="H18" s="174">
        <f t="shared" ca="1" si="1"/>
        <v>1.2273975341904089</v>
      </c>
      <c r="I18" s="501">
        <v>1.227398</v>
      </c>
      <c r="J18" s="177"/>
      <c r="K18" s="495" t="str">
        <f t="shared" si="2"/>
        <v>Merged</v>
      </c>
      <c r="L18" s="508" t="str">
        <f t="shared" si="3"/>
        <v>N/A</v>
      </c>
      <c r="M18" s="174" t="str">
        <f t="shared" si="4"/>
        <v>Merged</v>
      </c>
      <c r="N18" s="174" t="str">
        <f>IF(SUMIFS('Merged Trusts and MFF year'!$C$1:$C$24,'Merged Trusts and MFF year'!$A$1:$A$24,$B18,'Merged Trusts and MFF year'!$D$1:$D$24,"2013-14")=0,M18,SUMIFS('Merged Trusts and MFF year'!$C$1:$C$24,'Merged Trusts and MFF year'!$A$1:$A$24,$B18,'Merged Trusts and MFF year'!$D$1:$D$24,"2013-14"))</f>
        <v>Merged</v>
      </c>
      <c r="O18" s="498" t="str">
        <f>IF(SUMIFS('Merged Trusts and MFF year'!$C$1:$C$24,'Merged Trusts and MFF year'!$A$1:$A$24,$B18,'Merged Trusts and MFF year'!$D$1:$D$24,"2014-15")=0,N18,SUMIFS('Merged Trusts and MFF year'!$C$1:$C$24,'Merged Trusts and MFF year'!$A$1:$A$24,$B18,'Merged Trusts and MFF year'!$D$1:$D$24,"2014-15"))</f>
        <v>Merged</v>
      </c>
      <c r="P18" s="504" t="str">
        <f t="shared" si="5"/>
        <v>N/A</v>
      </c>
      <c r="Q18" s="498" t="str">
        <f>IF(SUMIFS('Merged Trusts and MFF year'!$C$1:$C$24,'Merged Trusts and MFF year'!$A$1:$A$24,$B18,'Merged Trusts and MFF year'!$D$1:$D$24,"2015-16")=0,O18,SUMIFS('Merged Trusts and MFF year'!$C$1:$C$24,'Merged Trusts and MFF year'!$A$1:$A$24,$B18,'Merged Trusts and MFF year'!$D$1:$D$24,"2015-16"))</f>
        <v>Merged</v>
      </c>
      <c r="R18" s="504" t="str">
        <f t="shared" si="6"/>
        <v>N/A</v>
      </c>
      <c r="S18" s="498" t="str">
        <f>IF(SUMIFS('Merged Trusts and MFF year'!$C$1:$C$24,'Merged Trusts and MFF year'!$A$1:$A$24,$B18,'Merged Trusts and MFF year'!$D$1:$D$24,"2016-17")=0,Q18,SUMIFS('Merged Trusts and MFF year'!$C$1:$C$24,'Merged Trusts and MFF year'!$A$1:$A$24,$B18,'Merged Trusts and MFF year'!$D$1:$D$24,"2016-17"))</f>
        <v>Merged</v>
      </c>
      <c r="T18" s="504" t="str">
        <f t="shared" si="7"/>
        <v>N/A</v>
      </c>
      <c r="U18" s="459" t="s">
        <v>4204</v>
      </c>
    </row>
    <row r="19" spans="1:21" ht="22.5" x14ac:dyDescent="0.2">
      <c r="A19" s="171"/>
      <c r="B19" s="172" t="s">
        <v>3518</v>
      </c>
      <c r="C19" s="172" t="s">
        <v>3519</v>
      </c>
      <c r="D19" s="175"/>
      <c r="E19" s="176"/>
      <c r="F19" s="176"/>
      <c r="G19" s="511"/>
      <c r="H19" s="174"/>
      <c r="I19" s="501"/>
      <c r="J19" s="177"/>
      <c r="K19" s="465"/>
      <c r="L19" s="508"/>
      <c r="M19" s="466"/>
      <c r="N19" s="174">
        <f ca="1">IF(SUMIFS('Merged Trusts and MFF year'!$C$1:$C$24,'Merged Trusts and MFF year'!$A$1:$A$24,$B19,'Merged Trusts and MFF year'!$D$1:$D$24,"2013-14")=0,M19,SUMIFS('Merged Trusts and MFF year'!$C$1:$C$24,'Merged Trusts and MFF year'!$A$1:$A$24,$B19,'Merged Trusts and MFF year'!$D$1:$D$24,"2013-14"))</f>
        <v>1.2128018536817009</v>
      </c>
      <c r="O19" s="498">
        <f ca="1">IF(SUMIFS('Merged Trusts and MFF year'!$C$1:$C$24,'Merged Trusts and MFF year'!$A$1:$A$24,$B19,'Merged Trusts and MFF year'!$D$1:$D$24,"2014-15")=0,N19,SUMIFS('Merged Trusts and MFF year'!$C$1:$C$24,'Merged Trusts and MFF year'!$A$1:$A$24,$B19,'Merged Trusts and MFF year'!$D$1:$D$24,"2014-15"))</f>
        <v>1.2128018536817009</v>
      </c>
      <c r="P19" s="504">
        <f t="shared" ca="1" si="5"/>
        <v>0</v>
      </c>
      <c r="Q19" s="498">
        <f ca="1">IF(SUMIFS('Merged Trusts and MFF year'!$C$1:$C$24,'Merged Trusts and MFF year'!$A$1:$A$24,$B19,'Merged Trusts and MFF year'!$D$1:$D$24,"2015-16")=0,O19,SUMIFS('Merged Trusts and MFF year'!$C$1:$C$24,'Merged Trusts and MFF year'!$A$1:$A$24,$B19,'Merged Trusts and MFF year'!$D$1:$D$24,"2015-16"))</f>
        <v>1.2128018536817009</v>
      </c>
      <c r="R19" s="504">
        <f t="shared" ca="1" si="6"/>
        <v>0</v>
      </c>
      <c r="S19" s="498">
        <f ca="1">IF(SUMIFS('Merged Trusts and MFF year'!$C$1:$C$24,'Merged Trusts and MFF year'!$A$1:$A$24,$B19,'Merged Trusts and MFF year'!$D$1:$D$24,"2016-17")=0,Q19,SUMIFS('Merged Trusts and MFF year'!$C$1:$C$24,'Merged Trusts and MFF year'!$A$1:$A$24,$B19,'Merged Trusts and MFF year'!$D$1:$D$24,"2016-17"))</f>
        <v>1.2128018536817009</v>
      </c>
      <c r="T19" s="504">
        <f t="shared" ca="1" si="7"/>
        <v>0</v>
      </c>
      <c r="U19" s="479" t="s">
        <v>4232</v>
      </c>
    </row>
    <row r="20" spans="1:21" ht="12.75" customHeight="1" x14ac:dyDescent="0.2">
      <c r="A20" s="171" t="s">
        <v>1127</v>
      </c>
      <c r="B20" s="172" t="s">
        <v>2269</v>
      </c>
      <c r="C20" s="172" t="s">
        <v>2270</v>
      </c>
      <c r="D20" s="175">
        <f>INDEX('Base MFF calcs'!$I$7:$I$258,MATCH($B20,'Base MFF calcs'!$B$7:$B$258,0),1)</f>
        <v>1.0401187143581718</v>
      </c>
      <c r="E20" s="176">
        <f ca="1">D20/MIN('Base MFF calcs'!$I$7:$I$258)</f>
        <v>1.1228448610074899</v>
      </c>
      <c r="F20" s="176">
        <v>1.1228450000000001</v>
      </c>
      <c r="G20" s="511">
        <f t="shared" ref="G20:G51" ca="1" si="8">IF(F20="",0,E20/F20-1)</f>
        <v>-1.2378601688123325E-7</v>
      </c>
      <c r="H20" s="174">
        <f t="shared" ref="H20:H51" ca="1" si="9">IF(ISERR(G20),E20,IF(G20&gt;2%,F20*1.02,IF(G20&lt;-2%,F20*0.98,E20)))</f>
        <v>1.1228448610074899</v>
      </c>
      <c r="I20" s="501">
        <v>1.1228449999999999</v>
      </c>
      <c r="J20" s="177"/>
      <c r="K20" s="173">
        <f t="shared" ref="K20:K51" ca="1" si="10">IF(LEFT(U20,6)="Merged","Merged",E20)</f>
        <v>1.1228448610074899</v>
      </c>
      <c r="L20" s="508">
        <f t="shared" ref="L20:L51" ca="1" si="11">IF(K20="Merged","N/A",K20/H20-1)</f>
        <v>0</v>
      </c>
      <c r="M20" s="174">
        <f t="shared" ref="M20:M51" ca="1" si="12">IF(L20="N/A",K20,IF(L20&gt;2%,1.02*H20,IF(L20&lt;-2%,0.98*H20,K20)))</f>
        <v>1.1228448610074899</v>
      </c>
      <c r="N20" s="174">
        <f ca="1">IF(SUMIFS('Merged Trusts and MFF year'!$C$1:$C$24,'Merged Trusts and MFF year'!$A$1:$A$24,$B20,'Merged Trusts and MFF year'!$D$1:$D$24,"2013-14")=0,M20,SUMIFS('Merged Trusts and MFF year'!$C$1:$C$24,'Merged Trusts and MFF year'!$A$1:$A$24,$B20,'Merged Trusts and MFF year'!$D$1:$D$24,"2013-14"))</f>
        <v>1.1228448610074899</v>
      </c>
      <c r="O20" s="498">
        <f ca="1">IF(SUMIFS('Merged Trusts and MFF year'!$C$1:$C$24,'Merged Trusts and MFF year'!$A$1:$A$24,$B20,'Merged Trusts and MFF year'!$D$1:$D$24,"2014-15")=0,N20,SUMIFS('Merged Trusts and MFF year'!$C$1:$C$24,'Merged Trusts and MFF year'!$A$1:$A$24,$B20,'Merged Trusts and MFF year'!$D$1:$D$24,"2014-15"))</f>
        <v>1.1228448610074899</v>
      </c>
      <c r="P20" s="504">
        <f t="shared" ca="1" si="5"/>
        <v>0</v>
      </c>
      <c r="Q20" s="498">
        <f ca="1">IF(SUMIFS('Merged Trusts and MFF year'!$C$1:$C$24,'Merged Trusts and MFF year'!$A$1:$A$24,$B20,'Merged Trusts and MFF year'!$D$1:$D$24,"2015-16")=0,O20,SUMIFS('Merged Trusts and MFF year'!$C$1:$C$24,'Merged Trusts and MFF year'!$A$1:$A$24,$B20,'Merged Trusts and MFF year'!$D$1:$D$24,"2015-16"))</f>
        <v>1.1228448610074899</v>
      </c>
      <c r="R20" s="504">
        <f t="shared" ca="1" si="6"/>
        <v>0</v>
      </c>
      <c r="S20" s="498">
        <f ca="1">IF(SUMIFS('Merged Trusts and MFF year'!$C$1:$C$24,'Merged Trusts and MFF year'!$A$1:$A$24,$B20,'Merged Trusts and MFF year'!$D$1:$D$24,"2016-17")=0,Q20,SUMIFS('Merged Trusts and MFF year'!$C$1:$C$24,'Merged Trusts and MFF year'!$A$1:$A$24,$B20,'Merged Trusts and MFF year'!$D$1:$D$24,"2016-17"))</f>
        <v>1.1228448610074899</v>
      </c>
      <c r="T20" s="504">
        <f t="shared" ca="1" si="7"/>
        <v>0</v>
      </c>
      <c r="U20" s="459"/>
    </row>
    <row r="21" spans="1:21" ht="12.75" customHeight="1" x14ac:dyDescent="0.2">
      <c r="A21" s="171" t="s">
        <v>1127</v>
      </c>
      <c r="B21" s="172" t="s">
        <v>2271</v>
      </c>
      <c r="C21" s="172" t="s">
        <v>2272</v>
      </c>
      <c r="D21" s="175">
        <f>INDEX('Base MFF calcs'!$I$7:$I$258,MATCH($B21,'Base MFF calcs'!$B$7:$B$258,0),1)</f>
        <v>1.0084815533201679</v>
      </c>
      <c r="E21" s="176">
        <f ca="1">D21/MIN('Base MFF calcs'!$I$7:$I$258)</f>
        <v>1.0886914290982201</v>
      </c>
      <c r="F21" s="176">
        <v>1.0886910000000001</v>
      </c>
      <c r="G21" s="511">
        <f t="shared" ca="1" si="8"/>
        <v>3.9414142305460587E-7</v>
      </c>
      <c r="H21" s="174">
        <f t="shared" ca="1" si="9"/>
        <v>1.0886914290982201</v>
      </c>
      <c r="I21" s="501">
        <v>1.0886909999999999</v>
      </c>
      <c r="J21" s="177"/>
      <c r="K21" s="173">
        <f t="shared" ca="1" si="10"/>
        <v>1.0886914290982201</v>
      </c>
      <c r="L21" s="508">
        <f t="shared" ca="1" si="11"/>
        <v>0</v>
      </c>
      <c r="M21" s="174">
        <f t="shared" ca="1" si="12"/>
        <v>1.0886914290982201</v>
      </c>
      <c r="N21" s="174">
        <f ca="1">IF(SUMIFS('Merged Trusts and MFF year'!$C$1:$C$24,'Merged Trusts and MFF year'!$A$1:$A$24,$B21,'Merged Trusts and MFF year'!$D$1:$D$24,"2013-14")=0,M21,SUMIFS('Merged Trusts and MFF year'!$C$1:$C$24,'Merged Trusts and MFF year'!$A$1:$A$24,$B21,'Merged Trusts and MFF year'!$D$1:$D$24,"2013-14"))</f>
        <v>1.0886914290982201</v>
      </c>
      <c r="O21" s="498">
        <f ca="1">IF(SUMIFS('Merged Trusts and MFF year'!$C$1:$C$24,'Merged Trusts and MFF year'!$A$1:$A$24,$B21,'Merged Trusts and MFF year'!$D$1:$D$24,"2014-15")=0,N21,SUMIFS('Merged Trusts and MFF year'!$C$1:$C$24,'Merged Trusts and MFF year'!$A$1:$A$24,$B21,'Merged Trusts and MFF year'!$D$1:$D$24,"2014-15"))</f>
        <v>1.0886914290982201</v>
      </c>
      <c r="P21" s="504">
        <f t="shared" ca="1" si="5"/>
        <v>0</v>
      </c>
      <c r="Q21" s="498">
        <f ca="1">IF(SUMIFS('Merged Trusts and MFF year'!$C$1:$C$24,'Merged Trusts and MFF year'!$A$1:$A$24,$B21,'Merged Trusts and MFF year'!$D$1:$D$24,"2015-16")=0,O21,SUMIFS('Merged Trusts and MFF year'!$C$1:$C$24,'Merged Trusts and MFF year'!$A$1:$A$24,$B21,'Merged Trusts and MFF year'!$D$1:$D$24,"2015-16"))</f>
        <v>1.0886914290982201</v>
      </c>
      <c r="R21" s="504">
        <f t="shared" ca="1" si="6"/>
        <v>0</v>
      </c>
      <c r="S21" s="498">
        <f ca="1">IF(SUMIFS('Merged Trusts and MFF year'!$C$1:$C$24,'Merged Trusts and MFF year'!$A$1:$A$24,$B21,'Merged Trusts and MFF year'!$D$1:$D$24,"2016-17")=0,Q21,SUMIFS('Merged Trusts and MFF year'!$C$1:$C$24,'Merged Trusts and MFF year'!$A$1:$A$24,$B21,'Merged Trusts and MFF year'!$D$1:$D$24,"2016-17"))</f>
        <v>1.0886914290982201</v>
      </c>
      <c r="T21" s="504">
        <f t="shared" ca="1" si="7"/>
        <v>0</v>
      </c>
      <c r="U21" s="459"/>
    </row>
    <row r="22" spans="1:21" x14ac:dyDescent="0.2">
      <c r="A22" s="171" t="s">
        <v>1127</v>
      </c>
      <c r="B22" s="172" t="s">
        <v>2273</v>
      </c>
      <c r="C22" s="172" t="s">
        <v>2274</v>
      </c>
      <c r="D22" s="175">
        <f>INDEX('Base MFF calcs'!$I$7:$I$258,MATCH($B22,'Base MFF calcs'!$B$7:$B$258,0),1)</f>
        <v>1.0333425588273353</v>
      </c>
      <c r="E22" s="176">
        <f ca="1">D22/MIN('Base MFF calcs'!$I$7:$I$258)</f>
        <v>1.1155297619614333</v>
      </c>
      <c r="F22" s="176">
        <v>1.1155299999999999</v>
      </c>
      <c r="G22" s="511">
        <f t="shared" ca="1" si="8"/>
        <v>-2.1338607358867279E-7</v>
      </c>
      <c r="H22" s="174">
        <f t="shared" ca="1" si="9"/>
        <v>1.1155297619614333</v>
      </c>
      <c r="I22" s="501">
        <v>1.1155299999999999</v>
      </c>
      <c r="J22" s="177"/>
      <c r="K22" s="173" t="str">
        <f t="shared" si="10"/>
        <v>Merged</v>
      </c>
      <c r="L22" s="508" t="str">
        <f t="shared" si="11"/>
        <v>N/A</v>
      </c>
      <c r="M22" s="174" t="str">
        <f t="shared" si="12"/>
        <v>Merged</v>
      </c>
      <c r="N22" s="174" t="str">
        <f>IF(SUMIFS('Merged Trusts and MFF year'!$C$1:$C$24,'Merged Trusts and MFF year'!$A$1:$A$24,$B22,'Merged Trusts and MFF year'!$D$1:$D$24,"2013-14")=0,M22,SUMIFS('Merged Trusts and MFF year'!$C$1:$C$24,'Merged Trusts and MFF year'!$A$1:$A$24,$B22,'Merged Trusts and MFF year'!$D$1:$D$24,"2013-14"))</f>
        <v>Merged</v>
      </c>
      <c r="O22" s="498" t="str">
        <f>IF(SUMIFS('Merged Trusts and MFF year'!$C$1:$C$24,'Merged Trusts and MFF year'!$A$1:$A$24,$B22,'Merged Trusts and MFF year'!$D$1:$D$24,"2014-15")=0,N22,SUMIFS('Merged Trusts and MFF year'!$C$1:$C$24,'Merged Trusts and MFF year'!$A$1:$A$24,$B22,'Merged Trusts and MFF year'!$D$1:$D$24,"2014-15"))</f>
        <v>Merged</v>
      </c>
      <c r="P22" s="504" t="str">
        <f t="shared" si="5"/>
        <v>N/A</v>
      </c>
      <c r="Q22" s="498" t="str">
        <f>IF(SUMIFS('Merged Trusts and MFF year'!$C$1:$C$24,'Merged Trusts and MFF year'!$A$1:$A$24,$B22,'Merged Trusts and MFF year'!$D$1:$D$24,"2015-16")=0,O22,SUMIFS('Merged Trusts and MFF year'!$C$1:$C$24,'Merged Trusts and MFF year'!$A$1:$A$24,$B22,'Merged Trusts and MFF year'!$D$1:$D$24,"2015-16"))</f>
        <v>Merged</v>
      </c>
      <c r="R22" s="504" t="str">
        <f t="shared" si="6"/>
        <v>N/A</v>
      </c>
      <c r="S22" s="498" t="str">
        <f>IF(SUMIFS('Merged Trusts and MFF year'!$C$1:$C$24,'Merged Trusts and MFF year'!$A$1:$A$24,$B22,'Merged Trusts and MFF year'!$D$1:$D$24,"2016-17")=0,Q22,SUMIFS('Merged Trusts and MFF year'!$C$1:$C$24,'Merged Trusts and MFF year'!$A$1:$A$24,$B22,'Merged Trusts and MFF year'!$D$1:$D$24,"2016-17"))</f>
        <v>Merged</v>
      </c>
      <c r="T22" s="504" t="str">
        <f t="shared" si="7"/>
        <v>N/A</v>
      </c>
      <c r="U22" s="459" t="s">
        <v>4209</v>
      </c>
    </row>
    <row r="23" spans="1:21" ht="12.75" customHeight="1" x14ac:dyDescent="0.2">
      <c r="A23" s="171" t="s">
        <v>191</v>
      </c>
      <c r="B23" s="172" t="s">
        <v>2275</v>
      </c>
      <c r="C23" s="172" t="s">
        <v>2276</v>
      </c>
      <c r="D23" s="175">
        <f>INDEX('Base MFF calcs'!$I$7:$I$258,MATCH($B23,'Base MFF calcs'!$B$7:$B$258,0),1)</f>
        <v>1.0656467509071943</v>
      </c>
      <c r="E23" s="176">
        <f ca="1">D23/MIN('Base MFF calcs'!$I$7:$I$258)</f>
        <v>1.1504032774218789</v>
      </c>
      <c r="F23" s="176">
        <v>1.1504030000000001</v>
      </c>
      <c r="G23" s="511">
        <f t="shared" ca="1" si="8"/>
        <v>2.4115190844220535E-7</v>
      </c>
      <c r="H23" s="174">
        <f t="shared" ca="1" si="9"/>
        <v>1.1504032774218789</v>
      </c>
      <c r="I23" s="501">
        <v>1.1504029999999998</v>
      </c>
      <c r="J23" s="177"/>
      <c r="K23" s="173">
        <f t="shared" ca="1" si="10"/>
        <v>1.1504032774218789</v>
      </c>
      <c r="L23" s="508">
        <f t="shared" ca="1" si="11"/>
        <v>0</v>
      </c>
      <c r="M23" s="174">
        <f t="shared" ca="1" si="12"/>
        <v>1.1504032774218789</v>
      </c>
      <c r="N23" s="174">
        <f ca="1">IF(SUMIFS('Merged Trusts and MFF year'!$C$1:$C$24,'Merged Trusts and MFF year'!$A$1:$A$24,$B23,'Merged Trusts and MFF year'!$D$1:$D$24,"2013-14")=0,M23,SUMIFS('Merged Trusts and MFF year'!$C$1:$C$24,'Merged Trusts and MFF year'!$A$1:$A$24,$B23,'Merged Trusts and MFF year'!$D$1:$D$24,"2013-14"))</f>
        <v>1.1504032774218789</v>
      </c>
      <c r="O23" s="498">
        <f ca="1">IF(SUMIFS('Merged Trusts and MFF year'!$C$1:$C$24,'Merged Trusts and MFF year'!$A$1:$A$24,$B23,'Merged Trusts and MFF year'!$D$1:$D$24,"2014-15")=0,N23,SUMIFS('Merged Trusts and MFF year'!$C$1:$C$24,'Merged Trusts and MFF year'!$A$1:$A$24,$B23,'Merged Trusts and MFF year'!$D$1:$D$24,"2014-15"))</f>
        <v>1.1504032774218789</v>
      </c>
      <c r="P23" s="504">
        <f t="shared" ca="1" si="5"/>
        <v>0</v>
      </c>
      <c r="Q23" s="498">
        <f ca="1">IF(SUMIFS('Merged Trusts and MFF year'!$C$1:$C$24,'Merged Trusts and MFF year'!$A$1:$A$24,$B23,'Merged Trusts and MFF year'!$D$1:$D$24,"2015-16")=0,O23,SUMIFS('Merged Trusts and MFF year'!$C$1:$C$24,'Merged Trusts and MFF year'!$A$1:$A$24,$B23,'Merged Trusts and MFF year'!$D$1:$D$24,"2015-16"))</f>
        <v>1.1504032774218789</v>
      </c>
      <c r="R23" s="504">
        <f t="shared" ca="1" si="6"/>
        <v>0</v>
      </c>
      <c r="S23" s="498">
        <f ca="1">IF(SUMIFS('Merged Trusts and MFF year'!$C$1:$C$24,'Merged Trusts and MFF year'!$A$1:$A$24,$B23,'Merged Trusts and MFF year'!$D$1:$D$24,"2016-17")=0,Q23,SUMIFS('Merged Trusts and MFF year'!$C$1:$C$24,'Merged Trusts and MFF year'!$A$1:$A$24,$B23,'Merged Trusts and MFF year'!$D$1:$D$24,"2016-17"))</f>
        <v>1.1504032774218789</v>
      </c>
      <c r="T23" s="504">
        <f t="shared" ca="1" si="7"/>
        <v>0</v>
      </c>
      <c r="U23" s="459"/>
    </row>
    <row r="24" spans="1:21" ht="12.75" customHeight="1" x14ac:dyDescent="0.2">
      <c r="A24" s="171" t="s">
        <v>2133</v>
      </c>
      <c r="B24" s="172" t="s">
        <v>2277</v>
      </c>
      <c r="C24" s="172" t="s">
        <v>2278</v>
      </c>
      <c r="D24" s="175">
        <f>INDEX('Base MFF calcs'!$I$7:$I$258,MATCH($B24,'Base MFF calcs'!$B$7:$B$258,0),1)</f>
        <v>0.96831785780110713</v>
      </c>
      <c r="E24" s="176">
        <f ca="1">D24/MIN('Base MFF calcs'!$I$7:$I$258)</f>
        <v>1.0453333022900939</v>
      </c>
      <c r="F24" s="176">
        <v>1.0453330000000001</v>
      </c>
      <c r="G24" s="511">
        <f t="shared" ca="1" si="8"/>
        <v>2.8918066674599174E-7</v>
      </c>
      <c r="H24" s="174">
        <f t="shared" ca="1" si="9"/>
        <v>1.0453333022900939</v>
      </c>
      <c r="I24" s="501">
        <v>1.0453329999999998</v>
      </c>
      <c r="J24" s="177"/>
      <c r="K24" s="173">
        <f t="shared" ca="1" si="10"/>
        <v>1.0453333022900939</v>
      </c>
      <c r="L24" s="508">
        <f t="shared" ca="1" si="11"/>
        <v>0</v>
      </c>
      <c r="M24" s="174">
        <f t="shared" ca="1" si="12"/>
        <v>1.0453333022900939</v>
      </c>
      <c r="N24" s="174">
        <f ca="1">IF(SUMIFS('Merged Trusts and MFF year'!$C$1:$C$24,'Merged Trusts and MFF year'!$A$1:$A$24,$B24,'Merged Trusts and MFF year'!$D$1:$D$24,"2013-14")=0,M24,SUMIFS('Merged Trusts and MFF year'!$C$1:$C$24,'Merged Trusts and MFF year'!$A$1:$A$24,$B24,'Merged Trusts and MFF year'!$D$1:$D$24,"2013-14"))</f>
        <v>1.0453333022900939</v>
      </c>
      <c r="O24" s="498">
        <f ca="1">IF(SUMIFS('Merged Trusts and MFF year'!$C$1:$C$24,'Merged Trusts and MFF year'!$A$1:$A$24,$B24,'Merged Trusts and MFF year'!$D$1:$D$24,"2014-15")=0,N24,SUMIFS('Merged Trusts and MFF year'!$C$1:$C$24,'Merged Trusts and MFF year'!$A$1:$A$24,$B24,'Merged Trusts and MFF year'!$D$1:$D$24,"2014-15"))</f>
        <v>1.0453333022900939</v>
      </c>
      <c r="P24" s="504">
        <f t="shared" ca="1" si="5"/>
        <v>0</v>
      </c>
      <c r="Q24" s="498">
        <f ca="1">IF(SUMIFS('Merged Trusts and MFF year'!$C$1:$C$24,'Merged Trusts and MFF year'!$A$1:$A$24,$B24,'Merged Trusts and MFF year'!$D$1:$D$24,"2015-16")=0,O24,SUMIFS('Merged Trusts and MFF year'!$C$1:$C$24,'Merged Trusts and MFF year'!$A$1:$A$24,$B24,'Merged Trusts and MFF year'!$D$1:$D$24,"2015-16"))</f>
        <v>1.0453333022900939</v>
      </c>
      <c r="R24" s="504">
        <f t="shared" ca="1" si="6"/>
        <v>0</v>
      </c>
      <c r="S24" s="498">
        <f ca="1">IF(SUMIFS('Merged Trusts and MFF year'!$C$1:$C$24,'Merged Trusts and MFF year'!$A$1:$A$24,$B24,'Merged Trusts and MFF year'!$D$1:$D$24,"2016-17")=0,Q24,SUMIFS('Merged Trusts and MFF year'!$C$1:$C$24,'Merged Trusts and MFF year'!$A$1:$A$24,$B24,'Merged Trusts and MFF year'!$D$1:$D$24,"2016-17"))</f>
        <v>1.0453333022900939</v>
      </c>
      <c r="T24" s="504">
        <f t="shared" ca="1" si="7"/>
        <v>0</v>
      </c>
      <c r="U24" s="459"/>
    </row>
    <row r="25" spans="1:21" ht="12.75" customHeight="1" x14ac:dyDescent="0.2">
      <c r="A25" s="171" t="s">
        <v>2133</v>
      </c>
      <c r="B25" s="172" t="s">
        <v>2279</v>
      </c>
      <c r="C25" s="172" t="s">
        <v>2280</v>
      </c>
      <c r="D25" s="175">
        <f>INDEX('Base MFF calcs'!$I$7:$I$258,MATCH($B25,'Base MFF calcs'!$B$7:$B$258,0),1)</f>
        <v>0.97415482171719869</v>
      </c>
      <c r="E25" s="176">
        <f ca="1">D25/MIN('Base MFF calcs'!$I$7:$I$258)</f>
        <v>1.0516345108411906</v>
      </c>
      <c r="F25" s="176">
        <v>1.0516350000000001</v>
      </c>
      <c r="G25" s="511">
        <f t="shared" ca="1" si="8"/>
        <v>-4.6514124141250335E-7</v>
      </c>
      <c r="H25" s="174">
        <f t="shared" ca="1" si="9"/>
        <v>1.0516345108411906</v>
      </c>
      <c r="I25" s="501">
        <v>1.0516349999999999</v>
      </c>
      <c r="J25" s="177"/>
      <c r="K25" s="173">
        <f t="shared" ca="1" si="10"/>
        <v>1.0516345108411906</v>
      </c>
      <c r="L25" s="508">
        <f t="shared" ca="1" si="11"/>
        <v>0</v>
      </c>
      <c r="M25" s="174">
        <f t="shared" ca="1" si="12"/>
        <v>1.0516345108411906</v>
      </c>
      <c r="N25" s="174">
        <f ca="1">IF(SUMIFS('Merged Trusts and MFF year'!$C$1:$C$24,'Merged Trusts and MFF year'!$A$1:$A$24,$B25,'Merged Trusts and MFF year'!$D$1:$D$24,"2013-14")=0,M25,SUMIFS('Merged Trusts and MFF year'!$C$1:$C$24,'Merged Trusts and MFF year'!$A$1:$A$24,$B25,'Merged Trusts and MFF year'!$D$1:$D$24,"2013-14"))</f>
        <v>1.0516345108411906</v>
      </c>
      <c r="O25" s="498">
        <f ca="1">IF(SUMIFS('Merged Trusts and MFF year'!$C$1:$C$24,'Merged Trusts and MFF year'!$A$1:$A$24,$B25,'Merged Trusts and MFF year'!$D$1:$D$24,"2014-15")=0,N25,SUMIFS('Merged Trusts and MFF year'!$C$1:$C$24,'Merged Trusts and MFF year'!$A$1:$A$24,$B25,'Merged Trusts and MFF year'!$D$1:$D$24,"2014-15"))</f>
        <v>1.0516345108411906</v>
      </c>
      <c r="P25" s="504">
        <f t="shared" ca="1" si="5"/>
        <v>0</v>
      </c>
      <c r="Q25" s="498">
        <f ca="1">IF(SUMIFS('Merged Trusts and MFF year'!$C$1:$C$24,'Merged Trusts and MFF year'!$A$1:$A$24,$B25,'Merged Trusts and MFF year'!$D$1:$D$24,"2015-16")=0,O25,SUMIFS('Merged Trusts and MFF year'!$C$1:$C$24,'Merged Trusts and MFF year'!$A$1:$A$24,$B25,'Merged Trusts and MFF year'!$D$1:$D$24,"2015-16"))</f>
        <v>1.0516345108411906</v>
      </c>
      <c r="R25" s="504">
        <f t="shared" ca="1" si="6"/>
        <v>0</v>
      </c>
      <c r="S25" s="498">
        <f ca="1">IF(SUMIFS('Merged Trusts and MFF year'!$C$1:$C$24,'Merged Trusts and MFF year'!$A$1:$A$24,$B25,'Merged Trusts and MFF year'!$D$1:$D$24,"2016-17")=0,Q25,SUMIFS('Merged Trusts and MFF year'!$C$1:$C$24,'Merged Trusts and MFF year'!$A$1:$A$24,$B25,'Merged Trusts and MFF year'!$D$1:$D$24,"2016-17"))</f>
        <v>1.0516345108411906</v>
      </c>
      <c r="T25" s="504">
        <f t="shared" ca="1" si="7"/>
        <v>0</v>
      </c>
      <c r="U25" s="459"/>
    </row>
    <row r="26" spans="1:21" ht="12.75" customHeight="1" x14ac:dyDescent="0.2">
      <c r="A26" s="468" t="s">
        <v>2133</v>
      </c>
      <c r="B26" s="467" t="s">
        <v>2281</v>
      </c>
      <c r="C26" s="468" t="s">
        <v>2282</v>
      </c>
      <c r="D26" s="469">
        <f>INDEX('Base MFF calcs'!$I$7:$I$258,MATCH($B26,'Base MFF calcs'!$B$7:$B$258,0),1)</f>
        <v>0.97883807056052974</v>
      </c>
      <c r="E26" s="469">
        <f ca="1">D26/MIN('Base MFF calcs'!$I$7:$I$258)</f>
        <v>1.0566902432532341</v>
      </c>
      <c r="F26" s="469"/>
      <c r="G26" s="512">
        <f t="shared" si="8"/>
        <v>0</v>
      </c>
      <c r="H26" s="469">
        <f t="shared" ca="1" si="9"/>
        <v>1.0566902432532341</v>
      </c>
      <c r="I26" s="502">
        <v>1.0566899999999999</v>
      </c>
      <c r="J26" s="470"/>
      <c r="K26" s="173">
        <f t="shared" ca="1" si="10"/>
        <v>1.0566902432532341</v>
      </c>
      <c r="L26" s="508">
        <f t="shared" ca="1" si="11"/>
        <v>0</v>
      </c>
      <c r="M26" s="174">
        <f t="shared" ca="1" si="12"/>
        <v>1.0566902432532341</v>
      </c>
      <c r="N26" s="174">
        <f ca="1">IF(SUMIFS('Merged Trusts and MFF year'!$C$1:$C$24,'Merged Trusts and MFF year'!$A$1:$A$24,$B26,'Merged Trusts and MFF year'!$D$1:$D$24,"2013-14")=0,M26,SUMIFS('Merged Trusts and MFF year'!$C$1:$C$24,'Merged Trusts and MFF year'!$A$1:$A$24,$B26,'Merged Trusts and MFF year'!$D$1:$D$24,"2013-14"))</f>
        <v>1.0566902432532341</v>
      </c>
      <c r="O26" s="498">
        <f ca="1">IF(SUMIFS('Merged Trusts and MFF year'!$C$1:$C$24,'Merged Trusts and MFF year'!$A$1:$A$24,$B26,'Merged Trusts and MFF year'!$D$1:$D$24,"2014-15")=0,N26,SUMIFS('Merged Trusts and MFF year'!$C$1:$C$24,'Merged Trusts and MFF year'!$A$1:$A$24,$B26,'Merged Trusts and MFF year'!$D$1:$D$24,"2014-15"))</f>
        <v>1.0566902432532341</v>
      </c>
      <c r="P26" s="504">
        <f t="shared" ca="1" si="5"/>
        <v>0</v>
      </c>
      <c r="Q26" s="498">
        <f ca="1">IF(SUMIFS('Merged Trusts and MFF year'!$C$1:$C$24,'Merged Trusts and MFF year'!$A$1:$A$24,$B26,'Merged Trusts and MFF year'!$D$1:$D$24,"2015-16")=0,O26,SUMIFS('Merged Trusts and MFF year'!$C$1:$C$24,'Merged Trusts and MFF year'!$A$1:$A$24,$B26,'Merged Trusts and MFF year'!$D$1:$D$24,"2015-16"))</f>
        <v>1.0566902432532341</v>
      </c>
      <c r="R26" s="504">
        <f t="shared" ca="1" si="6"/>
        <v>0</v>
      </c>
      <c r="S26" s="498">
        <f ca="1">IF(SUMIFS('Merged Trusts and MFF year'!$C$1:$C$24,'Merged Trusts and MFF year'!$A$1:$A$24,$B26,'Merged Trusts and MFF year'!$D$1:$D$24,"2016-17")=0,Q26,SUMIFS('Merged Trusts and MFF year'!$C$1:$C$24,'Merged Trusts and MFF year'!$A$1:$A$24,$B26,'Merged Trusts and MFF year'!$D$1:$D$24,"2016-17"))</f>
        <v>1.0566902432532341</v>
      </c>
      <c r="T26" s="504">
        <f t="shared" ca="1" si="7"/>
        <v>0</v>
      </c>
      <c r="U26" s="472"/>
    </row>
    <row r="27" spans="1:21" ht="12.75" customHeight="1" x14ac:dyDescent="0.2">
      <c r="A27" s="171" t="s">
        <v>2133</v>
      </c>
      <c r="B27" s="172" t="s">
        <v>2283</v>
      </c>
      <c r="C27" s="386" t="s">
        <v>2284</v>
      </c>
      <c r="D27" s="175">
        <f ca="1">INDEX('Base MFF calcs'!$I$7:$I$258,MATCH($B27,'Base MFF calcs'!$B$7:$B$258,0),1)</f>
        <v>0.96699935114877578</v>
      </c>
      <c r="E27" s="176">
        <f ca="1">D27/MIN('Base MFF calcs'!$I$7:$I$258)</f>
        <v>1.0439099278249127</v>
      </c>
      <c r="F27" s="176">
        <v>1.0439099999999999</v>
      </c>
      <c r="G27" s="511">
        <f t="shared" ca="1" si="8"/>
        <v>-6.913918559892096E-8</v>
      </c>
      <c r="H27" s="174">
        <f t="shared" ca="1" si="9"/>
        <v>1.0439099278249127</v>
      </c>
      <c r="I27" s="501">
        <v>1.0439099999999999</v>
      </c>
      <c r="J27" s="177"/>
      <c r="K27" s="173">
        <f t="shared" ca="1" si="10"/>
        <v>1.0439099278249127</v>
      </c>
      <c r="L27" s="508">
        <f t="shared" ca="1" si="11"/>
        <v>0</v>
      </c>
      <c r="M27" s="174">
        <f t="shared" ca="1" si="12"/>
        <v>1.0439099278249127</v>
      </c>
      <c r="N27" s="174">
        <f ca="1">IF(SUMIFS('Merged Trusts and MFF year'!$C$1:$C$24,'Merged Trusts and MFF year'!$A$1:$A$24,$B27,'Merged Trusts and MFF year'!$D$1:$D$24,"2013-14")=0,M27,SUMIFS('Merged Trusts and MFF year'!$C$1:$C$24,'Merged Trusts and MFF year'!$A$1:$A$24,$B27,'Merged Trusts and MFF year'!$D$1:$D$24,"2013-14"))</f>
        <v>1.0439099278249127</v>
      </c>
      <c r="O27" s="498">
        <f ca="1">IF(SUMIFS('Merged Trusts and MFF year'!$C$1:$C$24,'Merged Trusts and MFF year'!$A$1:$A$24,$B27,'Merged Trusts and MFF year'!$D$1:$D$24,"2014-15")=0,N27,SUMIFS('Merged Trusts and MFF year'!$C$1:$C$24,'Merged Trusts and MFF year'!$A$1:$A$24,$B27,'Merged Trusts and MFF year'!$D$1:$D$24,"2014-15"))</f>
        <v>1.0439099278249127</v>
      </c>
      <c r="P27" s="504">
        <f t="shared" ca="1" si="5"/>
        <v>0</v>
      </c>
      <c r="Q27" s="498">
        <f ca="1">IF(SUMIFS('Merged Trusts and MFF year'!$C$1:$C$24,'Merged Trusts and MFF year'!$A$1:$A$24,$B27,'Merged Trusts and MFF year'!$D$1:$D$24,"2015-16")=0,O27,SUMIFS('Merged Trusts and MFF year'!$C$1:$C$24,'Merged Trusts and MFF year'!$A$1:$A$24,$B27,'Merged Trusts and MFF year'!$D$1:$D$24,"2015-16"))</f>
        <v>1.0439099278249127</v>
      </c>
      <c r="R27" s="504">
        <f t="shared" ca="1" si="6"/>
        <v>0</v>
      </c>
      <c r="S27" s="498">
        <f ca="1">IF(SUMIFS('Merged Trusts and MFF year'!$C$1:$C$24,'Merged Trusts and MFF year'!$A$1:$A$24,$B27,'Merged Trusts and MFF year'!$D$1:$D$24,"2016-17")=0,Q27,SUMIFS('Merged Trusts and MFF year'!$C$1:$C$24,'Merged Trusts and MFF year'!$A$1:$A$24,$B27,'Merged Trusts and MFF year'!$D$1:$D$24,"2016-17"))</f>
        <v>1.0439099278249127</v>
      </c>
      <c r="T27" s="504">
        <f t="shared" ca="1" si="7"/>
        <v>0</v>
      </c>
      <c r="U27" s="459"/>
    </row>
    <row r="28" spans="1:21" ht="12.75" customHeight="1" x14ac:dyDescent="0.2">
      <c r="A28" s="171" t="s">
        <v>2133</v>
      </c>
      <c r="B28" s="172" t="s">
        <v>2770</v>
      </c>
      <c r="C28" s="171" t="s">
        <v>2394</v>
      </c>
      <c r="D28" s="175">
        <f>INDEX('Base MFF calcs'!$I$7:$I$258,MATCH($B28,'Base MFF calcs'!$B$7:$B$258,0),1)</f>
        <v>0.96262893149497031</v>
      </c>
      <c r="E28" s="176">
        <f ca="1">D28/MIN('Base MFF calcs'!$I$7:$I$258)</f>
        <v>1.0391919055636272</v>
      </c>
      <c r="F28" s="176">
        <v>1.0391919999999999</v>
      </c>
      <c r="G28" s="511">
        <f t="shared" ca="1" si="8"/>
        <v>-9.0874807234797572E-8</v>
      </c>
      <c r="H28" s="174">
        <f t="shared" ca="1" si="9"/>
        <v>1.0391919055636272</v>
      </c>
      <c r="I28" s="501">
        <v>1.0391919999999999</v>
      </c>
      <c r="J28" s="177"/>
      <c r="K28" s="173">
        <f t="shared" ca="1" si="10"/>
        <v>1.0391919055636272</v>
      </c>
      <c r="L28" s="508">
        <f t="shared" ca="1" si="11"/>
        <v>0</v>
      </c>
      <c r="M28" s="174">
        <f t="shared" ca="1" si="12"/>
        <v>1.0391919055636272</v>
      </c>
      <c r="N28" s="174">
        <f ca="1">IF(SUMIFS('Merged Trusts and MFF year'!$C$1:$C$24,'Merged Trusts and MFF year'!$A$1:$A$24,$B28,'Merged Trusts and MFF year'!$D$1:$D$24,"2013-14")=0,M28,SUMIFS('Merged Trusts and MFF year'!$C$1:$C$24,'Merged Trusts and MFF year'!$A$1:$A$24,$B28,'Merged Trusts and MFF year'!$D$1:$D$24,"2013-14"))</f>
        <v>1.0391919055636272</v>
      </c>
      <c r="O28" s="498">
        <f ca="1">IF(SUMIFS('Merged Trusts and MFF year'!$C$1:$C$24,'Merged Trusts and MFF year'!$A$1:$A$24,$B28,'Merged Trusts and MFF year'!$D$1:$D$24,"2014-15")=0,N28,SUMIFS('Merged Trusts and MFF year'!$C$1:$C$24,'Merged Trusts and MFF year'!$A$1:$A$24,$B28,'Merged Trusts and MFF year'!$D$1:$D$24,"2014-15"))</f>
        <v>1.0391919055636272</v>
      </c>
      <c r="P28" s="504">
        <f t="shared" ca="1" si="5"/>
        <v>0</v>
      </c>
      <c r="Q28" s="498">
        <f ca="1">IF(SUMIFS('Merged Trusts and MFF year'!$C$1:$C$24,'Merged Trusts and MFF year'!$A$1:$A$24,$B28,'Merged Trusts and MFF year'!$D$1:$D$24,"2015-16")=0,O28,SUMIFS('Merged Trusts and MFF year'!$C$1:$C$24,'Merged Trusts and MFF year'!$A$1:$A$24,$B28,'Merged Trusts and MFF year'!$D$1:$D$24,"2015-16"))</f>
        <v>1.0391919055636272</v>
      </c>
      <c r="R28" s="504">
        <f t="shared" ca="1" si="6"/>
        <v>0</v>
      </c>
      <c r="S28" s="498">
        <f ca="1">IF(SUMIFS('Merged Trusts and MFF year'!$C$1:$C$24,'Merged Trusts and MFF year'!$A$1:$A$24,$B28,'Merged Trusts and MFF year'!$D$1:$D$24,"2016-17")=0,Q28,SUMIFS('Merged Trusts and MFF year'!$C$1:$C$24,'Merged Trusts and MFF year'!$A$1:$A$24,$B28,'Merged Trusts and MFF year'!$D$1:$D$24,"2016-17"))</f>
        <v>1.0391919055636272</v>
      </c>
      <c r="T28" s="504">
        <f t="shared" ca="1" si="7"/>
        <v>0</v>
      </c>
      <c r="U28" s="459"/>
    </row>
    <row r="29" spans="1:21" ht="12.75" customHeight="1" x14ac:dyDescent="0.2">
      <c r="A29" s="171" t="s">
        <v>2975</v>
      </c>
      <c r="B29" s="172" t="s">
        <v>2285</v>
      </c>
      <c r="C29" s="468" t="s">
        <v>1313</v>
      </c>
      <c r="D29" s="175">
        <f>INDEX('Base MFF calcs'!$I$7:$I$258,MATCH($B29,'Base MFF calcs'!$B$7:$B$258,0),1)</f>
        <v>0.95087815381121343</v>
      </c>
      <c r="E29" s="176">
        <f ca="1">D29/MIN('Base MFF calcs'!$I$7:$I$258)</f>
        <v>1.0265065263344015</v>
      </c>
      <c r="F29" s="176">
        <v>1.0265070000000001</v>
      </c>
      <c r="G29" s="511">
        <f t="shared" ca="1" si="8"/>
        <v>-4.614343579456559E-7</v>
      </c>
      <c r="H29" s="174">
        <f t="shared" ca="1" si="9"/>
        <v>1.0265065263344015</v>
      </c>
      <c r="I29" s="501">
        <v>1.0265070000000001</v>
      </c>
      <c r="J29" s="177"/>
      <c r="K29" s="173">
        <f t="shared" ca="1" si="10"/>
        <v>1.0265065263344015</v>
      </c>
      <c r="L29" s="508">
        <f t="shared" ca="1" si="11"/>
        <v>0</v>
      </c>
      <c r="M29" s="174">
        <f t="shared" ca="1" si="12"/>
        <v>1.0265065263344015</v>
      </c>
      <c r="N29" s="174">
        <f ca="1">IF(SUMIFS('Merged Trusts and MFF year'!$C$1:$C$24,'Merged Trusts and MFF year'!$A$1:$A$24,$B29,'Merged Trusts and MFF year'!$D$1:$D$24,"2013-14")=0,M29,SUMIFS('Merged Trusts and MFF year'!$C$1:$C$24,'Merged Trusts and MFF year'!$A$1:$A$24,$B29,'Merged Trusts and MFF year'!$D$1:$D$24,"2013-14"))</f>
        <v>1.0265065263344015</v>
      </c>
      <c r="O29" s="498">
        <f ca="1">IF(SUMIFS('Merged Trusts and MFF year'!$C$1:$C$24,'Merged Trusts and MFF year'!$A$1:$A$24,$B29,'Merged Trusts and MFF year'!$D$1:$D$24,"2014-15")=0,N29,SUMIFS('Merged Trusts and MFF year'!$C$1:$C$24,'Merged Trusts and MFF year'!$A$1:$A$24,$B29,'Merged Trusts and MFF year'!$D$1:$D$24,"2014-15"))</f>
        <v>1.0265065263344015</v>
      </c>
      <c r="P29" s="504">
        <f t="shared" ca="1" si="5"/>
        <v>0</v>
      </c>
      <c r="Q29" s="498">
        <f ca="1">IF(SUMIFS('Merged Trusts and MFF year'!$C$1:$C$24,'Merged Trusts and MFF year'!$A$1:$A$24,$B29,'Merged Trusts and MFF year'!$D$1:$D$24,"2015-16")=0,O29,SUMIFS('Merged Trusts and MFF year'!$C$1:$C$24,'Merged Trusts and MFF year'!$A$1:$A$24,$B29,'Merged Trusts and MFF year'!$D$1:$D$24,"2015-16"))</f>
        <v>1.0265065263344015</v>
      </c>
      <c r="R29" s="504">
        <f t="shared" ca="1" si="6"/>
        <v>0</v>
      </c>
      <c r="S29" s="498">
        <f ca="1">IF(SUMIFS('Merged Trusts and MFF year'!$C$1:$C$24,'Merged Trusts and MFF year'!$A$1:$A$24,$B29,'Merged Trusts and MFF year'!$D$1:$D$24,"2016-17")=0,Q29,SUMIFS('Merged Trusts and MFF year'!$C$1:$C$24,'Merged Trusts and MFF year'!$A$1:$A$24,$B29,'Merged Trusts and MFF year'!$D$1:$D$24,"2016-17"))</f>
        <v>1.0265065263344015</v>
      </c>
      <c r="T29" s="504">
        <f t="shared" ca="1" si="7"/>
        <v>0</v>
      </c>
      <c r="U29" s="464"/>
    </row>
    <row r="30" spans="1:21" ht="12.75" customHeight="1" x14ac:dyDescent="0.2">
      <c r="A30" s="171" t="s">
        <v>2975</v>
      </c>
      <c r="B30" s="172" t="s">
        <v>3712</v>
      </c>
      <c r="C30" s="468" t="s">
        <v>1303</v>
      </c>
      <c r="D30" s="175">
        <f>INDEX('Base MFF calcs'!$I$7:$I$258,MATCH($B30,'Base MFF calcs'!$B$7:$B$258,0),1)</f>
        <v>0.97080384005677778</v>
      </c>
      <c r="E30" s="176">
        <f ca="1">D30/MIN('Base MFF calcs'!$I$7:$I$258)</f>
        <v>1.048017007872738</v>
      </c>
      <c r="F30" s="176">
        <v>1.048017</v>
      </c>
      <c r="G30" s="511">
        <f t="shared" ca="1" si="8"/>
        <v>7.5120327736044601E-9</v>
      </c>
      <c r="H30" s="174">
        <f t="shared" ca="1" si="9"/>
        <v>1.048017007872738</v>
      </c>
      <c r="I30" s="501">
        <v>1.048017</v>
      </c>
      <c r="J30" s="177"/>
      <c r="K30" s="173">
        <f t="shared" ca="1" si="10"/>
        <v>1.048017007872738</v>
      </c>
      <c r="L30" s="508">
        <f t="shared" ca="1" si="11"/>
        <v>0</v>
      </c>
      <c r="M30" s="174">
        <f t="shared" ca="1" si="12"/>
        <v>1.048017007872738</v>
      </c>
      <c r="N30" s="174">
        <f ca="1">IF(SUMIFS('Merged Trusts and MFF year'!$C$1:$C$24,'Merged Trusts and MFF year'!$A$1:$A$24,$B30,'Merged Trusts and MFF year'!$D$1:$D$24,"2013-14")=0,M30,SUMIFS('Merged Trusts and MFF year'!$C$1:$C$24,'Merged Trusts and MFF year'!$A$1:$A$24,$B30,'Merged Trusts and MFF year'!$D$1:$D$24,"2013-14"))</f>
        <v>1.048017007872738</v>
      </c>
      <c r="O30" s="498">
        <f ca="1">IF(SUMIFS('Merged Trusts and MFF year'!$C$1:$C$24,'Merged Trusts and MFF year'!$A$1:$A$24,$B30,'Merged Trusts and MFF year'!$D$1:$D$24,"2014-15")=0,N30,SUMIFS('Merged Trusts and MFF year'!$C$1:$C$24,'Merged Trusts and MFF year'!$A$1:$A$24,$B30,'Merged Trusts and MFF year'!$D$1:$D$24,"2014-15"))</f>
        <v>1.048017007872738</v>
      </c>
      <c r="P30" s="504">
        <f t="shared" ca="1" si="5"/>
        <v>0</v>
      </c>
      <c r="Q30" s="498">
        <f ca="1">IF(SUMIFS('Merged Trusts and MFF year'!$C$1:$C$24,'Merged Trusts and MFF year'!$A$1:$A$24,$B30,'Merged Trusts and MFF year'!$D$1:$D$24,"2015-16")=0,O30,SUMIFS('Merged Trusts and MFF year'!$C$1:$C$24,'Merged Trusts and MFF year'!$A$1:$A$24,$B30,'Merged Trusts and MFF year'!$D$1:$D$24,"2015-16"))</f>
        <v>1.048017007872738</v>
      </c>
      <c r="R30" s="504">
        <f t="shared" ca="1" si="6"/>
        <v>0</v>
      </c>
      <c r="S30" s="498">
        <f ca="1">IF(SUMIFS('Merged Trusts and MFF year'!$C$1:$C$24,'Merged Trusts and MFF year'!$A$1:$A$24,$B30,'Merged Trusts and MFF year'!$D$1:$D$24,"2016-17")=0,Q30,SUMIFS('Merged Trusts and MFF year'!$C$1:$C$24,'Merged Trusts and MFF year'!$A$1:$A$24,$B30,'Merged Trusts and MFF year'!$D$1:$D$24,"2016-17"))</f>
        <v>1.048017007872738</v>
      </c>
      <c r="T30" s="504">
        <f t="shared" ca="1" si="7"/>
        <v>0</v>
      </c>
      <c r="U30" s="464"/>
    </row>
    <row r="31" spans="1:21" ht="12.75" customHeight="1" x14ac:dyDescent="0.2">
      <c r="A31" s="171" t="s">
        <v>3034</v>
      </c>
      <c r="B31" s="172" t="s">
        <v>2287</v>
      </c>
      <c r="C31" s="386" t="s">
        <v>2288</v>
      </c>
      <c r="D31" s="175">
        <f>INDEX('Base MFF calcs'!$I$7:$I$258,MATCH($B31,'Base MFF calcs'!$B$7:$B$258,0),1)</f>
        <v>0.95771943710633134</v>
      </c>
      <c r="E31" s="176">
        <f ca="1">D31/MIN('Base MFF calcs'!$I$7:$I$258)</f>
        <v>1.0338919331005512</v>
      </c>
      <c r="F31" s="176">
        <v>1.033892</v>
      </c>
      <c r="G31" s="511">
        <f t="shared" ca="1" si="8"/>
        <v>-6.4706418889670658E-8</v>
      </c>
      <c r="H31" s="174">
        <f t="shared" ca="1" si="9"/>
        <v>1.0338919331005512</v>
      </c>
      <c r="I31" s="501">
        <v>1.033892</v>
      </c>
      <c r="J31" s="177"/>
      <c r="K31" s="173">
        <f t="shared" ca="1" si="10"/>
        <v>1.0338919331005512</v>
      </c>
      <c r="L31" s="508">
        <f t="shared" ca="1" si="11"/>
        <v>0</v>
      </c>
      <c r="M31" s="174">
        <f t="shared" ca="1" si="12"/>
        <v>1.0338919331005512</v>
      </c>
      <c r="N31" s="174">
        <f ca="1">IF(SUMIFS('Merged Trusts and MFF year'!$C$1:$C$24,'Merged Trusts and MFF year'!$A$1:$A$24,$B31,'Merged Trusts and MFF year'!$D$1:$D$24,"2013-14")=0,M31,SUMIFS('Merged Trusts and MFF year'!$C$1:$C$24,'Merged Trusts and MFF year'!$A$1:$A$24,$B31,'Merged Trusts and MFF year'!$D$1:$D$24,"2013-14"))</f>
        <v>1.0338919331005512</v>
      </c>
      <c r="O31" s="498">
        <f ca="1">IF(SUMIFS('Merged Trusts and MFF year'!$C$1:$C$24,'Merged Trusts and MFF year'!$A$1:$A$24,$B31,'Merged Trusts and MFF year'!$D$1:$D$24,"2014-15")=0,N31,SUMIFS('Merged Trusts and MFF year'!$C$1:$C$24,'Merged Trusts and MFF year'!$A$1:$A$24,$B31,'Merged Trusts and MFF year'!$D$1:$D$24,"2014-15"))</f>
        <v>1.0338919331005512</v>
      </c>
      <c r="P31" s="504">
        <f t="shared" ca="1" si="5"/>
        <v>0</v>
      </c>
      <c r="Q31" s="498">
        <f ca="1">IF(SUMIFS('Merged Trusts and MFF year'!$C$1:$C$24,'Merged Trusts and MFF year'!$A$1:$A$24,$B31,'Merged Trusts and MFF year'!$D$1:$D$24,"2015-16")=0,O31,SUMIFS('Merged Trusts and MFF year'!$C$1:$C$24,'Merged Trusts and MFF year'!$A$1:$A$24,$B31,'Merged Trusts and MFF year'!$D$1:$D$24,"2015-16"))</f>
        <v>1.0338919331005512</v>
      </c>
      <c r="R31" s="504">
        <f t="shared" ca="1" si="6"/>
        <v>0</v>
      </c>
      <c r="S31" s="498">
        <f ca="1">IF(SUMIFS('Merged Trusts and MFF year'!$C$1:$C$24,'Merged Trusts and MFF year'!$A$1:$A$24,$B31,'Merged Trusts and MFF year'!$D$1:$D$24,"2016-17")=0,Q31,SUMIFS('Merged Trusts and MFF year'!$C$1:$C$24,'Merged Trusts and MFF year'!$A$1:$A$24,$B31,'Merged Trusts and MFF year'!$D$1:$D$24,"2016-17"))</f>
        <v>1.0338919331005512</v>
      </c>
      <c r="T31" s="504">
        <f t="shared" ca="1" si="7"/>
        <v>0</v>
      </c>
      <c r="U31" s="459"/>
    </row>
    <row r="32" spans="1:21" ht="12.75" customHeight="1" x14ac:dyDescent="0.2">
      <c r="A32" s="171" t="s">
        <v>3034</v>
      </c>
      <c r="B32" s="172" t="s">
        <v>2289</v>
      </c>
      <c r="C32" s="172" t="s">
        <v>2290</v>
      </c>
      <c r="D32" s="175">
        <f>INDEX('Base MFF calcs'!$I$7:$I$258,MATCH($B32,'Base MFF calcs'!$B$7:$B$258,0),1)</f>
        <v>0.95753457416871357</v>
      </c>
      <c r="E32" s="176">
        <f ca="1">D32/MIN('Base MFF calcs'!$I$7:$I$258)</f>
        <v>1.0336923670350342</v>
      </c>
      <c r="F32" s="176">
        <v>1.0336920000000001</v>
      </c>
      <c r="G32" s="511">
        <f t="shared" ca="1" si="8"/>
        <v>3.5507195006445613E-7</v>
      </c>
      <c r="H32" s="174">
        <f t="shared" ca="1" si="9"/>
        <v>1.0336923670350342</v>
      </c>
      <c r="I32" s="501">
        <v>1.0336920000000001</v>
      </c>
      <c r="J32" s="177"/>
      <c r="K32" s="173">
        <f t="shared" ca="1" si="10"/>
        <v>1.0336923670350342</v>
      </c>
      <c r="L32" s="508">
        <f t="shared" ca="1" si="11"/>
        <v>0</v>
      </c>
      <c r="M32" s="174">
        <f t="shared" ca="1" si="12"/>
        <v>1.0336923670350342</v>
      </c>
      <c r="N32" s="174">
        <f ca="1">IF(SUMIFS('Merged Trusts and MFF year'!$C$1:$C$24,'Merged Trusts and MFF year'!$A$1:$A$24,$B32,'Merged Trusts and MFF year'!$D$1:$D$24,"2013-14")=0,M32,SUMIFS('Merged Trusts and MFF year'!$C$1:$C$24,'Merged Trusts and MFF year'!$A$1:$A$24,$B32,'Merged Trusts and MFF year'!$D$1:$D$24,"2013-14"))</f>
        <v>1.0336923670350342</v>
      </c>
      <c r="O32" s="498">
        <f ca="1">IF(SUMIFS('Merged Trusts and MFF year'!$C$1:$C$24,'Merged Trusts and MFF year'!$A$1:$A$24,$B32,'Merged Trusts and MFF year'!$D$1:$D$24,"2014-15")=0,N32,SUMIFS('Merged Trusts and MFF year'!$C$1:$C$24,'Merged Trusts and MFF year'!$A$1:$A$24,$B32,'Merged Trusts and MFF year'!$D$1:$D$24,"2014-15"))</f>
        <v>1.0336923670350342</v>
      </c>
      <c r="P32" s="504">
        <f t="shared" ca="1" si="5"/>
        <v>0</v>
      </c>
      <c r="Q32" s="498">
        <f ca="1">IF(SUMIFS('Merged Trusts and MFF year'!$C$1:$C$24,'Merged Trusts and MFF year'!$A$1:$A$24,$B32,'Merged Trusts and MFF year'!$D$1:$D$24,"2015-16")=0,O32,SUMIFS('Merged Trusts and MFF year'!$C$1:$C$24,'Merged Trusts and MFF year'!$A$1:$A$24,$B32,'Merged Trusts and MFF year'!$D$1:$D$24,"2015-16"))</f>
        <v>1.0336923670350342</v>
      </c>
      <c r="R32" s="504">
        <f t="shared" ca="1" si="6"/>
        <v>0</v>
      </c>
      <c r="S32" s="498">
        <f ca="1">IF(SUMIFS('Merged Trusts and MFF year'!$C$1:$C$24,'Merged Trusts and MFF year'!$A$1:$A$24,$B32,'Merged Trusts and MFF year'!$D$1:$D$24,"2016-17")=0,Q32,SUMIFS('Merged Trusts and MFF year'!$C$1:$C$24,'Merged Trusts and MFF year'!$A$1:$A$24,$B32,'Merged Trusts and MFF year'!$D$1:$D$24,"2016-17"))</f>
        <v>1.0336923670350342</v>
      </c>
      <c r="T32" s="504">
        <f t="shared" ca="1" si="7"/>
        <v>0</v>
      </c>
      <c r="U32" s="459"/>
    </row>
    <row r="33" spans="1:21" ht="12.75" customHeight="1" x14ac:dyDescent="0.2">
      <c r="A33" s="468" t="s">
        <v>2975</v>
      </c>
      <c r="B33" s="467" t="s">
        <v>2291</v>
      </c>
      <c r="C33" s="171" t="s">
        <v>654</v>
      </c>
      <c r="D33" s="469">
        <f>INDEX('Base MFF calcs'!$I$7:$I$258,MATCH($B33,'Base MFF calcs'!$B$7:$B$258,0),1)</f>
        <v>0.96436996056066104</v>
      </c>
      <c r="E33" s="469">
        <f ca="1">D33/MIN('Base MFF calcs'!$I$7:$I$258)</f>
        <v>1.0410714078860921</v>
      </c>
      <c r="F33" s="473"/>
      <c r="G33" s="512">
        <f t="shared" si="8"/>
        <v>0</v>
      </c>
      <c r="H33" s="469">
        <f t="shared" ca="1" si="9"/>
        <v>1.0410714078860921</v>
      </c>
      <c r="I33" s="502">
        <v>1.0410709999999999</v>
      </c>
      <c r="J33" s="470"/>
      <c r="K33" s="173">
        <f t="shared" ca="1" si="10"/>
        <v>1.0410714078860921</v>
      </c>
      <c r="L33" s="508">
        <f t="shared" ca="1" si="11"/>
        <v>0</v>
      </c>
      <c r="M33" s="174">
        <f t="shared" ca="1" si="12"/>
        <v>1.0410714078860921</v>
      </c>
      <c r="N33" s="174">
        <f ca="1">IF(SUMIFS('Merged Trusts and MFF year'!$C$1:$C$24,'Merged Trusts and MFF year'!$A$1:$A$24,$B33,'Merged Trusts and MFF year'!$D$1:$D$24,"2013-14")=0,M33,SUMIFS('Merged Trusts and MFF year'!$C$1:$C$24,'Merged Trusts and MFF year'!$A$1:$A$24,$B33,'Merged Trusts and MFF year'!$D$1:$D$24,"2013-14"))</f>
        <v>1.0410714078860921</v>
      </c>
      <c r="O33" s="498">
        <f ca="1">IF(SUMIFS('Merged Trusts and MFF year'!$C$1:$C$24,'Merged Trusts and MFF year'!$A$1:$A$24,$B33,'Merged Trusts and MFF year'!$D$1:$D$24,"2014-15")=0,N33,SUMIFS('Merged Trusts and MFF year'!$C$1:$C$24,'Merged Trusts and MFF year'!$A$1:$A$24,$B33,'Merged Trusts and MFF year'!$D$1:$D$24,"2014-15"))</f>
        <v>1.0410714078860921</v>
      </c>
      <c r="P33" s="504">
        <f t="shared" ca="1" si="5"/>
        <v>0</v>
      </c>
      <c r="Q33" s="498">
        <f ca="1">IF(SUMIFS('Merged Trusts and MFF year'!$C$1:$C$24,'Merged Trusts and MFF year'!$A$1:$A$24,$B33,'Merged Trusts and MFF year'!$D$1:$D$24,"2015-16")=0,O33,SUMIFS('Merged Trusts and MFF year'!$C$1:$C$24,'Merged Trusts and MFF year'!$A$1:$A$24,$B33,'Merged Trusts and MFF year'!$D$1:$D$24,"2015-16"))</f>
        <v>1.0410714078860921</v>
      </c>
      <c r="R33" s="504">
        <f t="shared" ca="1" si="6"/>
        <v>0</v>
      </c>
      <c r="S33" s="498">
        <f ca="1">IF(SUMIFS('Merged Trusts and MFF year'!$C$1:$C$24,'Merged Trusts and MFF year'!$A$1:$A$24,$B33,'Merged Trusts and MFF year'!$D$1:$D$24,"2016-17")=0,Q33,SUMIFS('Merged Trusts and MFF year'!$C$1:$C$24,'Merged Trusts and MFF year'!$A$1:$A$24,$B33,'Merged Trusts and MFF year'!$D$1:$D$24,"2016-17"))</f>
        <v>1.0410714078860921</v>
      </c>
      <c r="T33" s="504">
        <f t="shared" ca="1" si="7"/>
        <v>0</v>
      </c>
      <c r="U33" s="472"/>
    </row>
    <row r="34" spans="1:21" ht="12.75" customHeight="1" x14ac:dyDescent="0.2">
      <c r="A34" s="171" t="s">
        <v>3496</v>
      </c>
      <c r="B34" s="172" t="s">
        <v>2292</v>
      </c>
      <c r="C34" s="172" t="s">
        <v>2293</v>
      </c>
      <c r="D34" s="175">
        <f>INDEX('Base MFF calcs'!$I$7:$I$258,MATCH($B34,'Base MFF calcs'!$B$7:$B$258,0),1)</f>
        <v>0.99523465999148675</v>
      </c>
      <c r="E34" s="176">
        <f ca="1">D34/MIN('Base MFF calcs'!$I$7:$I$258)</f>
        <v>1.0743909402279641</v>
      </c>
      <c r="F34" s="176">
        <v>1.0743910000000001</v>
      </c>
      <c r="G34" s="511">
        <f t="shared" ca="1" si="8"/>
        <v>-5.5633410878108691E-8</v>
      </c>
      <c r="H34" s="174">
        <f t="shared" ca="1" si="9"/>
        <v>1.0743909402279641</v>
      </c>
      <c r="I34" s="501">
        <v>1.0743909999999999</v>
      </c>
      <c r="J34" s="177"/>
      <c r="K34" s="173">
        <f t="shared" ca="1" si="10"/>
        <v>1.0743909402279641</v>
      </c>
      <c r="L34" s="508">
        <f t="shared" ca="1" si="11"/>
        <v>0</v>
      </c>
      <c r="M34" s="174">
        <f t="shared" ca="1" si="12"/>
        <v>1.0743909402279641</v>
      </c>
      <c r="N34" s="174">
        <f ca="1">IF(SUMIFS('Merged Trusts and MFF year'!$C$1:$C$24,'Merged Trusts and MFF year'!$A$1:$A$24,$B34,'Merged Trusts and MFF year'!$D$1:$D$24,"2013-14")=0,M34,SUMIFS('Merged Trusts and MFF year'!$C$1:$C$24,'Merged Trusts and MFF year'!$A$1:$A$24,$B34,'Merged Trusts and MFF year'!$D$1:$D$24,"2013-14"))</f>
        <v>1.0743909402279641</v>
      </c>
      <c r="O34" s="498">
        <f ca="1">IF(SUMIFS('Merged Trusts and MFF year'!$C$1:$C$24,'Merged Trusts and MFF year'!$A$1:$A$24,$B34,'Merged Trusts and MFF year'!$D$1:$D$24,"2014-15")=0,N34,SUMIFS('Merged Trusts and MFF year'!$C$1:$C$24,'Merged Trusts and MFF year'!$A$1:$A$24,$B34,'Merged Trusts and MFF year'!$D$1:$D$24,"2014-15"))</f>
        <v>1.0743909402279641</v>
      </c>
      <c r="P34" s="504">
        <f t="shared" ca="1" si="5"/>
        <v>0</v>
      </c>
      <c r="Q34" s="498">
        <f ca="1">IF(SUMIFS('Merged Trusts and MFF year'!$C$1:$C$24,'Merged Trusts and MFF year'!$A$1:$A$24,$B34,'Merged Trusts and MFF year'!$D$1:$D$24,"2015-16")=0,O34,SUMIFS('Merged Trusts and MFF year'!$C$1:$C$24,'Merged Trusts and MFF year'!$A$1:$A$24,$B34,'Merged Trusts and MFF year'!$D$1:$D$24,"2015-16"))</f>
        <v>1.0743909402279641</v>
      </c>
      <c r="R34" s="504">
        <f t="shared" ca="1" si="6"/>
        <v>0</v>
      </c>
      <c r="S34" s="498">
        <f ca="1">IF(SUMIFS('Merged Trusts and MFF year'!$C$1:$C$24,'Merged Trusts and MFF year'!$A$1:$A$24,$B34,'Merged Trusts and MFF year'!$D$1:$D$24,"2016-17")=0,Q34,SUMIFS('Merged Trusts and MFF year'!$C$1:$C$24,'Merged Trusts and MFF year'!$A$1:$A$24,$B34,'Merged Trusts and MFF year'!$D$1:$D$24,"2016-17"))</f>
        <v>1.0743909402279641</v>
      </c>
      <c r="T34" s="504">
        <f t="shared" ca="1" si="7"/>
        <v>0</v>
      </c>
      <c r="U34" s="459"/>
    </row>
    <row r="35" spans="1:21" ht="12.75" customHeight="1" x14ac:dyDescent="0.2">
      <c r="A35" s="171" t="s">
        <v>191</v>
      </c>
      <c r="B35" s="172" t="s">
        <v>2294</v>
      </c>
      <c r="C35" s="468" t="s">
        <v>1315</v>
      </c>
      <c r="D35" s="175">
        <f>INDEX('Base MFF calcs'!$I$7:$I$258,MATCH($B35,'Base MFF calcs'!$B$7:$B$258,0),1)</f>
        <v>1.0598794377724594</v>
      </c>
      <c r="E35" s="176">
        <f ca="1">D35/MIN('Base MFF calcs'!$I$7:$I$258)</f>
        <v>1.144177259347438</v>
      </c>
      <c r="F35" s="176">
        <v>1.144177</v>
      </c>
      <c r="G35" s="511">
        <f t="shared" ca="1" si="8"/>
        <v>2.2666723586972637E-7</v>
      </c>
      <c r="H35" s="174">
        <f t="shared" ca="1" si="9"/>
        <v>1.144177259347438</v>
      </c>
      <c r="I35" s="501">
        <v>1.144177</v>
      </c>
      <c r="J35" s="177"/>
      <c r="K35" s="173">
        <f t="shared" ca="1" si="10"/>
        <v>1.144177259347438</v>
      </c>
      <c r="L35" s="508">
        <f t="shared" ca="1" si="11"/>
        <v>0</v>
      </c>
      <c r="M35" s="174">
        <f t="shared" ca="1" si="12"/>
        <v>1.144177259347438</v>
      </c>
      <c r="N35" s="174">
        <f ca="1">IF(SUMIFS('Merged Trusts and MFF year'!$C$1:$C$24,'Merged Trusts and MFF year'!$A$1:$A$24,$B35,'Merged Trusts and MFF year'!$D$1:$D$24,"2013-14")=0,M35,SUMIFS('Merged Trusts and MFF year'!$C$1:$C$24,'Merged Trusts and MFF year'!$A$1:$A$24,$B35,'Merged Trusts and MFF year'!$D$1:$D$24,"2013-14"))</f>
        <v>1.144177259347438</v>
      </c>
      <c r="O35" s="498">
        <f ca="1">IF(SUMIFS('Merged Trusts and MFF year'!$C$1:$C$24,'Merged Trusts and MFF year'!$A$1:$A$24,$B35,'Merged Trusts and MFF year'!$D$1:$D$24,"2014-15")=0,N35,SUMIFS('Merged Trusts and MFF year'!$C$1:$C$24,'Merged Trusts and MFF year'!$A$1:$A$24,$B35,'Merged Trusts and MFF year'!$D$1:$D$24,"2014-15"))</f>
        <v>1.144177259347438</v>
      </c>
      <c r="P35" s="504">
        <f t="shared" ca="1" si="5"/>
        <v>0</v>
      </c>
      <c r="Q35" s="498">
        <f ca="1">IF(SUMIFS('Merged Trusts and MFF year'!$C$1:$C$24,'Merged Trusts and MFF year'!$A$1:$A$24,$B35,'Merged Trusts and MFF year'!$D$1:$D$24,"2015-16")=0,O35,SUMIFS('Merged Trusts and MFF year'!$C$1:$C$24,'Merged Trusts and MFF year'!$A$1:$A$24,$B35,'Merged Trusts and MFF year'!$D$1:$D$24,"2015-16"))</f>
        <v>1.144177259347438</v>
      </c>
      <c r="R35" s="504">
        <f t="shared" ca="1" si="6"/>
        <v>0</v>
      </c>
      <c r="S35" s="498">
        <f ca="1">IF(SUMIFS('Merged Trusts and MFF year'!$C$1:$C$24,'Merged Trusts and MFF year'!$A$1:$A$24,$B35,'Merged Trusts and MFF year'!$D$1:$D$24,"2016-17")=0,Q35,SUMIFS('Merged Trusts and MFF year'!$C$1:$C$24,'Merged Trusts and MFF year'!$A$1:$A$24,$B35,'Merged Trusts and MFF year'!$D$1:$D$24,"2016-17"))</f>
        <v>1.144177259347438</v>
      </c>
      <c r="T35" s="504">
        <f t="shared" ca="1" si="7"/>
        <v>0</v>
      </c>
      <c r="U35" s="464"/>
    </row>
    <row r="36" spans="1:21" ht="12.75" customHeight="1" x14ac:dyDescent="0.2">
      <c r="A36" s="171" t="s">
        <v>2133</v>
      </c>
      <c r="B36" s="172" t="s">
        <v>2296</v>
      </c>
      <c r="C36" s="172" t="s">
        <v>2297</v>
      </c>
      <c r="D36" s="175">
        <f>INDEX('Base MFF calcs'!$I$7:$I$258,MATCH($B36,'Base MFF calcs'!$B$7:$B$258,0),1)</f>
        <v>0.96306193903561343</v>
      </c>
      <c r="E36" s="176">
        <f ca="1">D36/MIN('Base MFF calcs'!$I$7:$I$258)</f>
        <v>1.0396593524858648</v>
      </c>
      <c r="F36" s="176">
        <v>1.0396590000000001</v>
      </c>
      <c r="G36" s="511">
        <f t="shared" ca="1" si="8"/>
        <v>3.3903988194694534E-7</v>
      </c>
      <c r="H36" s="174">
        <f t="shared" ca="1" si="9"/>
        <v>1.0396593524858648</v>
      </c>
      <c r="I36" s="501">
        <v>1.0396589999999999</v>
      </c>
      <c r="J36" s="177"/>
      <c r="K36" s="173">
        <f t="shared" ca="1" si="10"/>
        <v>1.0396593524858648</v>
      </c>
      <c r="L36" s="508">
        <f t="shared" ca="1" si="11"/>
        <v>0</v>
      </c>
      <c r="M36" s="174">
        <f t="shared" ca="1" si="12"/>
        <v>1.0396593524858648</v>
      </c>
      <c r="N36" s="174">
        <f ca="1">IF(SUMIFS('Merged Trusts and MFF year'!$C$1:$C$24,'Merged Trusts and MFF year'!$A$1:$A$24,$B36,'Merged Trusts and MFF year'!$D$1:$D$24,"2013-14")=0,M36,SUMIFS('Merged Trusts and MFF year'!$C$1:$C$24,'Merged Trusts and MFF year'!$A$1:$A$24,$B36,'Merged Trusts and MFF year'!$D$1:$D$24,"2013-14"))</f>
        <v>1.0396593524858648</v>
      </c>
      <c r="O36" s="498">
        <f ca="1">IF(SUMIFS('Merged Trusts and MFF year'!$C$1:$C$24,'Merged Trusts and MFF year'!$A$1:$A$24,$B36,'Merged Trusts and MFF year'!$D$1:$D$24,"2014-15")=0,N36,SUMIFS('Merged Trusts and MFF year'!$C$1:$C$24,'Merged Trusts and MFF year'!$A$1:$A$24,$B36,'Merged Trusts and MFF year'!$D$1:$D$24,"2014-15"))</f>
        <v>1.0396593524858648</v>
      </c>
      <c r="P36" s="504">
        <f t="shared" ca="1" si="5"/>
        <v>0</v>
      </c>
      <c r="Q36" s="498">
        <f ca="1">IF(SUMIFS('Merged Trusts and MFF year'!$C$1:$C$24,'Merged Trusts and MFF year'!$A$1:$A$24,$B36,'Merged Trusts and MFF year'!$D$1:$D$24,"2015-16")=0,O36,SUMIFS('Merged Trusts and MFF year'!$C$1:$C$24,'Merged Trusts and MFF year'!$A$1:$A$24,$B36,'Merged Trusts and MFF year'!$D$1:$D$24,"2015-16"))</f>
        <v>1.0396593524858648</v>
      </c>
      <c r="R36" s="504">
        <f t="shared" ca="1" si="6"/>
        <v>0</v>
      </c>
      <c r="S36" s="498">
        <f ca="1">IF(SUMIFS('Merged Trusts and MFF year'!$C$1:$C$24,'Merged Trusts and MFF year'!$A$1:$A$24,$B36,'Merged Trusts and MFF year'!$D$1:$D$24,"2016-17")=0,Q36,SUMIFS('Merged Trusts and MFF year'!$C$1:$C$24,'Merged Trusts and MFF year'!$A$1:$A$24,$B36,'Merged Trusts and MFF year'!$D$1:$D$24,"2016-17"))</f>
        <v>1.0396593524858648</v>
      </c>
      <c r="T36" s="504">
        <f t="shared" ca="1" si="7"/>
        <v>0</v>
      </c>
      <c r="U36" s="459"/>
    </row>
    <row r="37" spans="1:21" ht="12.75" customHeight="1" x14ac:dyDescent="0.2">
      <c r="A37" s="171" t="s">
        <v>3034</v>
      </c>
      <c r="B37" s="172" t="s">
        <v>2298</v>
      </c>
      <c r="C37" s="172" t="s">
        <v>2299</v>
      </c>
      <c r="D37" s="175">
        <f>INDEX('Base MFF calcs'!$I$7:$I$258,MATCH($B37,'Base MFF calcs'!$B$7:$B$258,0),1)</f>
        <v>0.96232257696240864</v>
      </c>
      <c r="E37" s="176">
        <f ca="1">D37/MIN('Base MFF calcs'!$I$7:$I$258)</f>
        <v>1.0388611850335716</v>
      </c>
      <c r="F37" s="176">
        <v>1.038861</v>
      </c>
      <c r="G37" s="511">
        <f t="shared" ca="1" si="8"/>
        <v>1.7811196251216188E-7</v>
      </c>
      <c r="H37" s="174">
        <f t="shared" ca="1" si="9"/>
        <v>1.0388611850335716</v>
      </c>
      <c r="I37" s="501">
        <v>1.038861</v>
      </c>
      <c r="J37" s="177"/>
      <c r="K37" s="173">
        <f t="shared" ca="1" si="10"/>
        <v>1.0388611850335716</v>
      </c>
      <c r="L37" s="508">
        <f t="shared" ca="1" si="11"/>
        <v>0</v>
      </c>
      <c r="M37" s="174">
        <f t="shared" ca="1" si="12"/>
        <v>1.0388611850335716</v>
      </c>
      <c r="N37" s="174">
        <f ca="1">IF(SUMIFS('Merged Trusts and MFF year'!$C$1:$C$24,'Merged Trusts and MFF year'!$A$1:$A$24,$B37,'Merged Trusts and MFF year'!$D$1:$D$24,"2013-14")=0,M37,SUMIFS('Merged Trusts and MFF year'!$C$1:$C$24,'Merged Trusts and MFF year'!$A$1:$A$24,$B37,'Merged Trusts and MFF year'!$D$1:$D$24,"2013-14"))</f>
        <v>1.0388611850335716</v>
      </c>
      <c r="O37" s="498">
        <f ca="1">IF(SUMIFS('Merged Trusts and MFF year'!$C$1:$C$24,'Merged Trusts and MFF year'!$A$1:$A$24,$B37,'Merged Trusts and MFF year'!$D$1:$D$24,"2014-15")=0,N37,SUMIFS('Merged Trusts and MFF year'!$C$1:$C$24,'Merged Trusts and MFF year'!$A$1:$A$24,$B37,'Merged Trusts and MFF year'!$D$1:$D$24,"2014-15"))</f>
        <v>1.0388611850335716</v>
      </c>
      <c r="P37" s="504">
        <f t="shared" ca="1" si="5"/>
        <v>0</v>
      </c>
      <c r="Q37" s="498">
        <f ca="1">IF(SUMIFS('Merged Trusts and MFF year'!$C$1:$C$24,'Merged Trusts and MFF year'!$A$1:$A$24,$B37,'Merged Trusts and MFF year'!$D$1:$D$24,"2015-16")=0,O37,SUMIFS('Merged Trusts and MFF year'!$C$1:$C$24,'Merged Trusts and MFF year'!$A$1:$A$24,$B37,'Merged Trusts and MFF year'!$D$1:$D$24,"2015-16"))</f>
        <v>1.0388611850335716</v>
      </c>
      <c r="R37" s="504">
        <f t="shared" ca="1" si="6"/>
        <v>0</v>
      </c>
      <c r="S37" s="498">
        <f ca="1">IF(SUMIFS('Merged Trusts and MFF year'!$C$1:$C$24,'Merged Trusts and MFF year'!$A$1:$A$24,$B37,'Merged Trusts and MFF year'!$D$1:$D$24,"2016-17")=0,Q37,SUMIFS('Merged Trusts and MFF year'!$C$1:$C$24,'Merged Trusts and MFF year'!$A$1:$A$24,$B37,'Merged Trusts and MFF year'!$D$1:$D$24,"2016-17"))</f>
        <v>1.0388611850335716</v>
      </c>
      <c r="T37" s="504">
        <f t="shared" ca="1" si="7"/>
        <v>0</v>
      </c>
      <c r="U37" s="459"/>
    </row>
    <row r="38" spans="1:21" ht="12.75" customHeight="1" x14ac:dyDescent="0.2">
      <c r="A38" s="171" t="s">
        <v>2975</v>
      </c>
      <c r="B38" s="172" t="s">
        <v>2300</v>
      </c>
      <c r="C38" s="172" t="s">
        <v>2301</v>
      </c>
      <c r="D38" s="175">
        <f>INDEX('Base MFF calcs'!$I$7:$I$258,MATCH($B38,'Base MFF calcs'!$B$7:$B$258,0),1)</f>
        <v>0.95282937226214548</v>
      </c>
      <c r="E38" s="176">
        <f ca="1">D38/MIN('Base MFF calcs'!$I$7:$I$258)</f>
        <v>1.0286129355164382</v>
      </c>
      <c r="F38" s="176">
        <v>1.028613</v>
      </c>
      <c r="G38" s="511">
        <f t="shared" ca="1" si="8"/>
        <v>-6.2689818114414209E-8</v>
      </c>
      <c r="H38" s="174">
        <f t="shared" ca="1" si="9"/>
        <v>1.0286129355164382</v>
      </c>
      <c r="I38" s="501">
        <v>1.028613</v>
      </c>
      <c r="J38" s="177"/>
      <c r="K38" s="173">
        <f t="shared" ca="1" si="10"/>
        <v>1.0286129355164382</v>
      </c>
      <c r="L38" s="508">
        <f t="shared" ca="1" si="11"/>
        <v>0</v>
      </c>
      <c r="M38" s="174">
        <f t="shared" ca="1" si="12"/>
        <v>1.0286129355164382</v>
      </c>
      <c r="N38" s="174">
        <f ca="1">IF(SUMIFS('Merged Trusts and MFF year'!$C$1:$C$24,'Merged Trusts and MFF year'!$A$1:$A$24,$B38,'Merged Trusts and MFF year'!$D$1:$D$24,"2013-14")=0,M38,SUMIFS('Merged Trusts and MFF year'!$C$1:$C$24,'Merged Trusts and MFF year'!$A$1:$A$24,$B38,'Merged Trusts and MFF year'!$D$1:$D$24,"2013-14"))</f>
        <v>1.0286129355164382</v>
      </c>
      <c r="O38" s="498">
        <f ca="1">IF(SUMIFS('Merged Trusts and MFF year'!$C$1:$C$24,'Merged Trusts and MFF year'!$A$1:$A$24,$B38,'Merged Trusts and MFF year'!$D$1:$D$24,"2014-15")=0,N38,SUMIFS('Merged Trusts and MFF year'!$C$1:$C$24,'Merged Trusts and MFF year'!$A$1:$A$24,$B38,'Merged Trusts and MFF year'!$D$1:$D$24,"2014-15"))</f>
        <v>1.0286129355164382</v>
      </c>
      <c r="P38" s="504">
        <f t="shared" ca="1" si="5"/>
        <v>0</v>
      </c>
      <c r="Q38" s="498">
        <f ca="1">IF(SUMIFS('Merged Trusts and MFF year'!$C$1:$C$24,'Merged Trusts and MFF year'!$A$1:$A$24,$B38,'Merged Trusts and MFF year'!$D$1:$D$24,"2015-16")=0,O38,SUMIFS('Merged Trusts and MFF year'!$C$1:$C$24,'Merged Trusts and MFF year'!$A$1:$A$24,$B38,'Merged Trusts and MFF year'!$D$1:$D$24,"2015-16"))</f>
        <v>1.0286129355164382</v>
      </c>
      <c r="R38" s="504">
        <f t="shared" ca="1" si="6"/>
        <v>0</v>
      </c>
      <c r="S38" s="498">
        <f ca="1">IF(SUMIFS('Merged Trusts and MFF year'!$C$1:$C$24,'Merged Trusts and MFF year'!$A$1:$A$24,$B38,'Merged Trusts and MFF year'!$D$1:$D$24,"2016-17")=0,Q38,SUMIFS('Merged Trusts and MFF year'!$C$1:$C$24,'Merged Trusts and MFF year'!$A$1:$A$24,$B38,'Merged Trusts and MFF year'!$D$1:$D$24,"2016-17"))</f>
        <v>1.0286129355164382</v>
      </c>
      <c r="T38" s="504">
        <f t="shared" ca="1" si="7"/>
        <v>0</v>
      </c>
      <c r="U38" s="459"/>
    </row>
    <row r="39" spans="1:21" ht="12.75" customHeight="1" x14ac:dyDescent="0.2">
      <c r="A39" s="171" t="s">
        <v>1127</v>
      </c>
      <c r="B39" s="172" t="s">
        <v>2302</v>
      </c>
      <c r="C39" s="172" t="s">
        <v>2303</v>
      </c>
      <c r="D39" s="175">
        <f>INDEX('Base MFF calcs'!$I$7:$I$258,MATCH($B39,'Base MFF calcs'!$B$7:$B$258,0),1)</f>
        <v>1.008346686105021</v>
      </c>
      <c r="E39" s="176">
        <f ca="1">D39/MIN('Base MFF calcs'!$I$7:$I$258)</f>
        <v>1.0885458351796071</v>
      </c>
      <c r="F39" s="176">
        <v>1.0941369999999999</v>
      </c>
      <c r="G39" s="511">
        <f t="shared" ca="1" si="8"/>
        <v>-5.1101140171594395E-3</v>
      </c>
      <c r="H39" s="174">
        <f t="shared" ca="1" si="9"/>
        <v>1.0885458351796071</v>
      </c>
      <c r="I39" s="501">
        <v>1.088546</v>
      </c>
      <c r="J39" s="177"/>
      <c r="K39" s="173">
        <f t="shared" ca="1" si="10"/>
        <v>1.0885458351796071</v>
      </c>
      <c r="L39" s="508">
        <f t="shared" ca="1" si="11"/>
        <v>0</v>
      </c>
      <c r="M39" s="174">
        <f t="shared" ca="1" si="12"/>
        <v>1.0885458351796071</v>
      </c>
      <c r="N39" s="174">
        <f ca="1">IF(SUMIFS('Merged Trusts and MFF year'!$C$1:$C$24,'Merged Trusts and MFF year'!$A$1:$A$24,$B39,'Merged Trusts and MFF year'!$D$1:$D$24,"2013-14")=0,M39,SUMIFS('Merged Trusts and MFF year'!$C$1:$C$24,'Merged Trusts and MFF year'!$A$1:$A$24,$B39,'Merged Trusts and MFF year'!$D$1:$D$24,"2013-14"))</f>
        <v>1.0885458351796071</v>
      </c>
      <c r="O39" s="498">
        <f ca="1">IF(SUMIFS('Merged Trusts and MFF year'!$C$1:$C$24,'Merged Trusts and MFF year'!$A$1:$A$24,$B39,'Merged Trusts and MFF year'!$D$1:$D$24,"2014-15")=0,N39,SUMIFS('Merged Trusts and MFF year'!$C$1:$C$24,'Merged Trusts and MFF year'!$A$1:$A$24,$B39,'Merged Trusts and MFF year'!$D$1:$D$24,"2014-15"))</f>
        <v>1.0885458351796071</v>
      </c>
      <c r="P39" s="504">
        <f t="shared" ca="1" si="5"/>
        <v>0</v>
      </c>
      <c r="Q39" s="498">
        <f ca="1">IF(SUMIFS('Merged Trusts and MFF year'!$C$1:$C$24,'Merged Trusts and MFF year'!$A$1:$A$24,$B39,'Merged Trusts and MFF year'!$D$1:$D$24,"2015-16")=0,O39,SUMIFS('Merged Trusts and MFF year'!$C$1:$C$24,'Merged Trusts and MFF year'!$A$1:$A$24,$B39,'Merged Trusts and MFF year'!$D$1:$D$24,"2015-16"))</f>
        <v>1.0885458351796071</v>
      </c>
      <c r="R39" s="504">
        <f t="shared" ca="1" si="6"/>
        <v>0</v>
      </c>
      <c r="S39" s="498">
        <f ca="1">IF(SUMIFS('Merged Trusts and MFF year'!$C$1:$C$24,'Merged Trusts and MFF year'!$A$1:$A$24,$B39,'Merged Trusts and MFF year'!$D$1:$D$24,"2016-17")=0,Q39,SUMIFS('Merged Trusts and MFF year'!$C$1:$C$24,'Merged Trusts and MFF year'!$A$1:$A$24,$B39,'Merged Trusts and MFF year'!$D$1:$D$24,"2016-17"))</f>
        <v>1.0885458351796071</v>
      </c>
      <c r="T39" s="504">
        <f t="shared" ca="1" si="7"/>
        <v>0</v>
      </c>
      <c r="U39" s="459"/>
    </row>
    <row r="40" spans="1:21" ht="12.75" customHeight="1" x14ac:dyDescent="0.2">
      <c r="A40" s="171" t="s">
        <v>1127</v>
      </c>
      <c r="B40" s="172" t="s">
        <v>2304</v>
      </c>
      <c r="C40" s="172" t="s">
        <v>2305</v>
      </c>
      <c r="D40" s="175">
        <f>INDEX('Base MFF calcs'!$I$7:$I$258,MATCH($B40,'Base MFF calcs'!$B$7:$B$258,0),1)</f>
        <v>0.99796069368397222</v>
      </c>
      <c r="E40" s="176">
        <f ca="1">D40/MIN('Base MFF calcs'!$I$7:$I$258)</f>
        <v>1.0773337898087731</v>
      </c>
      <c r="F40" s="176">
        <v>1.077334</v>
      </c>
      <c r="G40" s="511">
        <f t="shared" ca="1" si="8"/>
        <v>-1.9510312199155777E-7</v>
      </c>
      <c r="H40" s="174">
        <f t="shared" ca="1" si="9"/>
        <v>1.0773337898087731</v>
      </c>
      <c r="I40" s="501">
        <v>1.077334</v>
      </c>
      <c r="J40" s="177"/>
      <c r="K40" s="173">
        <f t="shared" ca="1" si="10"/>
        <v>1.0773337898087731</v>
      </c>
      <c r="L40" s="508">
        <f t="shared" ca="1" si="11"/>
        <v>0</v>
      </c>
      <c r="M40" s="174">
        <f t="shared" ca="1" si="12"/>
        <v>1.0773337898087731</v>
      </c>
      <c r="N40" s="174">
        <f ca="1">IF(SUMIFS('Merged Trusts and MFF year'!$C$1:$C$24,'Merged Trusts and MFF year'!$A$1:$A$24,$B40,'Merged Trusts and MFF year'!$D$1:$D$24,"2013-14")=0,M40,SUMIFS('Merged Trusts and MFF year'!$C$1:$C$24,'Merged Trusts and MFF year'!$A$1:$A$24,$B40,'Merged Trusts and MFF year'!$D$1:$D$24,"2013-14"))</f>
        <v>1.0773337898087731</v>
      </c>
      <c r="O40" s="498">
        <f ca="1">IF(SUMIFS('Merged Trusts and MFF year'!$C$1:$C$24,'Merged Trusts and MFF year'!$A$1:$A$24,$B40,'Merged Trusts and MFF year'!$D$1:$D$24,"2014-15")=0,N40,SUMIFS('Merged Trusts and MFF year'!$C$1:$C$24,'Merged Trusts and MFF year'!$A$1:$A$24,$B40,'Merged Trusts and MFF year'!$D$1:$D$24,"2014-15"))</f>
        <v>1.0773337898087731</v>
      </c>
      <c r="P40" s="504">
        <f t="shared" ca="1" si="5"/>
        <v>0</v>
      </c>
      <c r="Q40" s="498">
        <f ca="1">IF(SUMIFS('Merged Trusts and MFF year'!$C$1:$C$24,'Merged Trusts and MFF year'!$A$1:$A$24,$B40,'Merged Trusts and MFF year'!$D$1:$D$24,"2015-16")=0,O40,SUMIFS('Merged Trusts and MFF year'!$C$1:$C$24,'Merged Trusts and MFF year'!$A$1:$A$24,$B40,'Merged Trusts and MFF year'!$D$1:$D$24,"2015-16"))</f>
        <v>1.0773337898087731</v>
      </c>
      <c r="R40" s="504">
        <f t="shared" ca="1" si="6"/>
        <v>0</v>
      </c>
      <c r="S40" s="498">
        <f ca="1">IF(SUMIFS('Merged Trusts and MFF year'!$C$1:$C$24,'Merged Trusts and MFF year'!$A$1:$A$24,$B40,'Merged Trusts and MFF year'!$D$1:$D$24,"2016-17")=0,Q40,SUMIFS('Merged Trusts and MFF year'!$C$1:$C$24,'Merged Trusts and MFF year'!$A$1:$A$24,$B40,'Merged Trusts and MFF year'!$D$1:$D$24,"2016-17"))</f>
        <v>1.0773337898087731</v>
      </c>
      <c r="T40" s="504">
        <f t="shared" ca="1" si="7"/>
        <v>0</v>
      </c>
      <c r="U40" s="459"/>
    </row>
    <row r="41" spans="1:21" ht="12.75" customHeight="1" x14ac:dyDescent="0.2">
      <c r="A41" s="468" t="s">
        <v>1127</v>
      </c>
      <c r="B41" s="467" t="s">
        <v>2306</v>
      </c>
      <c r="C41" s="468" t="s">
        <v>2307</v>
      </c>
      <c r="D41" s="469">
        <f>INDEX('Base MFF calcs'!$I$7:$I$258,MATCH($B41,'Base MFF calcs'!$B$7:$B$258,0),1)</f>
        <v>1.0122362501852271</v>
      </c>
      <c r="E41" s="469">
        <f ca="1">D41/MIN('Base MFF calcs'!$I$7:$I$258)</f>
        <v>1.0927447568783806</v>
      </c>
      <c r="F41" s="469"/>
      <c r="G41" s="512">
        <f t="shared" si="8"/>
        <v>0</v>
      </c>
      <c r="H41" s="469">
        <f t="shared" ca="1" si="9"/>
        <v>1.0927447568783806</v>
      </c>
      <c r="I41" s="502">
        <v>1.0927449999999999</v>
      </c>
      <c r="J41" s="470"/>
      <c r="K41" s="173">
        <f t="shared" ca="1" si="10"/>
        <v>1.0927447568783806</v>
      </c>
      <c r="L41" s="508">
        <f t="shared" ca="1" si="11"/>
        <v>0</v>
      </c>
      <c r="M41" s="174">
        <f t="shared" ca="1" si="12"/>
        <v>1.0927447568783806</v>
      </c>
      <c r="N41" s="174">
        <f ca="1">IF(SUMIFS('Merged Trusts and MFF year'!$C$1:$C$24,'Merged Trusts and MFF year'!$A$1:$A$24,$B41,'Merged Trusts and MFF year'!$D$1:$D$24,"2013-14")=0,M41,SUMIFS('Merged Trusts and MFF year'!$C$1:$C$24,'Merged Trusts and MFF year'!$A$1:$A$24,$B41,'Merged Trusts and MFF year'!$D$1:$D$24,"2013-14"))</f>
        <v>1.0927447568783806</v>
      </c>
      <c r="O41" s="498">
        <f ca="1">IF(SUMIFS('Merged Trusts and MFF year'!$C$1:$C$24,'Merged Trusts and MFF year'!$A$1:$A$24,$B41,'Merged Trusts and MFF year'!$D$1:$D$24,"2014-15")=0,N41,SUMIFS('Merged Trusts and MFF year'!$C$1:$C$24,'Merged Trusts and MFF year'!$A$1:$A$24,$B41,'Merged Trusts and MFF year'!$D$1:$D$24,"2014-15"))</f>
        <v>1.0927447568783806</v>
      </c>
      <c r="P41" s="504">
        <f t="shared" ca="1" si="5"/>
        <v>0</v>
      </c>
      <c r="Q41" s="498">
        <f ca="1">IF(SUMIFS('Merged Trusts and MFF year'!$C$1:$C$24,'Merged Trusts and MFF year'!$A$1:$A$24,$B41,'Merged Trusts and MFF year'!$D$1:$D$24,"2015-16")=0,O41,SUMIFS('Merged Trusts and MFF year'!$C$1:$C$24,'Merged Trusts and MFF year'!$A$1:$A$24,$B41,'Merged Trusts and MFF year'!$D$1:$D$24,"2015-16"))</f>
        <v>1.0927447568783806</v>
      </c>
      <c r="R41" s="504">
        <f t="shared" ca="1" si="6"/>
        <v>0</v>
      </c>
      <c r="S41" s="498">
        <f ca="1">IF(SUMIFS('Merged Trusts and MFF year'!$C$1:$C$24,'Merged Trusts and MFF year'!$A$1:$A$24,$B41,'Merged Trusts and MFF year'!$D$1:$D$24,"2016-17")=0,Q41,SUMIFS('Merged Trusts and MFF year'!$C$1:$C$24,'Merged Trusts and MFF year'!$A$1:$A$24,$B41,'Merged Trusts and MFF year'!$D$1:$D$24,"2016-17"))</f>
        <v>1.0927447568783806</v>
      </c>
      <c r="T41" s="504">
        <f t="shared" ca="1" si="7"/>
        <v>0</v>
      </c>
      <c r="U41" s="472"/>
    </row>
    <row r="42" spans="1:21" ht="12.75" customHeight="1" x14ac:dyDescent="0.2">
      <c r="A42" s="171" t="s">
        <v>1167</v>
      </c>
      <c r="B42" s="172" t="s">
        <v>2308</v>
      </c>
      <c r="C42" s="172" t="s">
        <v>2053</v>
      </c>
      <c r="D42" s="175">
        <f>INDEX('Base MFF calcs'!$I$7:$I$258,MATCH($B42,'Base MFF calcs'!$B$7:$B$258,0),1)</f>
        <v>1.1331048408542954</v>
      </c>
      <c r="E42" s="176">
        <f ca="1">D42/MIN('Base MFF calcs'!$I$7:$I$258)</f>
        <v>1.2232266663147742</v>
      </c>
      <c r="F42" s="176">
        <v>1.2232270000000001</v>
      </c>
      <c r="G42" s="511">
        <f t="shared" ca="1" si="8"/>
        <v>-2.7279092584819864E-7</v>
      </c>
      <c r="H42" s="174">
        <f t="shared" ca="1" si="9"/>
        <v>1.2232266663147742</v>
      </c>
      <c r="I42" s="501">
        <v>1.2232269999999998</v>
      </c>
      <c r="J42" s="177"/>
      <c r="K42" s="173">
        <f t="shared" ca="1" si="10"/>
        <v>1.2232266663147742</v>
      </c>
      <c r="L42" s="508">
        <f t="shared" ca="1" si="11"/>
        <v>0</v>
      </c>
      <c r="M42" s="174">
        <f t="shared" ca="1" si="12"/>
        <v>1.2232266663147742</v>
      </c>
      <c r="N42" s="174">
        <f ca="1">IF(SUMIFS('Merged Trusts and MFF year'!$C$1:$C$24,'Merged Trusts and MFF year'!$A$1:$A$24,$B42,'Merged Trusts and MFF year'!$D$1:$D$24,"2013-14")=0,M42,SUMIFS('Merged Trusts and MFF year'!$C$1:$C$24,'Merged Trusts and MFF year'!$A$1:$A$24,$B42,'Merged Trusts and MFF year'!$D$1:$D$24,"2013-14"))</f>
        <v>1.2232266663147742</v>
      </c>
      <c r="O42" s="498">
        <f ca="1">IF(SUMIFS('Merged Trusts and MFF year'!$C$1:$C$24,'Merged Trusts and MFF year'!$A$1:$A$24,$B42,'Merged Trusts and MFF year'!$D$1:$D$24,"2014-15")=0,N42,SUMIFS('Merged Trusts and MFF year'!$C$1:$C$24,'Merged Trusts and MFF year'!$A$1:$A$24,$B42,'Merged Trusts and MFF year'!$D$1:$D$24,"2014-15"))</f>
        <v>1.2232266663147742</v>
      </c>
      <c r="P42" s="504">
        <f t="shared" ca="1" si="5"/>
        <v>0</v>
      </c>
      <c r="Q42" s="498">
        <f ca="1">IF(SUMIFS('Merged Trusts and MFF year'!$C$1:$C$24,'Merged Trusts and MFF year'!$A$1:$A$24,$B42,'Merged Trusts and MFF year'!$D$1:$D$24,"2015-16")=0,O42,SUMIFS('Merged Trusts and MFF year'!$C$1:$C$24,'Merged Trusts and MFF year'!$A$1:$A$24,$B42,'Merged Trusts and MFF year'!$D$1:$D$24,"2015-16"))</f>
        <v>1.2232266663147742</v>
      </c>
      <c r="R42" s="504">
        <f t="shared" ca="1" si="6"/>
        <v>0</v>
      </c>
      <c r="S42" s="498">
        <f ca="1">IF(SUMIFS('Merged Trusts and MFF year'!$C$1:$C$24,'Merged Trusts and MFF year'!$A$1:$A$24,$B42,'Merged Trusts and MFF year'!$D$1:$D$24,"2016-17")=0,Q42,SUMIFS('Merged Trusts and MFF year'!$C$1:$C$24,'Merged Trusts and MFF year'!$A$1:$A$24,$B42,'Merged Trusts and MFF year'!$D$1:$D$24,"2016-17"))</f>
        <v>1.2232266663147742</v>
      </c>
      <c r="T42" s="504">
        <f t="shared" ca="1" si="7"/>
        <v>0</v>
      </c>
      <c r="U42" s="459"/>
    </row>
    <row r="43" spans="1:21" ht="12.75" customHeight="1" x14ac:dyDescent="0.2">
      <c r="A43" s="171" t="s">
        <v>1167</v>
      </c>
      <c r="B43" s="172" t="s">
        <v>2310</v>
      </c>
      <c r="C43" s="172" t="s">
        <v>2311</v>
      </c>
      <c r="D43" s="175">
        <f>INDEX('Base MFF calcs'!$I$7:$I$258,MATCH($B43,'Base MFF calcs'!$B$7:$B$258,0),1)</f>
        <v>1.1246244161757415</v>
      </c>
      <c r="E43" s="176">
        <f ca="1">D43/MIN('Base MFF calcs'!$I$7:$I$258)</f>
        <v>1.2140717485750705</v>
      </c>
      <c r="F43" s="176">
        <v>1.214072</v>
      </c>
      <c r="G43" s="511">
        <f t="shared" ca="1" si="8"/>
        <v>-2.0709227255277796E-7</v>
      </c>
      <c r="H43" s="174">
        <f t="shared" ca="1" si="9"/>
        <v>1.2140717485750705</v>
      </c>
      <c r="I43" s="501">
        <v>1.214072</v>
      </c>
      <c r="J43" s="177"/>
      <c r="K43" s="173">
        <f t="shared" ca="1" si="10"/>
        <v>1.2140717485750705</v>
      </c>
      <c r="L43" s="508">
        <f t="shared" ca="1" si="11"/>
        <v>0</v>
      </c>
      <c r="M43" s="174">
        <f t="shared" ca="1" si="12"/>
        <v>1.2140717485750705</v>
      </c>
      <c r="N43" s="174">
        <f ca="1">IF(SUMIFS('Merged Trusts and MFF year'!$C$1:$C$24,'Merged Trusts and MFF year'!$A$1:$A$24,$B43,'Merged Trusts and MFF year'!$D$1:$D$24,"2013-14")=0,M43,SUMIFS('Merged Trusts and MFF year'!$C$1:$C$24,'Merged Trusts and MFF year'!$A$1:$A$24,$B43,'Merged Trusts and MFF year'!$D$1:$D$24,"2013-14"))</f>
        <v>1.2140717485750705</v>
      </c>
      <c r="O43" s="498">
        <f ca="1">IF(SUMIFS('Merged Trusts and MFF year'!$C$1:$C$24,'Merged Trusts and MFF year'!$A$1:$A$24,$B43,'Merged Trusts and MFF year'!$D$1:$D$24,"2014-15")=0,N43,SUMIFS('Merged Trusts and MFF year'!$C$1:$C$24,'Merged Trusts and MFF year'!$A$1:$A$24,$B43,'Merged Trusts and MFF year'!$D$1:$D$24,"2014-15"))</f>
        <v>1.2140717485750705</v>
      </c>
      <c r="P43" s="504">
        <f t="shared" ca="1" si="5"/>
        <v>0</v>
      </c>
      <c r="Q43" s="498">
        <f ca="1">IF(SUMIFS('Merged Trusts and MFF year'!$C$1:$C$24,'Merged Trusts and MFF year'!$A$1:$A$24,$B43,'Merged Trusts and MFF year'!$D$1:$D$24,"2015-16")=0,O43,SUMIFS('Merged Trusts and MFF year'!$C$1:$C$24,'Merged Trusts and MFF year'!$A$1:$A$24,$B43,'Merged Trusts and MFF year'!$D$1:$D$24,"2015-16"))</f>
        <v>1.2140717485750705</v>
      </c>
      <c r="R43" s="504">
        <f t="shared" ca="1" si="6"/>
        <v>0</v>
      </c>
      <c r="S43" s="498">
        <f ca="1">IF(SUMIFS('Merged Trusts and MFF year'!$C$1:$C$24,'Merged Trusts and MFF year'!$A$1:$A$24,$B43,'Merged Trusts and MFF year'!$D$1:$D$24,"2016-17")=0,Q43,SUMIFS('Merged Trusts and MFF year'!$C$1:$C$24,'Merged Trusts and MFF year'!$A$1:$A$24,$B43,'Merged Trusts and MFF year'!$D$1:$D$24,"2016-17"))</f>
        <v>1.2140717485750705</v>
      </c>
      <c r="T43" s="504">
        <f t="shared" ca="1" si="7"/>
        <v>0</v>
      </c>
      <c r="U43" s="459"/>
    </row>
    <row r="44" spans="1:21" ht="22.5" x14ac:dyDescent="0.2">
      <c r="A44" s="468" t="s">
        <v>1167</v>
      </c>
      <c r="B44" s="467" t="s">
        <v>2312</v>
      </c>
      <c r="C44" s="474" t="s">
        <v>2313</v>
      </c>
      <c r="D44" s="469">
        <f>INDEX('Base MFF calcs'!$I$7:$I$258,MATCH($B44,'Base MFF calcs'!$B$7:$B$258,0),1)</f>
        <v>1.1405431403582402</v>
      </c>
      <c r="E44" s="469">
        <f ca="1">D44/MIN('Base MFF calcs'!$I$7:$I$258)</f>
        <v>1.2312565731488156</v>
      </c>
      <c r="F44" s="469"/>
      <c r="G44" s="512">
        <f t="shared" si="8"/>
        <v>0</v>
      </c>
      <c r="H44" s="469">
        <f t="shared" ca="1" si="9"/>
        <v>1.2312565731488156</v>
      </c>
      <c r="I44" s="502">
        <v>1.247436</v>
      </c>
      <c r="J44" s="470"/>
      <c r="K44" s="173">
        <f t="shared" ca="1" si="10"/>
        <v>1.2312565731488156</v>
      </c>
      <c r="L44" s="508">
        <f t="shared" ca="1" si="11"/>
        <v>0</v>
      </c>
      <c r="M44" s="174">
        <f t="shared" ca="1" si="12"/>
        <v>1.2312565731488156</v>
      </c>
      <c r="N44" s="174">
        <f ca="1">IF(SUMIFS('Merged Trusts and MFF year'!$C$1:$C$24,'Merged Trusts and MFF year'!$A$1:$A$24,$B44,'Merged Trusts and MFF year'!$D$1:$D$24,"2013-14")=0,M44,SUMIFS('Merged Trusts and MFF year'!$C$1:$C$24,'Merged Trusts and MFF year'!$A$1:$A$24,$B44,'Merged Trusts and MFF year'!$D$1:$D$24,"2013-14"))</f>
        <v>1.2312565731488156</v>
      </c>
      <c r="O44" s="498">
        <f ca="1">IF(SUMIFS('Merged Trusts and MFF year'!$C$1:$C$24,'Merged Trusts and MFF year'!$A$1:$A$24,$B44,'Merged Trusts and MFF year'!$D$1:$D$24,"2014-15")=0,N44,SUMIFS('Merged Trusts and MFF year'!$C$1:$C$24,'Merged Trusts and MFF year'!$A$1:$A$24,$B44,'Merged Trusts and MFF year'!$D$1:$D$24,"2014-15"))</f>
        <v>1.2312565731488156</v>
      </c>
      <c r="P44" s="504">
        <f t="shared" ca="1" si="5"/>
        <v>0</v>
      </c>
      <c r="Q44" s="498">
        <f ca="1">IF(SUMIFS('Merged Trusts and MFF year'!$C$1:$C$24,'Merged Trusts and MFF year'!$A$1:$A$24,$B44,'Merged Trusts and MFF year'!$D$1:$D$24,"2015-16")=0,O44,SUMIFS('Merged Trusts and MFF year'!$C$1:$C$24,'Merged Trusts and MFF year'!$A$1:$A$24,$B44,'Merged Trusts and MFF year'!$D$1:$D$24,"2015-16"))</f>
        <v>1.2312565731488156</v>
      </c>
      <c r="R44" s="504">
        <f t="shared" ca="1" si="6"/>
        <v>0</v>
      </c>
      <c r="S44" s="498">
        <f ca="1">IF(SUMIFS('Merged Trusts and MFF year'!$C$1:$C$24,'Merged Trusts and MFF year'!$A$1:$A$24,$B44,'Merged Trusts and MFF year'!$D$1:$D$24,"2016-17")=0,Q44,SUMIFS('Merged Trusts and MFF year'!$C$1:$C$24,'Merged Trusts and MFF year'!$A$1:$A$24,$B44,'Merged Trusts and MFF year'!$D$1:$D$24,"2016-17"))</f>
        <v>1.2312565731488156</v>
      </c>
      <c r="T44" s="504">
        <f t="shared" ca="1" si="7"/>
        <v>0</v>
      </c>
      <c r="U44" s="475" t="s">
        <v>3390</v>
      </c>
    </row>
    <row r="45" spans="1:21" ht="22.5" x14ac:dyDescent="0.2">
      <c r="A45" s="171" t="s">
        <v>2975</v>
      </c>
      <c r="B45" s="172" t="s">
        <v>2314</v>
      </c>
      <c r="C45" s="172" t="s">
        <v>2315</v>
      </c>
      <c r="D45" s="175">
        <f>INDEX('Base MFF calcs'!$I$7:$I$258,MATCH($B45,'Base MFF calcs'!$B$7:$B$258,0),1)</f>
        <v>0.97894078738571455</v>
      </c>
      <c r="E45" s="174">
        <f ca="1">D45/MIN('Base MFF calcs'!$I$7:$I$258)</f>
        <v>1.056801129691201</v>
      </c>
      <c r="F45" s="174" t="s">
        <v>636</v>
      </c>
      <c r="G45" s="511" t="e">
        <f t="shared" ca="1" si="8"/>
        <v>#VALUE!</v>
      </c>
      <c r="H45" s="174">
        <f t="shared" ca="1" si="9"/>
        <v>1.056801129691201</v>
      </c>
      <c r="I45" s="501">
        <v>1.056802</v>
      </c>
      <c r="J45" s="177"/>
      <c r="K45" s="173">
        <f t="shared" ca="1" si="10"/>
        <v>1.056801129691201</v>
      </c>
      <c r="L45" s="508">
        <f t="shared" ca="1" si="11"/>
        <v>0</v>
      </c>
      <c r="M45" s="174">
        <f t="shared" ca="1" si="12"/>
        <v>1.056801129691201</v>
      </c>
      <c r="N45" s="174">
        <f ca="1">IF(SUMIFS('Merged Trusts and MFF year'!$C$1:$C$24,'Merged Trusts and MFF year'!$A$1:$A$24,$B45,'Merged Trusts and MFF year'!$D$1:$D$24,"2013-14")=0,M45,SUMIFS('Merged Trusts and MFF year'!$C$1:$C$24,'Merged Trusts and MFF year'!$A$1:$A$24,$B45,'Merged Trusts and MFF year'!$D$1:$D$24,"2013-14"))</f>
        <v>1.056801129691201</v>
      </c>
      <c r="O45" s="498">
        <f ca="1">IF(SUMIFS('Merged Trusts and MFF year'!$C$1:$C$24,'Merged Trusts and MFF year'!$A$1:$A$24,$B45,'Merged Trusts and MFF year'!$D$1:$D$24,"2014-15")=0,N45,SUMIFS('Merged Trusts and MFF year'!$C$1:$C$24,'Merged Trusts and MFF year'!$A$1:$A$24,$B45,'Merged Trusts and MFF year'!$D$1:$D$24,"2014-15"))</f>
        <v>1.056801129691201</v>
      </c>
      <c r="P45" s="504">
        <f t="shared" ca="1" si="5"/>
        <v>0</v>
      </c>
      <c r="Q45" s="498">
        <f ca="1">IF(SUMIFS('Merged Trusts and MFF year'!$C$1:$C$24,'Merged Trusts and MFF year'!$A$1:$A$24,$B45,'Merged Trusts and MFF year'!$D$1:$D$24,"2015-16")=0,O45,SUMIFS('Merged Trusts and MFF year'!$C$1:$C$24,'Merged Trusts and MFF year'!$A$1:$A$24,$B45,'Merged Trusts and MFF year'!$D$1:$D$24,"2015-16"))</f>
        <v>1.056801129691201</v>
      </c>
      <c r="R45" s="504">
        <f t="shared" ca="1" si="6"/>
        <v>0</v>
      </c>
      <c r="S45" s="498">
        <f ca="1">IF(SUMIFS('Merged Trusts and MFF year'!$C$1:$C$24,'Merged Trusts and MFF year'!$A$1:$A$24,$B45,'Merged Trusts and MFF year'!$D$1:$D$24,"2016-17")=0,Q45,SUMIFS('Merged Trusts and MFF year'!$C$1:$C$24,'Merged Trusts and MFF year'!$A$1:$A$24,$B45,'Merged Trusts and MFF year'!$D$1:$D$24,"2016-17"))</f>
        <v>1.056801129691201</v>
      </c>
      <c r="T45" s="504">
        <f t="shared" ca="1" si="7"/>
        <v>0</v>
      </c>
      <c r="U45" s="459" t="s">
        <v>1294</v>
      </c>
    </row>
    <row r="46" spans="1:21" ht="45" x14ac:dyDescent="0.2">
      <c r="A46" s="171" t="s">
        <v>1167</v>
      </c>
      <c r="B46" s="172" t="s">
        <v>2316</v>
      </c>
      <c r="C46" s="172" t="s">
        <v>2317</v>
      </c>
      <c r="D46" s="175">
        <f>INDEX('Base MFF calcs'!$I$7:$I$258,MATCH($B46,'Base MFF calcs'!$B$7:$B$258,0),1)</f>
        <v>1.1985837995628383</v>
      </c>
      <c r="E46" s="176">
        <f ca="1">D46/MIN('Base MFF calcs'!$I$7:$I$258)</f>
        <v>1.293913513186266</v>
      </c>
      <c r="F46" s="176">
        <v>1.293914</v>
      </c>
      <c r="G46" s="511">
        <f t="shared" ca="1" si="8"/>
        <v>-3.7623345450210621E-7</v>
      </c>
      <c r="H46" s="174">
        <f t="shared" ca="1" si="9"/>
        <v>1.293913513186266</v>
      </c>
      <c r="I46" s="501">
        <v>1.293914</v>
      </c>
      <c r="J46" s="177"/>
      <c r="K46" s="173">
        <f t="shared" ca="1" si="10"/>
        <v>1.293913513186266</v>
      </c>
      <c r="L46" s="508">
        <f t="shared" ca="1" si="11"/>
        <v>0</v>
      </c>
      <c r="M46" s="174">
        <f t="shared" ca="1" si="12"/>
        <v>1.293913513186266</v>
      </c>
      <c r="N46" s="174">
        <f ca="1">IF(SUMIFS('Merged Trusts and MFF year'!$C$1:$C$24,'Merged Trusts and MFF year'!$A$1:$A$24,$B46,'Merged Trusts and MFF year'!$D$1:$D$24,"2013-14")=0,M46,SUMIFS('Merged Trusts and MFF year'!$C$1:$C$24,'Merged Trusts and MFF year'!$A$1:$A$24,$B46,'Merged Trusts and MFF year'!$D$1:$D$24,"2013-14"))</f>
        <v>1.293913513186266</v>
      </c>
      <c r="O46" s="498">
        <f ca="1">IF(SUMIFS('Merged Trusts and MFF year'!$C$1:$C$24,'Merged Trusts and MFF year'!$A$1:$A$24,$B46,'Merged Trusts and MFF year'!$D$1:$D$24,"2014-15")=0,N46,SUMIFS('Merged Trusts and MFF year'!$C$1:$C$24,'Merged Trusts and MFF year'!$A$1:$A$24,$B46,'Merged Trusts and MFF year'!$D$1:$D$24,"2014-15"))</f>
        <v>1.293913513186266</v>
      </c>
      <c r="P46" s="504">
        <f t="shared" ca="1" si="5"/>
        <v>0</v>
      </c>
      <c r="Q46" s="498">
        <f ca="1">IF(SUMIFS('Merged Trusts and MFF year'!$C$1:$C$24,'Merged Trusts and MFF year'!$A$1:$A$24,$B46,'Merged Trusts and MFF year'!$D$1:$D$24,"2015-16")=0,O46,SUMIFS('Merged Trusts and MFF year'!$C$1:$C$24,'Merged Trusts and MFF year'!$A$1:$A$24,$B46,'Merged Trusts and MFF year'!$D$1:$D$24,"2015-16"))</f>
        <v>1.293913513186266</v>
      </c>
      <c r="R46" s="504">
        <f t="shared" ca="1" si="6"/>
        <v>0</v>
      </c>
      <c r="S46" s="498">
        <f ca="1">IF(SUMIFS('Merged Trusts and MFF year'!$C$1:$C$24,'Merged Trusts and MFF year'!$A$1:$A$24,$B46,'Merged Trusts and MFF year'!$D$1:$D$24,"2016-17")=0,Q46,SUMIFS('Merged Trusts and MFF year'!$C$1:$C$24,'Merged Trusts and MFF year'!$A$1:$A$24,$B46,'Merged Trusts and MFF year'!$D$1:$D$24,"2016-17"))</f>
        <v>1.247733529536794</v>
      </c>
      <c r="T46" s="504">
        <f t="shared" ca="1" si="7"/>
        <v>-3.5690162579532614E-2</v>
      </c>
      <c r="U46" s="459" t="s">
        <v>4234</v>
      </c>
    </row>
    <row r="47" spans="1:21" ht="12.75" customHeight="1" x14ac:dyDescent="0.2">
      <c r="A47" s="171" t="s">
        <v>2975</v>
      </c>
      <c r="B47" s="172" t="s">
        <v>2318</v>
      </c>
      <c r="C47" s="172" t="s">
        <v>2319</v>
      </c>
      <c r="D47" s="175">
        <f>INDEX('Base MFF calcs'!$I$7:$I$258,MATCH($B47,'Base MFF calcs'!$B$7:$B$258,0),1)</f>
        <v>0.96570505966300679</v>
      </c>
      <c r="E47" s="176">
        <f ca="1">D47/MIN('Base MFF calcs'!$I$7:$I$258)</f>
        <v>1.0425126944866603</v>
      </c>
      <c r="F47" s="176">
        <v>1.042513</v>
      </c>
      <c r="G47" s="511">
        <f t="shared" ca="1" si="8"/>
        <v>-2.9305470505835984E-7</v>
      </c>
      <c r="H47" s="174">
        <f t="shared" ca="1" si="9"/>
        <v>1.0425126944866603</v>
      </c>
      <c r="I47" s="501">
        <v>1.042513</v>
      </c>
      <c r="J47" s="177"/>
      <c r="K47" s="173">
        <f t="shared" ca="1" si="10"/>
        <v>1.0425126944866603</v>
      </c>
      <c r="L47" s="508">
        <f t="shared" ca="1" si="11"/>
        <v>0</v>
      </c>
      <c r="M47" s="174">
        <f t="shared" ca="1" si="12"/>
        <v>1.0425126944866603</v>
      </c>
      <c r="N47" s="174">
        <f ca="1">IF(SUMIFS('Merged Trusts and MFF year'!$C$1:$C$24,'Merged Trusts and MFF year'!$A$1:$A$24,$B47,'Merged Trusts and MFF year'!$D$1:$D$24,"2013-14")=0,M47,SUMIFS('Merged Trusts and MFF year'!$C$1:$C$24,'Merged Trusts and MFF year'!$A$1:$A$24,$B47,'Merged Trusts and MFF year'!$D$1:$D$24,"2013-14"))</f>
        <v>1.0425126944866603</v>
      </c>
      <c r="O47" s="498">
        <f ca="1">IF(SUMIFS('Merged Trusts and MFF year'!$C$1:$C$24,'Merged Trusts and MFF year'!$A$1:$A$24,$B47,'Merged Trusts and MFF year'!$D$1:$D$24,"2014-15")=0,N47,SUMIFS('Merged Trusts and MFF year'!$C$1:$C$24,'Merged Trusts and MFF year'!$A$1:$A$24,$B47,'Merged Trusts and MFF year'!$D$1:$D$24,"2014-15"))</f>
        <v>1.0425126944866603</v>
      </c>
      <c r="P47" s="504">
        <f t="shared" ca="1" si="5"/>
        <v>0</v>
      </c>
      <c r="Q47" s="498">
        <f ca="1">IF(SUMIFS('Merged Trusts and MFF year'!$C$1:$C$24,'Merged Trusts and MFF year'!$A$1:$A$24,$B47,'Merged Trusts and MFF year'!$D$1:$D$24,"2015-16")=0,O47,SUMIFS('Merged Trusts and MFF year'!$C$1:$C$24,'Merged Trusts and MFF year'!$A$1:$A$24,$B47,'Merged Trusts and MFF year'!$D$1:$D$24,"2015-16"))</f>
        <v>1.0425126944866603</v>
      </c>
      <c r="R47" s="504">
        <f t="shared" ca="1" si="6"/>
        <v>0</v>
      </c>
      <c r="S47" s="498">
        <f ca="1">IF(SUMIFS('Merged Trusts and MFF year'!$C$1:$C$24,'Merged Trusts and MFF year'!$A$1:$A$24,$B47,'Merged Trusts and MFF year'!$D$1:$D$24,"2016-17")=0,Q47,SUMIFS('Merged Trusts and MFF year'!$C$1:$C$24,'Merged Trusts and MFF year'!$A$1:$A$24,$B47,'Merged Trusts and MFF year'!$D$1:$D$24,"2016-17"))</f>
        <v>1.0425126944866603</v>
      </c>
      <c r="T47" s="504">
        <f t="shared" ca="1" si="7"/>
        <v>0</v>
      </c>
      <c r="U47" s="459"/>
    </row>
    <row r="48" spans="1:21" ht="12.75" customHeight="1" x14ac:dyDescent="0.2">
      <c r="A48" s="171" t="s">
        <v>3069</v>
      </c>
      <c r="B48" s="172" t="s">
        <v>2320</v>
      </c>
      <c r="C48" s="172" t="s">
        <v>2321</v>
      </c>
      <c r="D48" s="175">
        <f>INDEX('Base MFF calcs'!$I$7:$I$258,MATCH($B48,'Base MFF calcs'!$B$7:$B$258,0),1)</f>
        <v>0.95308507065464432</v>
      </c>
      <c r="E48" s="176">
        <f ca="1">D48/MIN('Base MFF calcs'!$I$7:$I$258)</f>
        <v>1.0288889709554911</v>
      </c>
      <c r="F48" s="176">
        <v>1.0288889999999999</v>
      </c>
      <c r="G48" s="511">
        <f t="shared" ca="1" si="8"/>
        <v>-2.8229001136637066E-8</v>
      </c>
      <c r="H48" s="174">
        <f t="shared" ca="1" si="9"/>
        <v>1.0288889709554911</v>
      </c>
      <c r="I48" s="501">
        <v>1.0288889999999999</v>
      </c>
      <c r="J48" s="177"/>
      <c r="K48" s="173">
        <f t="shared" ca="1" si="10"/>
        <v>1.0288889709554911</v>
      </c>
      <c r="L48" s="508">
        <f t="shared" ca="1" si="11"/>
        <v>0</v>
      </c>
      <c r="M48" s="174">
        <f t="shared" ca="1" si="12"/>
        <v>1.0288889709554911</v>
      </c>
      <c r="N48" s="174">
        <f ca="1">IF(SUMIFS('Merged Trusts and MFF year'!$C$1:$C$24,'Merged Trusts and MFF year'!$A$1:$A$24,$B48,'Merged Trusts and MFF year'!$D$1:$D$24,"2013-14")=0,M48,SUMIFS('Merged Trusts and MFF year'!$C$1:$C$24,'Merged Trusts and MFF year'!$A$1:$A$24,$B48,'Merged Trusts and MFF year'!$D$1:$D$24,"2013-14"))</f>
        <v>1.0288889709554911</v>
      </c>
      <c r="O48" s="498">
        <f ca="1">IF(SUMIFS('Merged Trusts and MFF year'!$C$1:$C$24,'Merged Trusts and MFF year'!$A$1:$A$24,$B48,'Merged Trusts and MFF year'!$D$1:$D$24,"2014-15")=0,N48,SUMIFS('Merged Trusts and MFF year'!$C$1:$C$24,'Merged Trusts and MFF year'!$A$1:$A$24,$B48,'Merged Trusts and MFF year'!$D$1:$D$24,"2014-15"))</f>
        <v>1.0288889709554911</v>
      </c>
      <c r="P48" s="504">
        <f t="shared" ca="1" si="5"/>
        <v>0</v>
      </c>
      <c r="Q48" s="498">
        <f ca="1">IF(SUMIFS('Merged Trusts and MFF year'!$C$1:$C$24,'Merged Trusts and MFF year'!$A$1:$A$24,$B48,'Merged Trusts and MFF year'!$D$1:$D$24,"2015-16")=0,O48,SUMIFS('Merged Trusts and MFF year'!$C$1:$C$24,'Merged Trusts and MFF year'!$A$1:$A$24,$B48,'Merged Trusts and MFF year'!$D$1:$D$24,"2015-16"))</f>
        <v>1.0288889709554911</v>
      </c>
      <c r="R48" s="504">
        <f t="shared" ca="1" si="6"/>
        <v>0</v>
      </c>
      <c r="S48" s="498">
        <f ca="1">IF(SUMIFS('Merged Trusts and MFF year'!$C$1:$C$24,'Merged Trusts and MFF year'!$A$1:$A$24,$B48,'Merged Trusts and MFF year'!$D$1:$D$24,"2016-17")=0,Q48,SUMIFS('Merged Trusts and MFF year'!$C$1:$C$24,'Merged Trusts and MFF year'!$A$1:$A$24,$B48,'Merged Trusts and MFF year'!$D$1:$D$24,"2016-17"))</f>
        <v>1.0288889709554911</v>
      </c>
      <c r="T48" s="504">
        <f t="shared" ca="1" si="7"/>
        <v>0</v>
      </c>
      <c r="U48" s="459"/>
    </row>
    <row r="49" spans="1:21" ht="12.75" customHeight="1" x14ac:dyDescent="0.2">
      <c r="A49" s="171" t="s">
        <v>708</v>
      </c>
      <c r="B49" s="172" t="s">
        <v>2322</v>
      </c>
      <c r="C49" s="172" t="s">
        <v>2323</v>
      </c>
      <c r="D49" s="175">
        <f>INDEX('Base MFF calcs'!$I$7:$I$258,MATCH($B49,'Base MFF calcs'!$B$7:$B$258,0),1)</f>
        <v>0.95071505737254558</v>
      </c>
      <c r="E49" s="176">
        <f ca="1">D49/MIN('Base MFF calcs'!$I$7:$I$258)</f>
        <v>1.0263304579727053</v>
      </c>
      <c r="F49" s="176">
        <v>1.02633</v>
      </c>
      <c r="G49" s="511">
        <f t="shared" ca="1" si="8"/>
        <v>4.46223636929588E-7</v>
      </c>
      <c r="H49" s="174">
        <f t="shared" ca="1" si="9"/>
        <v>1.0263304579727053</v>
      </c>
      <c r="I49" s="501">
        <v>1.02633</v>
      </c>
      <c r="J49" s="177"/>
      <c r="K49" s="173">
        <f t="shared" ca="1" si="10"/>
        <v>1.0263304579727053</v>
      </c>
      <c r="L49" s="508">
        <f t="shared" ca="1" si="11"/>
        <v>0</v>
      </c>
      <c r="M49" s="174">
        <f t="shared" ca="1" si="12"/>
        <v>1.0263304579727053</v>
      </c>
      <c r="N49" s="174">
        <f ca="1">IF(SUMIFS('Merged Trusts and MFF year'!$C$1:$C$24,'Merged Trusts and MFF year'!$A$1:$A$24,$B49,'Merged Trusts and MFF year'!$D$1:$D$24,"2013-14")=0,M49,SUMIFS('Merged Trusts and MFF year'!$C$1:$C$24,'Merged Trusts and MFF year'!$A$1:$A$24,$B49,'Merged Trusts and MFF year'!$D$1:$D$24,"2013-14"))</f>
        <v>1.0263304579727053</v>
      </c>
      <c r="O49" s="498">
        <f ca="1">IF(SUMIFS('Merged Trusts and MFF year'!$C$1:$C$24,'Merged Trusts and MFF year'!$A$1:$A$24,$B49,'Merged Trusts and MFF year'!$D$1:$D$24,"2014-15")=0,N49,SUMIFS('Merged Trusts and MFF year'!$C$1:$C$24,'Merged Trusts and MFF year'!$A$1:$A$24,$B49,'Merged Trusts and MFF year'!$D$1:$D$24,"2014-15"))</f>
        <v>1.0263304579727053</v>
      </c>
      <c r="P49" s="504">
        <f t="shared" ca="1" si="5"/>
        <v>0</v>
      </c>
      <c r="Q49" s="498">
        <f ca="1">IF(SUMIFS('Merged Trusts and MFF year'!$C$1:$C$24,'Merged Trusts and MFF year'!$A$1:$A$24,$B49,'Merged Trusts and MFF year'!$D$1:$D$24,"2015-16")=0,O49,SUMIFS('Merged Trusts and MFF year'!$C$1:$C$24,'Merged Trusts and MFF year'!$A$1:$A$24,$B49,'Merged Trusts and MFF year'!$D$1:$D$24,"2015-16"))</f>
        <v>1.0263304579727053</v>
      </c>
      <c r="R49" s="504">
        <f t="shared" ca="1" si="6"/>
        <v>0</v>
      </c>
      <c r="S49" s="498">
        <f ca="1">IF(SUMIFS('Merged Trusts and MFF year'!$C$1:$C$24,'Merged Trusts and MFF year'!$A$1:$A$24,$B49,'Merged Trusts and MFF year'!$D$1:$D$24,"2016-17")=0,Q49,SUMIFS('Merged Trusts and MFF year'!$C$1:$C$24,'Merged Trusts and MFF year'!$A$1:$A$24,$B49,'Merged Trusts and MFF year'!$D$1:$D$24,"2016-17"))</f>
        <v>1.0263304579727053</v>
      </c>
      <c r="T49" s="504">
        <f t="shared" ca="1" si="7"/>
        <v>0</v>
      </c>
      <c r="U49" s="459"/>
    </row>
    <row r="50" spans="1:21" ht="12.75" customHeight="1" x14ac:dyDescent="0.2">
      <c r="A50" s="171" t="s">
        <v>1127</v>
      </c>
      <c r="B50" s="172" t="s">
        <v>2326</v>
      </c>
      <c r="C50" s="172" t="s">
        <v>0</v>
      </c>
      <c r="D50" s="175">
        <f>INDEX('Base MFF calcs'!$I$7:$I$258,MATCH($B50,'Base MFF calcs'!$B$7:$B$258,0),1)</f>
        <v>0.97700068603047763</v>
      </c>
      <c r="E50" s="176">
        <f ca="1">D50/MIN('Base MFF calcs'!$I$7:$I$258)</f>
        <v>1.0547067218063224</v>
      </c>
      <c r="F50" s="176">
        <v>1.0547070000000001</v>
      </c>
      <c r="G50" s="511">
        <f t="shared" ca="1" si="8"/>
        <v>-2.6376394357541244E-7</v>
      </c>
      <c r="H50" s="174">
        <f t="shared" ca="1" si="9"/>
        <v>1.0547067218063224</v>
      </c>
      <c r="I50" s="501">
        <v>1.0547070000000001</v>
      </c>
      <c r="J50" s="177"/>
      <c r="K50" s="173">
        <f t="shared" ca="1" si="10"/>
        <v>1.0547067218063224</v>
      </c>
      <c r="L50" s="508">
        <f t="shared" ca="1" si="11"/>
        <v>0</v>
      </c>
      <c r="M50" s="174">
        <f t="shared" ca="1" si="12"/>
        <v>1.0547067218063224</v>
      </c>
      <c r="N50" s="174">
        <f ca="1">IF(SUMIFS('Merged Trusts and MFF year'!$C$1:$C$24,'Merged Trusts and MFF year'!$A$1:$A$24,$B50,'Merged Trusts and MFF year'!$D$1:$D$24,"2013-14")=0,M50,SUMIFS('Merged Trusts and MFF year'!$C$1:$C$24,'Merged Trusts and MFF year'!$A$1:$A$24,$B50,'Merged Trusts and MFF year'!$D$1:$D$24,"2013-14"))</f>
        <v>1.0547067218063224</v>
      </c>
      <c r="O50" s="498">
        <f ca="1">IF(SUMIFS('Merged Trusts and MFF year'!$C$1:$C$24,'Merged Trusts and MFF year'!$A$1:$A$24,$B50,'Merged Trusts and MFF year'!$D$1:$D$24,"2014-15")=0,N50,SUMIFS('Merged Trusts and MFF year'!$C$1:$C$24,'Merged Trusts and MFF year'!$A$1:$A$24,$B50,'Merged Trusts and MFF year'!$D$1:$D$24,"2014-15"))</f>
        <v>1.0547067218063224</v>
      </c>
      <c r="P50" s="504">
        <f t="shared" ca="1" si="5"/>
        <v>0</v>
      </c>
      <c r="Q50" s="498">
        <f ca="1">IF(SUMIFS('Merged Trusts and MFF year'!$C$1:$C$24,'Merged Trusts and MFF year'!$A$1:$A$24,$B50,'Merged Trusts and MFF year'!$D$1:$D$24,"2015-16")=0,O50,SUMIFS('Merged Trusts and MFF year'!$C$1:$C$24,'Merged Trusts and MFF year'!$A$1:$A$24,$B50,'Merged Trusts and MFF year'!$D$1:$D$24,"2015-16"))</f>
        <v>1.0547067218063224</v>
      </c>
      <c r="R50" s="504">
        <f t="shared" ca="1" si="6"/>
        <v>0</v>
      </c>
      <c r="S50" s="498">
        <f ca="1">IF(SUMIFS('Merged Trusts and MFF year'!$C$1:$C$24,'Merged Trusts and MFF year'!$A$1:$A$24,$B50,'Merged Trusts and MFF year'!$D$1:$D$24,"2016-17")=0,Q50,SUMIFS('Merged Trusts and MFF year'!$C$1:$C$24,'Merged Trusts and MFF year'!$A$1:$A$24,$B50,'Merged Trusts and MFF year'!$D$1:$D$24,"2016-17"))</f>
        <v>1.0547067218063224</v>
      </c>
      <c r="T50" s="504">
        <f t="shared" ca="1" si="7"/>
        <v>0</v>
      </c>
      <c r="U50" s="459"/>
    </row>
    <row r="51" spans="1:21" ht="12.75" customHeight="1" x14ac:dyDescent="0.2">
      <c r="A51" s="171" t="s">
        <v>3528</v>
      </c>
      <c r="B51" s="172" t="s">
        <v>1</v>
      </c>
      <c r="C51" s="468" t="s">
        <v>1300</v>
      </c>
      <c r="D51" s="175">
        <f>INDEX('Base MFF calcs'!$I$7:$I$258,MATCH($B51,'Base MFF calcs'!$B$7:$B$258,0),1)</f>
        <v>0.92632450882387185</v>
      </c>
      <c r="E51" s="176">
        <f ca="1">D51/MIN('Base MFF calcs'!$I$7:$I$258)</f>
        <v>1</v>
      </c>
      <c r="F51" s="176">
        <v>1</v>
      </c>
      <c r="G51" s="511">
        <f t="shared" ca="1" si="8"/>
        <v>0</v>
      </c>
      <c r="H51" s="174">
        <f t="shared" ca="1" si="9"/>
        <v>1</v>
      </c>
      <c r="I51" s="501">
        <v>1</v>
      </c>
      <c r="J51" s="177"/>
      <c r="K51" s="173">
        <f t="shared" ca="1" si="10"/>
        <v>1</v>
      </c>
      <c r="L51" s="508">
        <f t="shared" ca="1" si="11"/>
        <v>0</v>
      </c>
      <c r="M51" s="174">
        <f t="shared" ca="1" si="12"/>
        <v>1</v>
      </c>
      <c r="N51" s="174">
        <f ca="1">IF(SUMIFS('Merged Trusts and MFF year'!$C$1:$C$24,'Merged Trusts and MFF year'!$A$1:$A$24,$B51,'Merged Trusts and MFF year'!$D$1:$D$24,"2013-14")=0,M51,SUMIFS('Merged Trusts and MFF year'!$C$1:$C$24,'Merged Trusts and MFF year'!$A$1:$A$24,$B51,'Merged Trusts and MFF year'!$D$1:$D$24,"2013-14"))</f>
        <v>1</v>
      </c>
      <c r="O51" s="498">
        <f ca="1">IF(SUMIFS('Merged Trusts and MFF year'!$C$1:$C$24,'Merged Trusts and MFF year'!$A$1:$A$24,$B51,'Merged Trusts and MFF year'!$D$1:$D$24,"2014-15")=0,N51,SUMIFS('Merged Trusts and MFF year'!$C$1:$C$24,'Merged Trusts and MFF year'!$A$1:$A$24,$B51,'Merged Trusts and MFF year'!$D$1:$D$24,"2014-15"))</f>
        <v>1</v>
      </c>
      <c r="P51" s="504">
        <f t="shared" ca="1" si="5"/>
        <v>0</v>
      </c>
      <c r="Q51" s="498">
        <f ca="1">IF(SUMIFS('Merged Trusts and MFF year'!$C$1:$C$24,'Merged Trusts and MFF year'!$A$1:$A$24,$B51,'Merged Trusts and MFF year'!$D$1:$D$24,"2015-16")=0,O51,SUMIFS('Merged Trusts and MFF year'!$C$1:$C$24,'Merged Trusts and MFF year'!$A$1:$A$24,$B51,'Merged Trusts and MFF year'!$D$1:$D$24,"2015-16"))</f>
        <v>1</v>
      </c>
      <c r="R51" s="504">
        <f t="shared" ca="1" si="6"/>
        <v>0</v>
      </c>
      <c r="S51" s="498">
        <f ca="1">IF(SUMIFS('Merged Trusts and MFF year'!$C$1:$C$24,'Merged Trusts and MFF year'!$A$1:$A$24,$B51,'Merged Trusts and MFF year'!$D$1:$D$24,"2016-17")=0,Q51,SUMIFS('Merged Trusts and MFF year'!$C$1:$C$24,'Merged Trusts and MFF year'!$A$1:$A$24,$B51,'Merged Trusts and MFF year'!$D$1:$D$24,"2016-17"))</f>
        <v>1</v>
      </c>
      <c r="T51" s="504">
        <f t="shared" ca="1" si="7"/>
        <v>0</v>
      </c>
      <c r="U51" s="464"/>
    </row>
    <row r="52" spans="1:21" ht="12.75" customHeight="1" x14ac:dyDescent="0.2">
      <c r="A52" s="171" t="s">
        <v>2975</v>
      </c>
      <c r="B52" s="172" t="s">
        <v>3</v>
      </c>
      <c r="C52" s="172" t="s">
        <v>4</v>
      </c>
      <c r="D52" s="175">
        <f>INDEX('Base MFF calcs'!$I$7:$I$258,MATCH($B52,'Base MFF calcs'!$B$7:$B$258,0),1)</f>
        <v>0.96424940790821889</v>
      </c>
      <c r="E52" s="176">
        <f ca="1">D52/MIN('Base MFF calcs'!$I$7:$I$258)</f>
        <v>1.0409412670431222</v>
      </c>
      <c r="F52" s="176">
        <v>1.0409409999999999</v>
      </c>
      <c r="G52" s="511">
        <f t="shared" ref="G52:G83" ca="1" si="13">IF(F52="",0,E52/F52-1)</f>
        <v>2.5654011359677042E-7</v>
      </c>
      <c r="H52" s="174">
        <f t="shared" ref="H52:H83" ca="1" si="14">IF(ISERR(G52),E52,IF(G52&gt;2%,F52*1.02,IF(G52&lt;-2%,F52*0.98,E52)))</f>
        <v>1.0409412670431222</v>
      </c>
      <c r="I52" s="501">
        <v>1.0409409999999999</v>
      </c>
      <c r="J52" s="177"/>
      <c r="K52" s="173">
        <f t="shared" ref="K52:K83" ca="1" si="15">IF(LEFT(U52,6)="Merged","Merged",E52)</f>
        <v>1.0409412670431222</v>
      </c>
      <c r="L52" s="508">
        <f t="shared" ref="L52:L83" ca="1" si="16">IF(K52="Merged","N/A",K52/H52-1)</f>
        <v>0</v>
      </c>
      <c r="M52" s="174">
        <f t="shared" ref="M52:M83" ca="1" si="17">IF(L52="N/A",K52,IF(L52&gt;2%,1.02*H52,IF(L52&lt;-2%,0.98*H52,K52)))</f>
        <v>1.0409412670431222</v>
      </c>
      <c r="N52" s="174">
        <f ca="1">IF(SUMIFS('Merged Trusts and MFF year'!$C$1:$C$24,'Merged Trusts and MFF year'!$A$1:$A$24,$B52,'Merged Trusts and MFF year'!$D$1:$D$24,"2013-14")=0,M52,SUMIFS('Merged Trusts and MFF year'!$C$1:$C$24,'Merged Trusts and MFF year'!$A$1:$A$24,$B52,'Merged Trusts and MFF year'!$D$1:$D$24,"2013-14"))</f>
        <v>1.0409412670431222</v>
      </c>
      <c r="O52" s="498">
        <f ca="1">IF(SUMIFS('Merged Trusts and MFF year'!$C$1:$C$24,'Merged Trusts and MFF year'!$A$1:$A$24,$B52,'Merged Trusts and MFF year'!$D$1:$D$24,"2014-15")=0,N52,SUMIFS('Merged Trusts and MFF year'!$C$1:$C$24,'Merged Trusts and MFF year'!$A$1:$A$24,$B52,'Merged Trusts and MFF year'!$D$1:$D$24,"2014-15"))</f>
        <v>1.0409412670431222</v>
      </c>
      <c r="P52" s="504">
        <f t="shared" ca="1" si="5"/>
        <v>0</v>
      </c>
      <c r="Q52" s="498">
        <f ca="1">IF(SUMIFS('Merged Trusts and MFF year'!$C$1:$C$24,'Merged Trusts and MFF year'!$A$1:$A$24,$B52,'Merged Trusts and MFF year'!$D$1:$D$24,"2015-16")=0,O52,SUMIFS('Merged Trusts and MFF year'!$C$1:$C$24,'Merged Trusts and MFF year'!$A$1:$A$24,$B52,'Merged Trusts and MFF year'!$D$1:$D$24,"2015-16"))</f>
        <v>1.0409412670431222</v>
      </c>
      <c r="R52" s="504">
        <f t="shared" ca="1" si="6"/>
        <v>0</v>
      </c>
      <c r="S52" s="498">
        <f ca="1">IF(SUMIFS('Merged Trusts and MFF year'!$C$1:$C$24,'Merged Trusts and MFF year'!$A$1:$A$24,$B52,'Merged Trusts and MFF year'!$D$1:$D$24,"2016-17")=0,Q52,SUMIFS('Merged Trusts and MFF year'!$C$1:$C$24,'Merged Trusts and MFF year'!$A$1:$A$24,$B52,'Merged Trusts and MFF year'!$D$1:$D$24,"2016-17"))</f>
        <v>1.0409412670431222</v>
      </c>
      <c r="T52" s="504">
        <f t="shared" ca="1" si="7"/>
        <v>0</v>
      </c>
      <c r="U52" s="459"/>
    </row>
    <row r="53" spans="1:21" ht="12.75" customHeight="1" x14ac:dyDescent="0.2">
      <c r="A53" s="171" t="s">
        <v>708</v>
      </c>
      <c r="B53" s="172" t="s">
        <v>5</v>
      </c>
      <c r="C53" s="386" t="s">
        <v>6</v>
      </c>
      <c r="D53" s="175">
        <f>INDEX('Base MFF calcs'!$I$7:$I$258,MATCH($B53,'Base MFF calcs'!$B$7:$B$258,0),1)</f>
        <v>0.95211426694283596</v>
      </c>
      <c r="E53" s="176">
        <f ca="1">D53/MIN('Base MFF calcs'!$I$7:$I$258)</f>
        <v>1.0278409540860671</v>
      </c>
      <c r="F53" s="176">
        <v>1.027841</v>
      </c>
      <c r="G53" s="511">
        <f t="shared" ca="1" si="13"/>
        <v>-4.4670267929092233E-8</v>
      </c>
      <c r="H53" s="174">
        <f t="shared" ca="1" si="14"/>
        <v>1.0278409540860671</v>
      </c>
      <c r="I53" s="501">
        <v>1.027841</v>
      </c>
      <c r="J53" s="177"/>
      <c r="K53" s="173">
        <f t="shared" ca="1" si="15"/>
        <v>1.0278409540860671</v>
      </c>
      <c r="L53" s="508">
        <f t="shared" ca="1" si="16"/>
        <v>0</v>
      </c>
      <c r="M53" s="174">
        <f t="shared" ca="1" si="17"/>
        <v>1.0278409540860671</v>
      </c>
      <c r="N53" s="174">
        <f ca="1">IF(SUMIFS('Merged Trusts and MFF year'!$C$1:$C$24,'Merged Trusts and MFF year'!$A$1:$A$24,$B53,'Merged Trusts and MFF year'!$D$1:$D$24,"2013-14")=0,M53,SUMIFS('Merged Trusts and MFF year'!$C$1:$C$24,'Merged Trusts and MFF year'!$A$1:$A$24,$B53,'Merged Trusts and MFF year'!$D$1:$D$24,"2013-14"))</f>
        <v>1.0278409540860671</v>
      </c>
      <c r="O53" s="498">
        <f ca="1">IF(SUMIFS('Merged Trusts and MFF year'!$C$1:$C$24,'Merged Trusts and MFF year'!$A$1:$A$24,$B53,'Merged Trusts and MFF year'!$D$1:$D$24,"2014-15")=0,N53,SUMIFS('Merged Trusts and MFF year'!$C$1:$C$24,'Merged Trusts and MFF year'!$A$1:$A$24,$B53,'Merged Trusts and MFF year'!$D$1:$D$24,"2014-15"))</f>
        <v>1.0278409540860671</v>
      </c>
      <c r="P53" s="504">
        <f t="shared" ca="1" si="5"/>
        <v>0</v>
      </c>
      <c r="Q53" s="498">
        <f ca="1">IF(SUMIFS('Merged Trusts and MFF year'!$C$1:$C$24,'Merged Trusts and MFF year'!$A$1:$A$24,$B53,'Merged Trusts and MFF year'!$D$1:$D$24,"2015-16")=0,O53,SUMIFS('Merged Trusts and MFF year'!$C$1:$C$24,'Merged Trusts and MFF year'!$A$1:$A$24,$B53,'Merged Trusts and MFF year'!$D$1:$D$24,"2015-16"))</f>
        <v>1.0278409540860671</v>
      </c>
      <c r="R53" s="504">
        <f t="shared" ca="1" si="6"/>
        <v>0</v>
      </c>
      <c r="S53" s="498">
        <f ca="1">IF(SUMIFS('Merged Trusts and MFF year'!$C$1:$C$24,'Merged Trusts and MFF year'!$A$1:$A$24,$B53,'Merged Trusts and MFF year'!$D$1:$D$24,"2016-17")=0,Q53,SUMIFS('Merged Trusts and MFF year'!$C$1:$C$24,'Merged Trusts and MFF year'!$A$1:$A$24,$B53,'Merged Trusts and MFF year'!$D$1:$D$24,"2016-17"))</f>
        <v>1.0278409540860671</v>
      </c>
      <c r="T53" s="504">
        <f t="shared" ca="1" si="7"/>
        <v>0</v>
      </c>
      <c r="U53" s="459"/>
    </row>
    <row r="54" spans="1:21" ht="12.75" customHeight="1" x14ac:dyDescent="0.2">
      <c r="A54" s="171" t="s">
        <v>2133</v>
      </c>
      <c r="B54" s="172" t="s">
        <v>7</v>
      </c>
      <c r="C54" s="172" t="s">
        <v>8</v>
      </c>
      <c r="D54" s="175">
        <f>INDEX('Base MFF calcs'!$I$7:$I$258,MATCH($B54,'Base MFF calcs'!$B$7:$B$258,0),1)</f>
        <v>0.97683570637846828</v>
      </c>
      <c r="E54" s="176">
        <f ca="1">D54/MIN('Base MFF calcs'!$I$7:$I$258)</f>
        <v>1.0545286204493596</v>
      </c>
      <c r="F54" s="176">
        <v>1.054529</v>
      </c>
      <c r="G54" s="511">
        <f t="shared" ca="1" si="13"/>
        <v>-3.5992432689813114E-7</v>
      </c>
      <c r="H54" s="174">
        <f t="shared" ca="1" si="14"/>
        <v>1.0545286204493596</v>
      </c>
      <c r="I54" s="501">
        <v>1.054529</v>
      </c>
      <c r="J54" s="177"/>
      <c r="K54" s="173">
        <f t="shared" ca="1" si="15"/>
        <v>1.0545286204493596</v>
      </c>
      <c r="L54" s="508">
        <f t="shared" ca="1" si="16"/>
        <v>0</v>
      </c>
      <c r="M54" s="174">
        <f t="shared" ca="1" si="17"/>
        <v>1.0545286204493596</v>
      </c>
      <c r="N54" s="174">
        <f ca="1">IF(SUMIFS('Merged Trusts and MFF year'!$C$1:$C$24,'Merged Trusts and MFF year'!$A$1:$A$24,$B54,'Merged Trusts and MFF year'!$D$1:$D$24,"2013-14")=0,M54,SUMIFS('Merged Trusts and MFF year'!$C$1:$C$24,'Merged Trusts and MFF year'!$A$1:$A$24,$B54,'Merged Trusts and MFF year'!$D$1:$D$24,"2013-14"))</f>
        <v>1.0545286204493596</v>
      </c>
      <c r="O54" s="498">
        <f ca="1">IF(SUMIFS('Merged Trusts and MFF year'!$C$1:$C$24,'Merged Trusts and MFF year'!$A$1:$A$24,$B54,'Merged Trusts and MFF year'!$D$1:$D$24,"2014-15")=0,N54,SUMIFS('Merged Trusts and MFF year'!$C$1:$C$24,'Merged Trusts and MFF year'!$A$1:$A$24,$B54,'Merged Trusts and MFF year'!$D$1:$D$24,"2014-15"))</f>
        <v>1.0545286204493596</v>
      </c>
      <c r="P54" s="504">
        <f t="shared" ca="1" si="5"/>
        <v>0</v>
      </c>
      <c r="Q54" s="498">
        <f ca="1">IF(SUMIFS('Merged Trusts and MFF year'!$C$1:$C$24,'Merged Trusts and MFF year'!$A$1:$A$24,$B54,'Merged Trusts and MFF year'!$D$1:$D$24,"2015-16")=0,O54,SUMIFS('Merged Trusts and MFF year'!$C$1:$C$24,'Merged Trusts and MFF year'!$A$1:$A$24,$B54,'Merged Trusts and MFF year'!$D$1:$D$24,"2015-16"))</f>
        <v>1.0545286204493596</v>
      </c>
      <c r="R54" s="504">
        <f t="shared" ca="1" si="6"/>
        <v>0</v>
      </c>
      <c r="S54" s="498">
        <f ca="1">IF(SUMIFS('Merged Trusts and MFF year'!$C$1:$C$24,'Merged Trusts and MFF year'!$A$1:$A$24,$B54,'Merged Trusts and MFF year'!$D$1:$D$24,"2016-17")=0,Q54,SUMIFS('Merged Trusts and MFF year'!$C$1:$C$24,'Merged Trusts and MFF year'!$A$1:$A$24,$B54,'Merged Trusts and MFF year'!$D$1:$D$24,"2016-17"))</f>
        <v>1.0545286204493596</v>
      </c>
      <c r="T54" s="504">
        <f t="shared" ca="1" si="7"/>
        <v>0</v>
      </c>
      <c r="U54" s="459"/>
    </row>
    <row r="55" spans="1:21" ht="12.75" customHeight="1" x14ac:dyDescent="0.2">
      <c r="A55" s="171" t="s">
        <v>1167</v>
      </c>
      <c r="B55" s="172" t="s">
        <v>385</v>
      </c>
      <c r="C55" s="468" t="s">
        <v>1299</v>
      </c>
      <c r="D55" s="175">
        <f>INDEX('Base MFF calcs'!$I$7:$I$258,MATCH($B55,'Base MFF calcs'!$B$7:$B$258,0),1)</f>
        <v>1.1157324046175203</v>
      </c>
      <c r="E55" s="176">
        <f ca="1">D55/MIN('Base MFF calcs'!$I$7:$I$258)</f>
        <v>1.2044725082726511</v>
      </c>
      <c r="F55" s="176">
        <v>1.2044729999999999</v>
      </c>
      <c r="G55" s="511">
        <f t="shared" ca="1" si="13"/>
        <v>-4.0825103497788007E-7</v>
      </c>
      <c r="H55" s="174">
        <f t="shared" ca="1" si="14"/>
        <v>1.2044725082726511</v>
      </c>
      <c r="I55" s="501">
        <v>1.2044729999999999</v>
      </c>
      <c r="J55" s="177"/>
      <c r="K55" s="173">
        <f t="shared" ca="1" si="15"/>
        <v>1.2044725082726511</v>
      </c>
      <c r="L55" s="508">
        <f t="shared" ca="1" si="16"/>
        <v>0</v>
      </c>
      <c r="M55" s="174">
        <f t="shared" ca="1" si="17"/>
        <v>1.2044725082726511</v>
      </c>
      <c r="N55" s="174">
        <f ca="1">IF(SUMIFS('Merged Trusts and MFF year'!$C$1:$C$24,'Merged Trusts and MFF year'!$A$1:$A$24,$B55,'Merged Trusts and MFF year'!$D$1:$D$24,"2013-14")=0,M55,SUMIFS('Merged Trusts and MFF year'!$C$1:$C$24,'Merged Trusts and MFF year'!$A$1:$A$24,$B55,'Merged Trusts and MFF year'!$D$1:$D$24,"2013-14"))</f>
        <v>1.2044725082726511</v>
      </c>
      <c r="O55" s="498">
        <f ca="1">IF(SUMIFS('Merged Trusts and MFF year'!$C$1:$C$24,'Merged Trusts and MFF year'!$A$1:$A$24,$B55,'Merged Trusts and MFF year'!$D$1:$D$24,"2014-15")=0,N55,SUMIFS('Merged Trusts and MFF year'!$C$1:$C$24,'Merged Trusts and MFF year'!$A$1:$A$24,$B55,'Merged Trusts and MFF year'!$D$1:$D$24,"2014-15"))</f>
        <v>1.2044725082726511</v>
      </c>
      <c r="P55" s="504">
        <f t="shared" ca="1" si="5"/>
        <v>0</v>
      </c>
      <c r="Q55" s="498">
        <f ca="1">IF(SUMIFS('Merged Trusts and MFF year'!$C$1:$C$24,'Merged Trusts and MFF year'!$A$1:$A$24,$B55,'Merged Trusts and MFF year'!$D$1:$D$24,"2015-16")=0,O55,SUMIFS('Merged Trusts and MFF year'!$C$1:$C$24,'Merged Trusts and MFF year'!$A$1:$A$24,$B55,'Merged Trusts and MFF year'!$D$1:$D$24,"2015-16"))</f>
        <v>1.2044725082726511</v>
      </c>
      <c r="R55" s="504">
        <f t="shared" ca="1" si="6"/>
        <v>0</v>
      </c>
      <c r="S55" s="498">
        <f ca="1">IF(SUMIFS('Merged Trusts and MFF year'!$C$1:$C$24,'Merged Trusts and MFF year'!$A$1:$A$24,$B55,'Merged Trusts and MFF year'!$D$1:$D$24,"2016-17")=0,Q55,SUMIFS('Merged Trusts and MFF year'!$C$1:$C$24,'Merged Trusts and MFF year'!$A$1:$A$24,$B55,'Merged Trusts and MFF year'!$D$1:$D$24,"2016-17"))</f>
        <v>1.2044725082726511</v>
      </c>
      <c r="T55" s="504">
        <f t="shared" ca="1" si="7"/>
        <v>0</v>
      </c>
      <c r="U55" s="464"/>
    </row>
    <row r="56" spans="1:21" ht="12.75" customHeight="1" x14ac:dyDescent="0.2">
      <c r="A56" s="171" t="s">
        <v>2975</v>
      </c>
      <c r="B56" s="172" t="s">
        <v>9</v>
      </c>
      <c r="C56" s="172" t="s">
        <v>10</v>
      </c>
      <c r="D56" s="175">
        <f>INDEX('Base MFF calcs'!$I$7:$I$258,MATCH($B56,'Base MFF calcs'!$B$7:$B$258,0),1)</f>
        <v>0.95094826492261308</v>
      </c>
      <c r="E56" s="176">
        <f ca="1">D56/MIN('Base MFF calcs'!$I$7:$I$258)</f>
        <v>1.0265822137535854</v>
      </c>
      <c r="F56" s="176">
        <v>1.0265820000000001</v>
      </c>
      <c r="G56" s="511">
        <f t="shared" ca="1" si="13"/>
        <v>2.0821871538068137E-7</v>
      </c>
      <c r="H56" s="174">
        <f t="shared" ca="1" si="14"/>
        <v>1.0265822137535854</v>
      </c>
      <c r="I56" s="501">
        <v>1.0265819999999999</v>
      </c>
      <c r="J56" s="177"/>
      <c r="K56" s="173">
        <f t="shared" ca="1" si="15"/>
        <v>1.0265822137535854</v>
      </c>
      <c r="L56" s="508">
        <f t="shared" ca="1" si="16"/>
        <v>0</v>
      </c>
      <c r="M56" s="174">
        <f t="shared" ca="1" si="17"/>
        <v>1.0265822137535854</v>
      </c>
      <c r="N56" s="174">
        <f ca="1">IF(SUMIFS('Merged Trusts and MFF year'!$C$1:$C$24,'Merged Trusts and MFF year'!$A$1:$A$24,$B56,'Merged Trusts and MFF year'!$D$1:$D$24,"2013-14")=0,M56,SUMIFS('Merged Trusts and MFF year'!$C$1:$C$24,'Merged Trusts and MFF year'!$A$1:$A$24,$B56,'Merged Trusts and MFF year'!$D$1:$D$24,"2013-14"))</f>
        <v>1.0265822137535854</v>
      </c>
      <c r="O56" s="498">
        <f ca="1">IF(SUMIFS('Merged Trusts and MFF year'!$C$1:$C$24,'Merged Trusts and MFF year'!$A$1:$A$24,$B56,'Merged Trusts and MFF year'!$D$1:$D$24,"2014-15")=0,N56,SUMIFS('Merged Trusts and MFF year'!$C$1:$C$24,'Merged Trusts and MFF year'!$A$1:$A$24,$B56,'Merged Trusts and MFF year'!$D$1:$D$24,"2014-15"))</f>
        <v>1.0265822137535854</v>
      </c>
      <c r="P56" s="504">
        <f t="shared" ca="1" si="5"/>
        <v>0</v>
      </c>
      <c r="Q56" s="498">
        <f ca="1">IF(SUMIFS('Merged Trusts and MFF year'!$C$1:$C$24,'Merged Trusts and MFF year'!$A$1:$A$24,$B56,'Merged Trusts and MFF year'!$D$1:$D$24,"2015-16")=0,O56,SUMIFS('Merged Trusts and MFF year'!$C$1:$C$24,'Merged Trusts and MFF year'!$A$1:$A$24,$B56,'Merged Trusts and MFF year'!$D$1:$D$24,"2015-16"))</f>
        <v>1.0265822137535854</v>
      </c>
      <c r="R56" s="504">
        <f t="shared" ca="1" si="6"/>
        <v>0</v>
      </c>
      <c r="S56" s="498">
        <f ca="1">IF(SUMIFS('Merged Trusts and MFF year'!$C$1:$C$24,'Merged Trusts and MFF year'!$A$1:$A$24,$B56,'Merged Trusts and MFF year'!$D$1:$D$24,"2016-17")=0,Q56,SUMIFS('Merged Trusts and MFF year'!$C$1:$C$24,'Merged Trusts and MFF year'!$A$1:$A$24,$B56,'Merged Trusts and MFF year'!$D$1:$D$24,"2016-17"))</f>
        <v>1.0265822137535854</v>
      </c>
      <c r="T56" s="504">
        <f t="shared" ca="1" si="7"/>
        <v>0</v>
      </c>
      <c r="U56" s="459"/>
    </row>
    <row r="57" spans="1:21" ht="22.5" x14ac:dyDescent="0.2">
      <c r="A57" s="171" t="s">
        <v>3496</v>
      </c>
      <c r="B57" s="172" t="s">
        <v>11</v>
      </c>
      <c r="C57" s="386" t="s">
        <v>2328</v>
      </c>
      <c r="D57" s="175">
        <f>INDEX('Base MFF calcs'!$I$7:$I$258,MATCH($B57,'Base MFF calcs'!$B$7:$B$258,0),1)</f>
        <v>1.0612009314093136</v>
      </c>
      <c r="E57" s="176">
        <f ca="1">D57/MIN('Base MFF calcs'!$I$7:$I$258)</f>
        <v>1.1456038583678312</v>
      </c>
      <c r="F57" s="176">
        <v>1.1456040000000001</v>
      </c>
      <c r="G57" s="511">
        <f t="shared" ca="1" si="13"/>
        <v>-1.2363100065915233E-7</v>
      </c>
      <c r="H57" s="174">
        <f t="shared" ca="1" si="14"/>
        <v>1.1456038583678312</v>
      </c>
      <c r="I57" s="501">
        <v>1.1456039999999998</v>
      </c>
      <c r="J57" s="177"/>
      <c r="K57" s="173">
        <f t="shared" ca="1" si="15"/>
        <v>1.1456038583678312</v>
      </c>
      <c r="L57" s="508">
        <f t="shared" ca="1" si="16"/>
        <v>0</v>
      </c>
      <c r="M57" s="174">
        <f t="shared" ca="1" si="17"/>
        <v>1.1456038583678312</v>
      </c>
      <c r="N57" s="174">
        <f ca="1">IF(SUMIFS('Merged Trusts and MFF year'!$C$1:$C$24,'Merged Trusts and MFF year'!$A$1:$A$24,$B57,'Merged Trusts and MFF year'!$D$1:$D$24,"2013-14")=0,M57,SUMIFS('Merged Trusts and MFF year'!$C$1:$C$24,'Merged Trusts and MFF year'!$A$1:$A$24,$B57,'Merged Trusts and MFF year'!$D$1:$D$24,"2013-14"))</f>
        <v>1.1456038583678312</v>
      </c>
      <c r="O57" s="498">
        <f ca="1">IF(SUMIFS('Merged Trusts and MFF year'!$C$1:$C$24,'Merged Trusts and MFF year'!$A$1:$A$24,$B57,'Merged Trusts and MFF year'!$D$1:$D$24,"2014-15")=0,N57,SUMIFS('Merged Trusts and MFF year'!$C$1:$C$24,'Merged Trusts and MFF year'!$A$1:$A$24,$B57,'Merged Trusts and MFF year'!$D$1:$D$24,"2014-15"))</f>
        <v>1.1577267123254336</v>
      </c>
      <c r="P57" s="504">
        <f t="shared" ca="1" si="5"/>
        <v>1.0582064532214552E-2</v>
      </c>
      <c r="Q57" s="498">
        <f ca="1">IF(SUMIFS('Merged Trusts and MFF year'!$C$1:$C$24,'Merged Trusts and MFF year'!$A$1:$A$24,$B57,'Merged Trusts and MFF year'!$D$1:$D$24,"2015-16")=0,O57,SUMIFS('Merged Trusts and MFF year'!$C$1:$C$24,'Merged Trusts and MFF year'!$A$1:$A$24,$B57,'Merged Trusts and MFF year'!$D$1:$D$24,"2015-16"))</f>
        <v>1.1577267123254336</v>
      </c>
      <c r="R57" s="504">
        <f t="shared" ca="1" si="6"/>
        <v>0</v>
      </c>
      <c r="S57" s="498">
        <f ca="1">IF(SUMIFS('Merged Trusts and MFF year'!$C$1:$C$24,'Merged Trusts and MFF year'!$A$1:$A$24,$B57,'Merged Trusts and MFF year'!$D$1:$D$24,"2016-17")=0,Q57,SUMIFS('Merged Trusts and MFF year'!$C$1:$C$24,'Merged Trusts and MFF year'!$A$1:$A$24,$B57,'Merged Trusts and MFF year'!$D$1:$D$24,"2016-17"))</f>
        <v>1.1577267123254336</v>
      </c>
      <c r="T57" s="504">
        <f t="shared" ca="1" si="7"/>
        <v>0</v>
      </c>
      <c r="U57" s="459" t="s">
        <v>4216</v>
      </c>
    </row>
    <row r="58" spans="1:21" ht="12.75" customHeight="1" x14ac:dyDescent="0.2">
      <c r="A58" s="171" t="s">
        <v>3069</v>
      </c>
      <c r="B58" s="172" t="s">
        <v>2329</v>
      </c>
      <c r="C58" s="172" t="s">
        <v>2330</v>
      </c>
      <c r="D58" s="175">
        <f>INDEX('Base MFF calcs'!$I$7:$I$258,MATCH($B58,'Base MFF calcs'!$B$7:$B$258,0),1)</f>
        <v>0.96338674415306724</v>
      </c>
      <c r="E58" s="176">
        <f ca="1">D58/MIN('Base MFF calcs'!$I$7:$I$258)</f>
        <v>1.040009991073487</v>
      </c>
      <c r="F58" s="176">
        <v>1.0400100000000001</v>
      </c>
      <c r="G58" s="511">
        <f t="shared" ca="1" si="13"/>
        <v>-8.5831031171323957E-9</v>
      </c>
      <c r="H58" s="174">
        <f t="shared" ca="1" si="14"/>
        <v>1.040009991073487</v>
      </c>
      <c r="I58" s="501">
        <v>1.0400099999999999</v>
      </c>
      <c r="J58" s="177"/>
      <c r="K58" s="173">
        <f t="shared" ca="1" si="15"/>
        <v>1.040009991073487</v>
      </c>
      <c r="L58" s="508">
        <f t="shared" ca="1" si="16"/>
        <v>0</v>
      </c>
      <c r="M58" s="174">
        <f t="shared" ca="1" si="17"/>
        <v>1.040009991073487</v>
      </c>
      <c r="N58" s="174">
        <f ca="1">IF(SUMIFS('Merged Trusts and MFF year'!$C$1:$C$24,'Merged Trusts and MFF year'!$A$1:$A$24,$B58,'Merged Trusts and MFF year'!$D$1:$D$24,"2013-14")=0,M58,SUMIFS('Merged Trusts and MFF year'!$C$1:$C$24,'Merged Trusts and MFF year'!$A$1:$A$24,$B58,'Merged Trusts and MFF year'!$D$1:$D$24,"2013-14"))</f>
        <v>1.040009991073487</v>
      </c>
      <c r="O58" s="498">
        <f ca="1">IF(SUMIFS('Merged Trusts and MFF year'!$C$1:$C$24,'Merged Trusts and MFF year'!$A$1:$A$24,$B58,'Merged Trusts and MFF year'!$D$1:$D$24,"2014-15")=0,N58,SUMIFS('Merged Trusts and MFF year'!$C$1:$C$24,'Merged Trusts and MFF year'!$A$1:$A$24,$B58,'Merged Trusts and MFF year'!$D$1:$D$24,"2014-15"))</f>
        <v>1.040009991073487</v>
      </c>
      <c r="P58" s="504">
        <f t="shared" ca="1" si="5"/>
        <v>0</v>
      </c>
      <c r="Q58" s="498">
        <f ca="1">IF(SUMIFS('Merged Trusts and MFF year'!$C$1:$C$24,'Merged Trusts and MFF year'!$A$1:$A$24,$B58,'Merged Trusts and MFF year'!$D$1:$D$24,"2015-16")=0,O58,SUMIFS('Merged Trusts and MFF year'!$C$1:$C$24,'Merged Trusts and MFF year'!$A$1:$A$24,$B58,'Merged Trusts and MFF year'!$D$1:$D$24,"2015-16"))</f>
        <v>1.040009991073487</v>
      </c>
      <c r="R58" s="504">
        <f t="shared" ca="1" si="6"/>
        <v>0</v>
      </c>
      <c r="S58" s="498">
        <f ca="1">IF(SUMIFS('Merged Trusts and MFF year'!$C$1:$C$24,'Merged Trusts and MFF year'!$A$1:$A$24,$B58,'Merged Trusts and MFF year'!$D$1:$D$24,"2016-17")=0,Q58,SUMIFS('Merged Trusts and MFF year'!$C$1:$C$24,'Merged Trusts and MFF year'!$A$1:$A$24,$B58,'Merged Trusts and MFF year'!$D$1:$D$24,"2016-17"))</f>
        <v>1.040009991073487</v>
      </c>
      <c r="T58" s="504">
        <f t="shared" ca="1" si="7"/>
        <v>0</v>
      </c>
      <c r="U58" s="459"/>
    </row>
    <row r="59" spans="1:21" ht="12.75" customHeight="1" x14ac:dyDescent="0.2">
      <c r="A59" s="468" t="s">
        <v>3069</v>
      </c>
      <c r="B59" s="468" t="s">
        <v>2331</v>
      </c>
      <c r="C59" s="468" t="s">
        <v>2332</v>
      </c>
      <c r="D59" s="469">
        <f>INDEX('Base MFF calcs'!$I$7:$I$258,MATCH($B59,'Base MFF calcs'!$B$7:$B$258,0),1)</f>
        <v>0.95601748832698208</v>
      </c>
      <c r="E59" s="469">
        <f ca="1">D59/MIN('Base MFF calcs'!$I$7:$I$258)</f>
        <v>1.0320546193264502</v>
      </c>
      <c r="F59" s="469"/>
      <c r="G59" s="512">
        <f t="shared" si="13"/>
        <v>0</v>
      </c>
      <c r="H59" s="469">
        <f t="shared" ca="1" si="14"/>
        <v>1.0320546193264502</v>
      </c>
      <c r="I59" s="502">
        <v>1.0320549999999999</v>
      </c>
      <c r="J59" s="470"/>
      <c r="K59" s="173">
        <f t="shared" ca="1" si="15"/>
        <v>1.0320546193264502</v>
      </c>
      <c r="L59" s="508">
        <f t="shared" ca="1" si="16"/>
        <v>0</v>
      </c>
      <c r="M59" s="174">
        <f t="shared" ca="1" si="17"/>
        <v>1.0320546193264502</v>
      </c>
      <c r="N59" s="174">
        <f ca="1">IF(SUMIFS('Merged Trusts and MFF year'!$C$1:$C$24,'Merged Trusts and MFF year'!$A$1:$A$24,$B59,'Merged Trusts and MFF year'!$D$1:$D$24,"2013-14")=0,M59,SUMIFS('Merged Trusts and MFF year'!$C$1:$C$24,'Merged Trusts and MFF year'!$A$1:$A$24,$B59,'Merged Trusts and MFF year'!$D$1:$D$24,"2013-14"))</f>
        <v>1.0320546193264502</v>
      </c>
      <c r="O59" s="498">
        <f ca="1">IF(SUMIFS('Merged Trusts and MFF year'!$C$1:$C$24,'Merged Trusts and MFF year'!$A$1:$A$24,$B59,'Merged Trusts and MFF year'!$D$1:$D$24,"2014-15")=0,N59,SUMIFS('Merged Trusts and MFF year'!$C$1:$C$24,'Merged Trusts and MFF year'!$A$1:$A$24,$B59,'Merged Trusts and MFF year'!$D$1:$D$24,"2014-15"))</f>
        <v>1.0320546193264502</v>
      </c>
      <c r="P59" s="504">
        <f t="shared" ca="1" si="5"/>
        <v>0</v>
      </c>
      <c r="Q59" s="498">
        <f ca="1">IF(SUMIFS('Merged Trusts and MFF year'!$C$1:$C$24,'Merged Trusts and MFF year'!$A$1:$A$24,$B59,'Merged Trusts and MFF year'!$D$1:$D$24,"2015-16")=0,O59,SUMIFS('Merged Trusts and MFF year'!$C$1:$C$24,'Merged Trusts and MFF year'!$A$1:$A$24,$B59,'Merged Trusts and MFF year'!$D$1:$D$24,"2015-16"))</f>
        <v>1.0320546193264502</v>
      </c>
      <c r="R59" s="504">
        <f t="shared" ca="1" si="6"/>
        <v>0</v>
      </c>
      <c r="S59" s="498">
        <f ca="1">IF(SUMIFS('Merged Trusts and MFF year'!$C$1:$C$24,'Merged Trusts and MFF year'!$A$1:$A$24,$B59,'Merged Trusts and MFF year'!$D$1:$D$24,"2016-17")=0,Q59,SUMIFS('Merged Trusts and MFF year'!$C$1:$C$24,'Merged Trusts and MFF year'!$A$1:$A$24,$B59,'Merged Trusts and MFF year'!$D$1:$D$24,"2016-17"))</f>
        <v>1.0320546193264502</v>
      </c>
      <c r="T59" s="504">
        <f t="shared" ca="1" si="7"/>
        <v>0</v>
      </c>
      <c r="U59" s="472"/>
    </row>
    <row r="60" spans="1:21" ht="12.75" customHeight="1" x14ac:dyDescent="0.2">
      <c r="A60" s="171" t="s">
        <v>3069</v>
      </c>
      <c r="B60" s="172" t="s">
        <v>2333</v>
      </c>
      <c r="C60" s="468" t="s">
        <v>1314</v>
      </c>
      <c r="D60" s="175">
        <f>INDEX('Base MFF calcs'!$I$7:$I$258,MATCH($B60,'Base MFF calcs'!$B$7:$B$258,0),1)</f>
        <v>0.95713657445538169</v>
      </c>
      <c r="E60" s="176">
        <f ca="1">D60/MIN('Base MFF calcs'!$I$7:$I$258)</f>
        <v>1.0332627122979086</v>
      </c>
      <c r="F60" s="176">
        <v>1.033263</v>
      </c>
      <c r="G60" s="511">
        <f t="shared" ca="1" si="13"/>
        <v>-2.7844033079205133E-7</v>
      </c>
      <c r="H60" s="174">
        <f t="shared" ca="1" si="14"/>
        <v>1.0332627122979086</v>
      </c>
      <c r="I60" s="501">
        <v>1.033263</v>
      </c>
      <c r="J60" s="177"/>
      <c r="K60" s="173">
        <f t="shared" ca="1" si="15"/>
        <v>1.0332627122979086</v>
      </c>
      <c r="L60" s="508">
        <f t="shared" ca="1" si="16"/>
        <v>0</v>
      </c>
      <c r="M60" s="174">
        <f t="shared" ca="1" si="17"/>
        <v>1.0332627122979086</v>
      </c>
      <c r="N60" s="174">
        <f ca="1">IF(SUMIFS('Merged Trusts and MFF year'!$C$1:$C$24,'Merged Trusts and MFF year'!$A$1:$A$24,$B60,'Merged Trusts and MFF year'!$D$1:$D$24,"2013-14")=0,M60,SUMIFS('Merged Trusts and MFF year'!$C$1:$C$24,'Merged Trusts and MFF year'!$A$1:$A$24,$B60,'Merged Trusts and MFF year'!$D$1:$D$24,"2013-14"))</f>
        <v>1.0332627122979086</v>
      </c>
      <c r="O60" s="498">
        <f ca="1">IF(SUMIFS('Merged Trusts and MFF year'!$C$1:$C$24,'Merged Trusts and MFF year'!$A$1:$A$24,$B60,'Merged Trusts and MFF year'!$D$1:$D$24,"2014-15")=0,N60,SUMIFS('Merged Trusts and MFF year'!$C$1:$C$24,'Merged Trusts and MFF year'!$A$1:$A$24,$B60,'Merged Trusts and MFF year'!$D$1:$D$24,"2014-15"))</f>
        <v>1.0332627122979086</v>
      </c>
      <c r="P60" s="504">
        <f t="shared" ca="1" si="5"/>
        <v>0</v>
      </c>
      <c r="Q60" s="498">
        <f ca="1">IF(SUMIFS('Merged Trusts and MFF year'!$C$1:$C$24,'Merged Trusts and MFF year'!$A$1:$A$24,$B60,'Merged Trusts and MFF year'!$D$1:$D$24,"2015-16")=0,O60,SUMIFS('Merged Trusts and MFF year'!$C$1:$C$24,'Merged Trusts and MFF year'!$A$1:$A$24,$B60,'Merged Trusts and MFF year'!$D$1:$D$24,"2015-16"))</f>
        <v>1.0332627122979086</v>
      </c>
      <c r="R60" s="504">
        <f t="shared" ca="1" si="6"/>
        <v>0</v>
      </c>
      <c r="S60" s="498">
        <f ca="1">IF(SUMIFS('Merged Trusts and MFF year'!$C$1:$C$24,'Merged Trusts and MFF year'!$A$1:$A$24,$B60,'Merged Trusts and MFF year'!$D$1:$D$24,"2016-17")=0,Q60,SUMIFS('Merged Trusts and MFF year'!$C$1:$C$24,'Merged Trusts and MFF year'!$A$1:$A$24,$B60,'Merged Trusts and MFF year'!$D$1:$D$24,"2016-17"))</f>
        <v>1.0332627122979086</v>
      </c>
      <c r="T60" s="504">
        <f t="shared" ca="1" si="7"/>
        <v>0</v>
      </c>
      <c r="U60" s="464"/>
    </row>
    <row r="61" spans="1:21" ht="12.75" customHeight="1" x14ac:dyDescent="0.2">
      <c r="A61" s="171" t="s">
        <v>3528</v>
      </c>
      <c r="B61" s="172" t="s">
        <v>2335</v>
      </c>
      <c r="C61" s="172" t="s">
        <v>2336</v>
      </c>
      <c r="D61" s="175">
        <f>INDEX('Base MFF calcs'!$I$7:$I$258,MATCH($B61,'Base MFF calcs'!$B$7:$B$258,0),1)</f>
        <v>0.94164265362704924</v>
      </c>
      <c r="E61" s="176">
        <f ca="1">D61/MIN('Base MFF calcs'!$I$7:$I$258)</f>
        <v>1.0165364779375496</v>
      </c>
      <c r="F61" s="176">
        <v>1.0165360000000001</v>
      </c>
      <c r="G61" s="511">
        <f t="shared" ca="1" si="13"/>
        <v>4.7016293525103947E-7</v>
      </c>
      <c r="H61" s="174">
        <f t="shared" ca="1" si="14"/>
        <v>1.0165364779375496</v>
      </c>
      <c r="I61" s="501">
        <v>1.0165359999999999</v>
      </c>
      <c r="J61" s="177"/>
      <c r="K61" s="173">
        <f t="shared" ca="1" si="15"/>
        <v>1.0165364779375496</v>
      </c>
      <c r="L61" s="508">
        <f t="shared" ca="1" si="16"/>
        <v>0</v>
      </c>
      <c r="M61" s="174">
        <f t="shared" ca="1" si="17"/>
        <v>1.0165364779375496</v>
      </c>
      <c r="N61" s="174">
        <f ca="1">IF(SUMIFS('Merged Trusts and MFF year'!$C$1:$C$24,'Merged Trusts and MFF year'!$A$1:$A$24,$B61,'Merged Trusts and MFF year'!$D$1:$D$24,"2013-14")=0,M61,SUMIFS('Merged Trusts and MFF year'!$C$1:$C$24,'Merged Trusts and MFF year'!$A$1:$A$24,$B61,'Merged Trusts and MFF year'!$D$1:$D$24,"2013-14"))</f>
        <v>1.0165364779375496</v>
      </c>
      <c r="O61" s="498">
        <f ca="1">IF(SUMIFS('Merged Trusts and MFF year'!$C$1:$C$24,'Merged Trusts and MFF year'!$A$1:$A$24,$B61,'Merged Trusts and MFF year'!$D$1:$D$24,"2014-15")=0,N61,SUMIFS('Merged Trusts and MFF year'!$C$1:$C$24,'Merged Trusts and MFF year'!$A$1:$A$24,$B61,'Merged Trusts and MFF year'!$D$1:$D$24,"2014-15"))</f>
        <v>1.0165364779375496</v>
      </c>
      <c r="P61" s="504">
        <f t="shared" ca="1" si="5"/>
        <v>0</v>
      </c>
      <c r="Q61" s="498">
        <f ca="1">IF(SUMIFS('Merged Trusts and MFF year'!$C$1:$C$24,'Merged Trusts and MFF year'!$A$1:$A$24,$B61,'Merged Trusts and MFF year'!$D$1:$D$24,"2015-16")=0,O61,SUMIFS('Merged Trusts and MFF year'!$C$1:$C$24,'Merged Trusts and MFF year'!$A$1:$A$24,$B61,'Merged Trusts and MFF year'!$D$1:$D$24,"2015-16"))</f>
        <v>1.0165364779375496</v>
      </c>
      <c r="R61" s="504">
        <f t="shared" ca="1" si="6"/>
        <v>0</v>
      </c>
      <c r="S61" s="498">
        <f ca="1">IF(SUMIFS('Merged Trusts and MFF year'!$C$1:$C$24,'Merged Trusts and MFF year'!$A$1:$A$24,$B61,'Merged Trusts and MFF year'!$D$1:$D$24,"2016-17")=0,Q61,SUMIFS('Merged Trusts and MFF year'!$C$1:$C$24,'Merged Trusts and MFF year'!$A$1:$A$24,$B61,'Merged Trusts and MFF year'!$D$1:$D$24,"2016-17"))</f>
        <v>1.0165364779375496</v>
      </c>
      <c r="T61" s="504">
        <f t="shared" ca="1" si="7"/>
        <v>0</v>
      </c>
      <c r="U61" s="459"/>
    </row>
    <row r="62" spans="1:21" ht="12.75" customHeight="1" x14ac:dyDescent="0.2">
      <c r="A62" s="171" t="s">
        <v>3034</v>
      </c>
      <c r="B62" s="172" t="s">
        <v>2337</v>
      </c>
      <c r="C62" s="172" t="s">
        <v>2338</v>
      </c>
      <c r="D62" s="175">
        <f>INDEX('Base MFF calcs'!$I$7:$I$258,MATCH($B62,'Base MFF calcs'!$B$7:$B$258,0),1)</f>
        <v>0.95956073432058142</v>
      </c>
      <c r="E62" s="176">
        <f ca="1">D62/MIN('Base MFF calcs'!$I$7:$I$258)</f>
        <v>1.0358796784281448</v>
      </c>
      <c r="F62" s="176">
        <v>1.0358799999999999</v>
      </c>
      <c r="G62" s="511">
        <f t="shared" ca="1" si="13"/>
        <v>-3.1043350112724966E-7</v>
      </c>
      <c r="H62" s="174">
        <f t="shared" ca="1" si="14"/>
        <v>1.0358796784281448</v>
      </c>
      <c r="I62" s="501">
        <v>1.0358799999999999</v>
      </c>
      <c r="J62" s="177"/>
      <c r="K62" s="173">
        <f t="shared" ca="1" si="15"/>
        <v>1.0358796784281448</v>
      </c>
      <c r="L62" s="508">
        <f t="shared" ca="1" si="16"/>
        <v>0</v>
      </c>
      <c r="M62" s="174">
        <f t="shared" ca="1" si="17"/>
        <v>1.0358796784281448</v>
      </c>
      <c r="N62" s="174">
        <f ca="1">IF(SUMIFS('Merged Trusts and MFF year'!$C$1:$C$24,'Merged Trusts and MFF year'!$A$1:$A$24,$B62,'Merged Trusts and MFF year'!$D$1:$D$24,"2013-14")=0,M62,SUMIFS('Merged Trusts and MFF year'!$C$1:$C$24,'Merged Trusts and MFF year'!$A$1:$A$24,$B62,'Merged Trusts and MFF year'!$D$1:$D$24,"2013-14"))</f>
        <v>1.0358796784281448</v>
      </c>
      <c r="O62" s="498">
        <f ca="1">IF(SUMIFS('Merged Trusts and MFF year'!$C$1:$C$24,'Merged Trusts and MFF year'!$A$1:$A$24,$B62,'Merged Trusts and MFF year'!$D$1:$D$24,"2014-15")=0,N62,SUMIFS('Merged Trusts and MFF year'!$C$1:$C$24,'Merged Trusts and MFF year'!$A$1:$A$24,$B62,'Merged Trusts and MFF year'!$D$1:$D$24,"2014-15"))</f>
        <v>1.0358796784281448</v>
      </c>
      <c r="P62" s="504">
        <f t="shared" ca="1" si="5"/>
        <v>0</v>
      </c>
      <c r="Q62" s="498">
        <f ca="1">IF(SUMIFS('Merged Trusts and MFF year'!$C$1:$C$24,'Merged Trusts and MFF year'!$A$1:$A$24,$B62,'Merged Trusts and MFF year'!$D$1:$D$24,"2015-16")=0,O62,SUMIFS('Merged Trusts and MFF year'!$C$1:$C$24,'Merged Trusts and MFF year'!$A$1:$A$24,$B62,'Merged Trusts and MFF year'!$D$1:$D$24,"2015-16"))</f>
        <v>1.0358796784281448</v>
      </c>
      <c r="R62" s="504">
        <f t="shared" ca="1" si="6"/>
        <v>0</v>
      </c>
      <c r="S62" s="498">
        <f ca="1">IF(SUMIFS('Merged Trusts and MFF year'!$C$1:$C$24,'Merged Trusts and MFF year'!$A$1:$A$24,$B62,'Merged Trusts and MFF year'!$D$1:$D$24,"2016-17")=0,Q62,SUMIFS('Merged Trusts and MFF year'!$C$1:$C$24,'Merged Trusts and MFF year'!$A$1:$A$24,$B62,'Merged Trusts and MFF year'!$D$1:$D$24,"2016-17"))</f>
        <v>1.0358796784281448</v>
      </c>
      <c r="T62" s="504">
        <f t="shared" ca="1" si="7"/>
        <v>0</v>
      </c>
      <c r="U62" s="459"/>
    </row>
    <row r="63" spans="1:21" ht="12.75" customHeight="1" x14ac:dyDescent="0.2">
      <c r="A63" s="171" t="s">
        <v>3528</v>
      </c>
      <c r="B63" s="172" t="s">
        <v>2339</v>
      </c>
      <c r="C63" s="172" t="s">
        <v>2340</v>
      </c>
      <c r="D63" s="175">
        <f>INDEX('Base MFF calcs'!$I$7:$I$258,MATCH($B63,'Base MFF calcs'!$B$7:$B$258,0),1)</f>
        <v>0.97020279414452526</v>
      </c>
      <c r="E63" s="176">
        <f ca="1">D63/MIN('Base MFF calcs'!$I$7:$I$258)</f>
        <v>1.047368157597778</v>
      </c>
      <c r="F63" s="176">
        <v>1.0473680000000001</v>
      </c>
      <c r="G63" s="511">
        <f t="shared" ca="1" si="13"/>
        <v>1.5047030066384082E-7</v>
      </c>
      <c r="H63" s="174">
        <f t="shared" ca="1" si="14"/>
        <v>1.047368157597778</v>
      </c>
      <c r="I63" s="501">
        <v>1.0473679999999999</v>
      </c>
      <c r="J63" s="177"/>
      <c r="K63" s="173">
        <f t="shared" ca="1" si="15"/>
        <v>1.047368157597778</v>
      </c>
      <c r="L63" s="508">
        <f t="shared" ca="1" si="16"/>
        <v>0</v>
      </c>
      <c r="M63" s="174">
        <f t="shared" ca="1" si="17"/>
        <v>1.047368157597778</v>
      </c>
      <c r="N63" s="174">
        <f ca="1">IF(SUMIFS('Merged Trusts and MFF year'!$C$1:$C$24,'Merged Trusts and MFF year'!$A$1:$A$24,$B63,'Merged Trusts and MFF year'!$D$1:$D$24,"2013-14")=0,M63,SUMIFS('Merged Trusts and MFF year'!$C$1:$C$24,'Merged Trusts and MFF year'!$A$1:$A$24,$B63,'Merged Trusts and MFF year'!$D$1:$D$24,"2013-14"))</f>
        <v>1.047368157597778</v>
      </c>
      <c r="O63" s="498">
        <f ca="1">IF(SUMIFS('Merged Trusts and MFF year'!$C$1:$C$24,'Merged Trusts and MFF year'!$A$1:$A$24,$B63,'Merged Trusts and MFF year'!$D$1:$D$24,"2014-15")=0,N63,SUMIFS('Merged Trusts and MFF year'!$C$1:$C$24,'Merged Trusts and MFF year'!$A$1:$A$24,$B63,'Merged Trusts and MFF year'!$D$1:$D$24,"2014-15"))</f>
        <v>1.047368157597778</v>
      </c>
      <c r="P63" s="504">
        <f t="shared" ca="1" si="5"/>
        <v>0</v>
      </c>
      <c r="Q63" s="498">
        <f ca="1">IF(SUMIFS('Merged Trusts and MFF year'!$C$1:$C$24,'Merged Trusts and MFF year'!$A$1:$A$24,$B63,'Merged Trusts and MFF year'!$D$1:$D$24,"2015-16")=0,O63,SUMIFS('Merged Trusts and MFF year'!$C$1:$C$24,'Merged Trusts and MFF year'!$A$1:$A$24,$B63,'Merged Trusts and MFF year'!$D$1:$D$24,"2015-16"))</f>
        <v>1.047368157597778</v>
      </c>
      <c r="R63" s="504">
        <f t="shared" ca="1" si="6"/>
        <v>0</v>
      </c>
      <c r="S63" s="498">
        <f ca="1">IF(SUMIFS('Merged Trusts and MFF year'!$C$1:$C$24,'Merged Trusts and MFF year'!$A$1:$A$24,$B63,'Merged Trusts and MFF year'!$D$1:$D$24,"2016-17")=0,Q63,SUMIFS('Merged Trusts and MFF year'!$C$1:$C$24,'Merged Trusts and MFF year'!$A$1:$A$24,$B63,'Merged Trusts and MFF year'!$D$1:$D$24,"2016-17"))</f>
        <v>1.047368157597778</v>
      </c>
      <c r="T63" s="504">
        <f t="shared" ca="1" si="7"/>
        <v>0</v>
      </c>
      <c r="U63" s="459"/>
    </row>
    <row r="64" spans="1:21" ht="12.75" customHeight="1" x14ac:dyDescent="0.2">
      <c r="A64" s="171" t="s">
        <v>3528</v>
      </c>
      <c r="B64" s="172" t="s">
        <v>2341</v>
      </c>
      <c r="C64" s="468" t="s">
        <v>1292</v>
      </c>
      <c r="D64" s="175">
        <f>INDEX('Base MFF calcs'!$I$7:$I$258,MATCH($B64,'Base MFF calcs'!$B$7:$B$258,0),1)</f>
        <v>0.98706190778910718</v>
      </c>
      <c r="E64" s="176">
        <f ca="1">D64/MIN('Base MFF calcs'!$I$7:$I$258)</f>
        <v>1.0655681657849601</v>
      </c>
      <c r="F64" s="176">
        <v>1.0655680000000001</v>
      </c>
      <c r="G64" s="511">
        <f t="shared" ca="1" si="13"/>
        <v>1.5558365107359862E-7</v>
      </c>
      <c r="H64" s="174">
        <f t="shared" ca="1" si="14"/>
        <v>1.0655681657849601</v>
      </c>
      <c r="I64" s="501">
        <v>1.0655679999999998</v>
      </c>
      <c r="J64" s="177"/>
      <c r="K64" s="173">
        <f t="shared" ca="1" si="15"/>
        <v>1.0655681657849601</v>
      </c>
      <c r="L64" s="508">
        <f t="shared" ca="1" si="16"/>
        <v>0</v>
      </c>
      <c r="M64" s="174">
        <f t="shared" ca="1" si="17"/>
        <v>1.0655681657849601</v>
      </c>
      <c r="N64" s="174">
        <f ca="1">IF(SUMIFS('Merged Trusts and MFF year'!$C$1:$C$24,'Merged Trusts and MFF year'!$A$1:$A$24,$B64,'Merged Trusts and MFF year'!$D$1:$D$24,"2013-14")=0,M64,SUMIFS('Merged Trusts and MFF year'!$C$1:$C$24,'Merged Trusts and MFF year'!$A$1:$A$24,$B64,'Merged Trusts and MFF year'!$D$1:$D$24,"2013-14"))</f>
        <v>1.0655681657849601</v>
      </c>
      <c r="O64" s="498">
        <f ca="1">IF(SUMIFS('Merged Trusts and MFF year'!$C$1:$C$24,'Merged Trusts and MFF year'!$A$1:$A$24,$B64,'Merged Trusts and MFF year'!$D$1:$D$24,"2014-15")=0,N64,SUMIFS('Merged Trusts and MFF year'!$C$1:$C$24,'Merged Trusts and MFF year'!$A$1:$A$24,$B64,'Merged Trusts and MFF year'!$D$1:$D$24,"2014-15"))</f>
        <v>1.0655681657849601</v>
      </c>
      <c r="P64" s="504">
        <f t="shared" ca="1" si="5"/>
        <v>0</v>
      </c>
      <c r="Q64" s="498">
        <f ca="1">IF(SUMIFS('Merged Trusts and MFF year'!$C$1:$C$24,'Merged Trusts and MFF year'!$A$1:$A$24,$B64,'Merged Trusts and MFF year'!$D$1:$D$24,"2015-16")=0,O64,SUMIFS('Merged Trusts and MFF year'!$C$1:$C$24,'Merged Trusts and MFF year'!$A$1:$A$24,$B64,'Merged Trusts and MFF year'!$D$1:$D$24,"2015-16"))</f>
        <v>1.0655681657849601</v>
      </c>
      <c r="R64" s="504">
        <f t="shared" ca="1" si="6"/>
        <v>0</v>
      </c>
      <c r="S64" s="498">
        <f ca="1">IF(SUMIFS('Merged Trusts and MFF year'!$C$1:$C$24,'Merged Trusts and MFF year'!$A$1:$A$24,$B64,'Merged Trusts and MFF year'!$D$1:$D$24,"2016-17")=0,Q64,SUMIFS('Merged Trusts and MFF year'!$C$1:$C$24,'Merged Trusts and MFF year'!$A$1:$A$24,$B64,'Merged Trusts and MFF year'!$D$1:$D$24,"2016-17"))</f>
        <v>1.0655681657849601</v>
      </c>
      <c r="T64" s="504">
        <f t="shared" ca="1" si="7"/>
        <v>0</v>
      </c>
      <c r="U64" s="464"/>
    </row>
    <row r="65" spans="1:21" ht="12.75" customHeight="1" x14ac:dyDescent="0.2">
      <c r="A65" s="171" t="s">
        <v>2133</v>
      </c>
      <c r="B65" s="172" t="s">
        <v>2343</v>
      </c>
      <c r="C65" s="386" t="s">
        <v>2344</v>
      </c>
      <c r="D65" s="175">
        <f>INDEX('Base MFF calcs'!$I$7:$I$258,MATCH($B65,'Base MFF calcs'!$B$7:$B$258,0),1)</f>
        <v>0.96049618103338896</v>
      </c>
      <c r="E65" s="176">
        <f ca="1">D65/MIN('Base MFF calcs'!$I$7:$I$258)</f>
        <v>1.0368895261692945</v>
      </c>
      <c r="F65" s="176">
        <v>1.0368900000000001</v>
      </c>
      <c r="G65" s="511">
        <f t="shared" ca="1" si="13"/>
        <v>-4.5697297257341063E-7</v>
      </c>
      <c r="H65" s="174">
        <f t="shared" ca="1" si="14"/>
        <v>1.0368895261692945</v>
      </c>
      <c r="I65" s="501">
        <v>1.0368899999999999</v>
      </c>
      <c r="J65" s="177"/>
      <c r="K65" s="173">
        <f t="shared" ca="1" si="15"/>
        <v>1.0368895261692945</v>
      </c>
      <c r="L65" s="508">
        <f t="shared" ca="1" si="16"/>
        <v>0</v>
      </c>
      <c r="M65" s="174">
        <f t="shared" ca="1" si="17"/>
        <v>1.0368895261692945</v>
      </c>
      <c r="N65" s="174">
        <f ca="1">IF(SUMIFS('Merged Trusts and MFF year'!$C$1:$C$24,'Merged Trusts and MFF year'!$A$1:$A$24,$B65,'Merged Trusts and MFF year'!$D$1:$D$24,"2013-14")=0,M65,SUMIFS('Merged Trusts and MFF year'!$C$1:$C$24,'Merged Trusts and MFF year'!$A$1:$A$24,$B65,'Merged Trusts and MFF year'!$D$1:$D$24,"2013-14"))</f>
        <v>1.0368895261692945</v>
      </c>
      <c r="O65" s="498">
        <f ca="1">IF(SUMIFS('Merged Trusts and MFF year'!$C$1:$C$24,'Merged Trusts and MFF year'!$A$1:$A$24,$B65,'Merged Trusts and MFF year'!$D$1:$D$24,"2014-15")=0,N65,SUMIFS('Merged Trusts and MFF year'!$C$1:$C$24,'Merged Trusts and MFF year'!$A$1:$A$24,$B65,'Merged Trusts and MFF year'!$D$1:$D$24,"2014-15"))</f>
        <v>1.0368895261692945</v>
      </c>
      <c r="P65" s="504">
        <f t="shared" ca="1" si="5"/>
        <v>0</v>
      </c>
      <c r="Q65" s="498">
        <f ca="1">IF(SUMIFS('Merged Trusts and MFF year'!$C$1:$C$24,'Merged Trusts and MFF year'!$A$1:$A$24,$B65,'Merged Trusts and MFF year'!$D$1:$D$24,"2015-16")=0,O65,SUMIFS('Merged Trusts and MFF year'!$C$1:$C$24,'Merged Trusts and MFF year'!$A$1:$A$24,$B65,'Merged Trusts and MFF year'!$D$1:$D$24,"2015-16"))</f>
        <v>1.0368895261692945</v>
      </c>
      <c r="R65" s="504">
        <f t="shared" ca="1" si="6"/>
        <v>0</v>
      </c>
      <c r="S65" s="498">
        <f ca="1">IF(SUMIFS('Merged Trusts and MFF year'!$C$1:$C$24,'Merged Trusts and MFF year'!$A$1:$A$24,$B65,'Merged Trusts and MFF year'!$D$1:$D$24,"2016-17")=0,Q65,SUMIFS('Merged Trusts and MFF year'!$C$1:$C$24,'Merged Trusts and MFF year'!$A$1:$A$24,$B65,'Merged Trusts and MFF year'!$D$1:$D$24,"2016-17"))</f>
        <v>1.0368895261692945</v>
      </c>
      <c r="T65" s="504">
        <f t="shared" ca="1" si="7"/>
        <v>0</v>
      </c>
      <c r="U65" s="459"/>
    </row>
    <row r="66" spans="1:21" ht="22.5" x14ac:dyDescent="0.2">
      <c r="A66" s="171" t="s">
        <v>1167</v>
      </c>
      <c r="B66" s="172" t="s">
        <v>2345</v>
      </c>
      <c r="C66" s="172" t="s">
        <v>2346</v>
      </c>
      <c r="D66" s="175">
        <f>INDEX('Base MFF calcs'!$I$7:$I$258,MATCH($B66,'Base MFF calcs'!$B$7:$B$258,0),1)</f>
        <v>1.1108316431689347</v>
      </c>
      <c r="E66" s="176">
        <f ca="1">D66/MIN('Base MFF calcs'!$I$7:$I$258)</f>
        <v>1.1991819633265737</v>
      </c>
      <c r="F66" s="176">
        <v>1.199182</v>
      </c>
      <c r="G66" s="511">
        <f t="shared" ca="1" si="13"/>
        <v>-3.0582035348558634E-8</v>
      </c>
      <c r="H66" s="174">
        <f t="shared" ca="1" si="14"/>
        <v>1.1991819633265737</v>
      </c>
      <c r="I66" s="501">
        <v>1.199182</v>
      </c>
      <c r="J66" s="177"/>
      <c r="K66" s="173">
        <f t="shared" ca="1" si="15"/>
        <v>1.1991819633265737</v>
      </c>
      <c r="L66" s="508">
        <f t="shared" ca="1" si="16"/>
        <v>0</v>
      </c>
      <c r="M66" s="174">
        <f t="shared" ca="1" si="17"/>
        <v>1.1991819633265737</v>
      </c>
      <c r="N66" s="174">
        <f ca="1">IF(SUMIFS('Merged Trusts and MFF year'!$C$1:$C$24,'Merged Trusts and MFF year'!$A$1:$A$24,$B66,'Merged Trusts and MFF year'!$D$1:$D$24,"2013-14")=0,M66,SUMIFS('Merged Trusts and MFF year'!$C$1:$C$24,'Merged Trusts and MFF year'!$A$1:$A$24,$B66,'Merged Trusts and MFF year'!$D$1:$D$24,"2013-14"))</f>
        <v>1.1991819633265737</v>
      </c>
      <c r="O66" s="498">
        <f ca="1">IF(SUMIFS('Merged Trusts and MFF year'!$C$1:$C$24,'Merged Trusts and MFF year'!$A$1:$A$24,$B66,'Merged Trusts and MFF year'!$D$1:$D$24,"2014-15")=0,N66,SUMIFS('Merged Trusts and MFF year'!$C$1:$C$24,'Merged Trusts and MFF year'!$A$1:$A$24,$B66,'Merged Trusts and MFF year'!$D$1:$D$24,"2014-15"))</f>
        <v>1.1991819633265737</v>
      </c>
      <c r="P66" s="504">
        <f t="shared" ca="1" si="5"/>
        <v>0</v>
      </c>
      <c r="Q66" s="498">
        <f ca="1">IF(SUMIFS('Merged Trusts and MFF year'!$C$1:$C$24,'Merged Trusts and MFF year'!$A$1:$A$24,$B66,'Merged Trusts and MFF year'!$D$1:$D$24,"2015-16")=0,O66,SUMIFS('Merged Trusts and MFF year'!$C$1:$C$24,'Merged Trusts and MFF year'!$A$1:$A$24,$B66,'Merged Trusts and MFF year'!$D$1:$D$24,"2015-16"))</f>
        <v>1.1991819633265737</v>
      </c>
      <c r="R66" s="504">
        <f t="shared" ca="1" si="6"/>
        <v>0</v>
      </c>
      <c r="S66" s="498">
        <f ca="1">IF(SUMIFS('Merged Trusts and MFF year'!$C$1:$C$24,'Merged Trusts and MFF year'!$A$1:$A$24,$B66,'Merged Trusts and MFF year'!$D$1:$D$24,"2016-17")=0,Q66,SUMIFS('Merged Trusts and MFF year'!$C$1:$C$24,'Merged Trusts and MFF year'!$A$1:$A$24,$B66,'Merged Trusts and MFF year'!$D$1:$D$24,"2016-17"))</f>
        <v>1.1991819633265737</v>
      </c>
      <c r="T66" s="504">
        <f t="shared" ca="1" si="7"/>
        <v>0</v>
      </c>
      <c r="U66" s="459" t="s">
        <v>4227</v>
      </c>
    </row>
    <row r="67" spans="1:21" ht="12.75" customHeight="1" x14ac:dyDescent="0.2">
      <c r="A67" s="171" t="s">
        <v>1127</v>
      </c>
      <c r="B67" s="172" t="s">
        <v>2347</v>
      </c>
      <c r="C67" s="172" t="s">
        <v>2348</v>
      </c>
      <c r="D67" s="175">
        <f>INDEX('Base MFF calcs'!$I$7:$I$258,MATCH($B67,'Base MFF calcs'!$B$7:$B$258,0),1)</f>
        <v>1.056437184534996</v>
      </c>
      <c r="E67" s="176">
        <f ca="1">D67/MIN('Base MFF calcs'!$I$7:$I$258)</f>
        <v>1.1404612254903248</v>
      </c>
      <c r="F67" s="176">
        <v>1.1404609999999999</v>
      </c>
      <c r="G67" s="511">
        <f t="shared" ca="1" si="13"/>
        <v>1.9771857595607401E-7</v>
      </c>
      <c r="H67" s="174">
        <f t="shared" ca="1" si="14"/>
        <v>1.1404612254903248</v>
      </c>
      <c r="I67" s="501">
        <v>1.1404609999999999</v>
      </c>
      <c r="J67" s="476"/>
      <c r="K67" s="173">
        <f t="shared" ca="1" si="15"/>
        <v>1.1404612254903248</v>
      </c>
      <c r="L67" s="508">
        <f t="shared" ca="1" si="16"/>
        <v>0</v>
      </c>
      <c r="M67" s="174">
        <f t="shared" ca="1" si="17"/>
        <v>1.1404612254903248</v>
      </c>
      <c r="N67" s="174">
        <f ca="1">IF(SUMIFS('Merged Trusts and MFF year'!$C$1:$C$24,'Merged Trusts and MFF year'!$A$1:$A$24,$B67,'Merged Trusts and MFF year'!$D$1:$D$24,"2013-14")=0,M67,SUMIFS('Merged Trusts and MFF year'!$C$1:$C$24,'Merged Trusts and MFF year'!$A$1:$A$24,$B67,'Merged Trusts and MFF year'!$D$1:$D$24,"2013-14"))</f>
        <v>1.1404612254903248</v>
      </c>
      <c r="O67" s="498">
        <f ca="1">IF(SUMIFS('Merged Trusts and MFF year'!$C$1:$C$24,'Merged Trusts and MFF year'!$A$1:$A$24,$B67,'Merged Trusts and MFF year'!$D$1:$D$24,"2014-15")=0,N67,SUMIFS('Merged Trusts and MFF year'!$C$1:$C$24,'Merged Trusts and MFF year'!$A$1:$A$24,$B67,'Merged Trusts and MFF year'!$D$1:$D$24,"2014-15"))</f>
        <v>1.1404612254903248</v>
      </c>
      <c r="P67" s="504">
        <f t="shared" ca="1" si="5"/>
        <v>0</v>
      </c>
      <c r="Q67" s="498">
        <f ca="1">IF(SUMIFS('Merged Trusts and MFF year'!$C$1:$C$24,'Merged Trusts and MFF year'!$A$1:$A$24,$B67,'Merged Trusts and MFF year'!$D$1:$D$24,"2015-16")=0,O67,SUMIFS('Merged Trusts and MFF year'!$C$1:$C$24,'Merged Trusts and MFF year'!$A$1:$A$24,$B67,'Merged Trusts and MFF year'!$D$1:$D$24,"2015-16"))</f>
        <v>1.1404612254903248</v>
      </c>
      <c r="R67" s="504">
        <f t="shared" ca="1" si="6"/>
        <v>0</v>
      </c>
      <c r="S67" s="498">
        <f ca="1">IF(SUMIFS('Merged Trusts and MFF year'!$C$1:$C$24,'Merged Trusts and MFF year'!$A$1:$A$24,$B67,'Merged Trusts and MFF year'!$D$1:$D$24,"2016-17")=0,Q67,SUMIFS('Merged Trusts and MFF year'!$C$1:$C$24,'Merged Trusts and MFF year'!$A$1:$A$24,$B67,'Merged Trusts and MFF year'!$D$1:$D$24,"2016-17"))</f>
        <v>1.1404612254903248</v>
      </c>
      <c r="T67" s="504">
        <f t="shared" ca="1" si="7"/>
        <v>0</v>
      </c>
      <c r="U67" s="477"/>
    </row>
    <row r="68" spans="1:21" ht="12.75" customHeight="1" x14ac:dyDescent="0.2">
      <c r="A68" s="171" t="s">
        <v>2975</v>
      </c>
      <c r="B68" s="172" t="s">
        <v>2349</v>
      </c>
      <c r="C68" s="172" t="s">
        <v>2350</v>
      </c>
      <c r="D68" s="175">
        <f>INDEX('Base MFF calcs'!$I$7:$I$258,MATCH($B68,'Base MFF calcs'!$B$7:$B$258,0),1)</f>
        <v>0.9720292050624102</v>
      </c>
      <c r="E68" s="176">
        <f ca="1">D68/MIN('Base MFF calcs'!$I$7:$I$258)</f>
        <v>1.0493398326430641</v>
      </c>
      <c r="F68" s="176">
        <v>1.0493399999999999</v>
      </c>
      <c r="G68" s="511">
        <f t="shared" ca="1" si="13"/>
        <v>-1.5948780740515645E-7</v>
      </c>
      <c r="H68" s="174">
        <f t="shared" ca="1" si="14"/>
        <v>1.0493398326430641</v>
      </c>
      <c r="I68" s="501">
        <v>1.0493399999999999</v>
      </c>
      <c r="J68" s="476"/>
      <c r="K68" s="173">
        <f t="shared" ca="1" si="15"/>
        <v>1.0493398326430641</v>
      </c>
      <c r="L68" s="508">
        <f t="shared" ca="1" si="16"/>
        <v>0</v>
      </c>
      <c r="M68" s="174">
        <f t="shared" ca="1" si="17"/>
        <v>1.0493398326430641</v>
      </c>
      <c r="N68" s="174">
        <f ca="1">IF(SUMIFS('Merged Trusts and MFF year'!$C$1:$C$24,'Merged Trusts and MFF year'!$A$1:$A$24,$B68,'Merged Trusts and MFF year'!$D$1:$D$24,"2013-14")=0,M68,SUMIFS('Merged Trusts and MFF year'!$C$1:$C$24,'Merged Trusts and MFF year'!$A$1:$A$24,$B68,'Merged Trusts and MFF year'!$D$1:$D$24,"2013-14"))</f>
        <v>1.0493398326430641</v>
      </c>
      <c r="O68" s="498">
        <f ca="1">IF(SUMIFS('Merged Trusts and MFF year'!$C$1:$C$24,'Merged Trusts and MFF year'!$A$1:$A$24,$B68,'Merged Trusts and MFF year'!$D$1:$D$24,"2014-15")=0,N68,SUMIFS('Merged Trusts and MFF year'!$C$1:$C$24,'Merged Trusts and MFF year'!$A$1:$A$24,$B68,'Merged Trusts and MFF year'!$D$1:$D$24,"2014-15"))</f>
        <v>1.0493398326430641</v>
      </c>
      <c r="P68" s="504">
        <f t="shared" ca="1" si="5"/>
        <v>0</v>
      </c>
      <c r="Q68" s="498">
        <f ca="1">IF(SUMIFS('Merged Trusts and MFF year'!$C$1:$C$24,'Merged Trusts and MFF year'!$A$1:$A$24,$B68,'Merged Trusts and MFF year'!$D$1:$D$24,"2015-16")=0,O68,SUMIFS('Merged Trusts and MFF year'!$C$1:$C$24,'Merged Trusts and MFF year'!$A$1:$A$24,$B68,'Merged Trusts and MFF year'!$D$1:$D$24,"2015-16"))</f>
        <v>1.0493398326430641</v>
      </c>
      <c r="R68" s="504">
        <f t="shared" ca="1" si="6"/>
        <v>0</v>
      </c>
      <c r="S68" s="498">
        <f ca="1">IF(SUMIFS('Merged Trusts and MFF year'!$C$1:$C$24,'Merged Trusts and MFF year'!$A$1:$A$24,$B68,'Merged Trusts and MFF year'!$D$1:$D$24,"2016-17")=0,Q68,SUMIFS('Merged Trusts and MFF year'!$C$1:$C$24,'Merged Trusts and MFF year'!$A$1:$A$24,$B68,'Merged Trusts and MFF year'!$D$1:$D$24,"2016-17"))</f>
        <v>1.0493398326430641</v>
      </c>
      <c r="T68" s="504">
        <f t="shared" ca="1" si="7"/>
        <v>0</v>
      </c>
      <c r="U68" s="477"/>
    </row>
    <row r="69" spans="1:21" ht="12.75" customHeight="1" x14ac:dyDescent="0.2">
      <c r="A69" s="171" t="s">
        <v>3496</v>
      </c>
      <c r="B69" s="172" t="s">
        <v>2351</v>
      </c>
      <c r="C69" s="172" t="s">
        <v>2352</v>
      </c>
      <c r="D69" s="175">
        <f>INDEX('Base MFF calcs'!$I$7:$I$258,MATCH($B69,'Base MFF calcs'!$B$7:$B$258,0),1)</f>
        <v>0.96847456179100533</v>
      </c>
      <c r="E69" s="176">
        <f ca="1">D69/MIN('Base MFF calcs'!$I$7:$I$258)</f>
        <v>1.0455024697777351</v>
      </c>
      <c r="F69" s="176">
        <v>1.0455019999999999</v>
      </c>
      <c r="G69" s="511">
        <f t="shared" ca="1" si="13"/>
        <v>4.4933222054233113E-7</v>
      </c>
      <c r="H69" s="174">
        <f t="shared" ca="1" si="14"/>
        <v>1.0455024697777351</v>
      </c>
      <c r="I69" s="501">
        <v>1.0455019999999999</v>
      </c>
      <c r="J69" s="476"/>
      <c r="K69" s="173">
        <f t="shared" ca="1" si="15"/>
        <v>1.0455024697777351</v>
      </c>
      <c r="L69" s="508">
        <f t="shared" ca="1" si="16"/>
        <v>0</v>
      </c>
      <c r="M69" s="174">
        <f t="shared" ca="1" si="17"/>
        <v>1.0455024697777351</v>
      </c>
      <c r="N69" s="174">
        <f ca="1">IF(SUMIFS('Merged Trusts and MFF year'!$C$1:$C$24,'Merged Trusts and MFF year'!$A$1:$A$24,$B69,'Merged Trusts and MFF year'!$D$1:$D$24,"2013-14")=0,M69,SUMIFS('Merged Trusts and MFF year'!$C$1:$C$24,'Merged Trusts and MFF year'!$A$1:$A$24,$B69,'Merged Trusts and MFF year'!$D$1:$D$24,"2013-14"))</f>
        <v>1.0455024697777351</v>
      </c>
      <c r="O69" s="498">
        <f ca="1">IF(SUMIFS('Merged Trusts and MFF year'!$C$1:$C$24,'Merged Trusts and MFF year'!$A$1:$A$24,$B69,'Merged Trusts and MFF year'!$D$1:$D$24,"2014-15")=0,N69,SUMIFS('Merged Trusts and MFF year'!$C$1:$C$24,'Merged Trusts and MFF year'!$A$1:$A$24,$B69,'Merged Trusts and MFF year'!$D$1:$D$24,"2014-15"))</f>
        <v>1.0455024697777351</v>
      </c>
      <c r="P69" s="504">
        <f t="shared" ca="1" si="5"/>
        <v>0</v>
      </c>
      <c r="Q69" s="498">
        <f ca="1">IF(SUMIFS('Merged Trusts and MFF year'!$C$1:$C$24,'Merged Trusts and MFF year'!$A$1:$A$24,$B69,'Merged Trusts and MFF year'!$D$1:$D$24,"2015-16")=0,O69,SUMIFS('Merged Trusts and MFF year'!$C$1:$C$24,'Merged Trusts and MFF year'!$A$1:$A$24,$B69,'Merged Trusts and MFF year'!$D$1:$D$24,"2015-16"))</f>
        <v>1.0455024697777351</v>
      </c>
      <c r="R69" s="504">
        <f t="shared" ca="1" si="6"/>
        <v>0</v>
      </c>
      <c r="S69" s="498">
        <f ca="1">IF(SUMIFS('Merged Trusts and MFF year'!$C$1:$C$24,'Merged Trusts and MFF year'!$A$1:$A$24,$B69,'Merged Trusts and MFF year'!$D$1:$D$24,"2016-17")=0,Q69,SUMIFS('Merged Trusts and MFF year'!$C$1:$C$24,'Merged Trusts and MFF year'!$A$1:$A$24,$B69,'Merged Trusts and MFF year'!$D$1:$D$24,"2016-17"))</f>
        <v>1.0455024697777351</v>
      </c>
      <c r="T69" s="504">
        <f t="shared" ca="1" si="7"/>
        <v>0</v>
      </c>
      <c r="U69" s="477"/>
    </row>
    <row r="70" spans="1:21" ht="12.75" customHeight="1" x14ac:dyDescent="0.2">
      <c r="A70" s="171" t="s">
        <v>2975</v>
      </c>
      <c r="B70" s="172" t="s">
        <v>2353</v>
      </c>
      <c r="C70" s="172" t="s">
        <v>2354</v>
      </c>
      <c r="D70" s="175">
        <f>INDEX('Base MFF calcs'!$I$7:$I$258,MATCH($B70,'Base MFF calcs'!$B$7:$B$258,0),1)</f>
        <v>0.95642784472023279</v>
      </c>
      <c r="E70" s="176">
        <f ca="1">D70/MIN('Base MFF calcs'!$I$7:$I$258)</f>
        <v>1.0324976135356521</v>
      </c>
      <c r="F70" s="176">
        <v>1.0324979999999999</v>
      </c>
      <c r="G70" s="511">
        <f t="shared" ca="1" si="13"/>
        <v>-3.7430033550389652E-7</v>
      </c>
      <c r="H70" s="174">
        <f t="shared" ca="1" si="14"/>
        <v>1.0324976135356521</v>
      </c>
      <c r="I70" s="501">
        <v>1.0324979999999999</v>
      </c>
      <c r="J70" s="476"/>
      <c r="K70" s="173">
        <f t="shared" ca="1" si="15"/>
        <v>1.0324976135356521</v>
      </c>
      <c r="L70" s="508">
        <f t="shared" ca="1" si="16"/>
        <v>0</v>
      </c>
      <c r="M70" s="174">
        <f t="shared" ca="1" si="17"/>
        <v>1.0324976135356521</v>
      </c>
      <c r="N70" s="174">
        <f ca="1">IF(SUMIFS('Merged Trusts and MFF year'!$C$1:$C$24,'Merged Trusts and MFF year'!$A$1:$A$24,$B70,'Merged Trusts and MFF year'!$D$1:$D$24,"2013-14")=0,M70,SUMIFS('Merged Trusts and MFF year'!$C$1:$C$24,'Merged Trusts and MFF year'!$A$1:$A$24,$B70,'Merged Trusts and MFF year'!$D$1:$D$24,"2013-14"))</f>
        <v>1.0324976135356521</v>
      </c>
      <c r="O70" s="498">
        <f ca="1">IF(SUMIFS('Merged Trusts and MFF year'!$C$1:$C$24,'Merged Trusts and MFF year'!$A$1:$A$24,$B70,'Merged Trusts and MFF year'!$D$1:$D$24,"2014-15")=0,N70,SUMIFS('Merged Trusts and MFF year'!$C$1:$C$24,'Merged Trusts and MFF year'!$A$1:$A$24,$B70,'Merged Trusts and MFF year'!$D$1:$D$24,"2014-15"))</f>
        <v>1.0324976135356521</v>
      </c>
      <c r="P70" s="504">
        <f t="shared" ca="1" si="5"/>
        <v>0</v>
      </c>
      <c r="Q70" s="498">
        <f ca="1">IF(SUMIFS('Merged Trusts and MFF year'!$C$1:$C$24,'Merged Trusts and MFF year'!$A$1:$A$24,$B70,'Merged Trusts and MFF year'!$D$1:$D$24,"2015-16")=0,O70,SUMIFS('Merged Trusts and MFF year'!$C$1:$C$24,'Merged Trusts and MFF year'!$A$1:$A$24,$B70,'Merged Trusts and MFF year'!$D$1:$D$24,"2015-16"))</f>
        <v>1.0324976135356521</v>
      </c>
      <c r="R70" s="504">
        <f t="shared" ca="1" si="6"/>
        <v>0</v>
      </c>
      <c r="S70" s="498">
        <f ca="1">IF(SUMIFS('Merged Trusts and MFF year'!$C$1:$C$24,'Merged Trusts and MFF year'!$A$1:$A$24,$B70,'Merged Trusts and MFF year'!$D$1:$D$24,"2016-17")=0,Q70,SUMIFS('Merged Trusts and MFF year'!$C$1:$C$24,'Merged Trusts and MFF year'!$A$1:$A$24,$B70,'Merged Trusts and MFF year'!$D$1:$D$24,"2016-17"))</f>
        <v>1.0324976135356521</v>
      </c>
      <c r="T70" s="504">
        <f t="shared" ca="1" si="7"/>
        <v>0</v>
      </c>
      <c r="U70" s="477"/>
    </row>
    <row r="71" spans="1:21" ht="12.75" customHeight="1" x14ac:dyDescent="0.2">
      <c r="A71" s="171" t="s">
        <v>1167</v>
      </c>
      <c r="B71" s="172" t="s">
        <v>2355</v>
      </c>
      <c r="C71" s="172" t="s">
        <v>2356</v>
      </c>
      <c r="D71" s="175">
        <f>INDEX('Base MFF calcs'!$I$7:$I$258,MATCH($B71,'Base MFF calcs'!$B$7:$B$258,0),1)</f>
        <v>1.1280578691444223</v>
      </c>
      <c r="E71" s="176">
        <f ca="1">D71/MIN('Base MFF calcs'!$I$7:$I$258)</f>
        <v>1.2177782822314456</v>
      </c>
      <c r="F71" s="176">
        <v>1.217778</v>
      </c>
      <c r="G71" s="511">
        <f t="shared" ca="1" si="13"/>
        <v>2.3175935637276268E-7</v>
      </c>
      <c r="H71" s="174">
        <f t="shared" ca="1" si="14"/>
        <v>1.2177782822314456</v>
      </c>
      <c r="I71" s="501">
        <v>1.217778</v>
      </c>
      <c r="J71" s="177"/>
      <c r="K71" s="173">
        <f t="shared" ca="1" si="15"/>
        <v>1.2177782822314456</v>
      </c>
      <c r="L71" s="508">
        <f t="shared" ca="1" si="16"/>
        <v>0</v>
      </c>
      <c r="M71" s="174">
        <f t="shared" ca="1" si="17"/>
        <v>1.2177782822314456</v>
      </c>
      <c r="N71" s="174">
        <f ca="1">IF(SUMIFS('Merged Trusts and MFF year'!$C$1:$C$24,'Merged Trusts and MFF year'!$A$1:$A$24,$B71,'Merged Trusts and MFF year'!$D$1:$D$24,"2013-14")=0,M71,SUMIFS('Merged Trusts and MFF year'!$C$1:$C$24,'Merged Trusts and MFF year'!$A$1:$A$24,$B71,'Merged Trusts and MFF year'!$D$1:$D$24,"2013-14"))</f>
        <v>1.2177782822314456</v>
      </c>
      <c r="O71" s="498">
        <f ca="1">IF(SUMIFS('Merged Trusts and MFF year'!$C$1:$C$24,'Merged Trusts and MFF year'!$A$1:$A$24,$B71,'Merged Trusts and MFF year'!$D$1:$D$24,"2014-15")=0,N71,SUMIFS('Merged Trusts and MFF year'!$C$1:$C$24,'Merged Trusts and MFF year'!$A$1:$A$24,$B71,'Merged Trusts and MFF year'!$D$1:$D$24,"2014-15"))</f>
        <v>1.2177782822314456</v>
      </c>
      <c r="P71" s="504">
        <f t="shared" ref="P71:P134" ca="1" si="18">IF(OR(O71="Merged",N71=""),"N/A",O71/N71-1)</f>
        <v>0</v>
      </c>
      <c r="Q71" s="498">
        <f ca="1">IF(SUMIFS('Merged Trusts and MFF year'!$C$1:$C$24,'Merged Trusts and MFF year'!$A$1:$A$24,$B71,'Merged Trusts and MFF year'!$D$1:$D$24,"2015-16")=0,O71,SUMIFS('Merged Trusts and MFF year'!$C$1:$C$24,'Merged Trusts and MFF year'!$A$1:$A$24,$B71,'Merged Trusts and MFF year'!$D$1:$D$24,"2015-16"))</f>
        <v>1.2177782822314456</v>
      </c>
      <c r="R71" s="504">
        <f t="shared" ref="R71:R134" ca="1" si="19">IF(OR(Q71="Merged",O71=""),"N/A",Q71/O71-1)</f>
        <v>0</v>
      </c>
      <c r="S71" s="498">
        <f ca="1">IF(SUMIFS('Merged Trusts and MFF year'!$C$1:$C$24,'Merged Trusts and MFF year'!$A$1:$A$24,$B71,'Merged Trusts and MFF year'!$D$1:$D$24,"2016-17")=0,Q71,SUMIFS('Merged Trusts and MFF year'!$C$1:$C$24,'Merged Trusts and MFF year'!$A$1:$A$24,$B71,'Merged Trusts and MFF year'!$D$1:$D$24,"2016-17"))</f>
        <v>1.2177782822314456</v>
      </c>
      <c r="T71" s="504">
        <f t="shared" ref="T71:T134" ca="1" si="20">IF(OR(S71="Merged",Q71=""),"N/A",S71/Q71-1)</f>
        <v>0</v>
      </c>
      <c r="U71" s="459"/>
    </row>
    <row r="72" spans="1:21" ht="12.75" customHeight="1" x14ac:dyDescent="0.2">
      <c r="A72" s="172" t="s">
        <v>3069</v>
      </c>
      <c r="B72" s="171" t="s">
        <v>2357</v>
      </c>
      <c r="C72" s="174" t="s">
        <v>2358</v>
      </c>
      <c r="D72" s="174">
        <f>INDEX('Base MFF calcs'!$I$7:$I$258,MATCH($B72,'Base MFF calcs'!$B$7:$B$258,0),1)</f>
        <v>0.96400324263903636</v>
      </c>
      <c r="E72" s="176">
        <f ca="1">D72/MIN('Base MFF calcs'!$I$7:$I$258)</f>
        <v>1.0406755229471409</v>
      </c>
      <c r="F72" s="175">
        <v>1.0406759999999999</v>
      </c>
      <c r="G72" s="513">
        <f t="shared" ca="1" si="13"/>
        <v>-4.584067077040288E-7</v>
      </c>
      <c r="H72" s="174">
        <f t="shared" ca="1" si="14"/>
        <v>1.0406755229471409</v>
      </c>
      <c r="I72" s="501">
        <v>1.0406759999999999</v>
      </c>
      <c r="J72" s="177"/>
      <c r="K72" s="173">
        <f t="shared" ca="1" si="15"/>
        <v>1.0406755229471409</v>
      </c>
      <c r="L72" s="508">
        <f t="shared" ca="1" si="16"/>
        <v>0</v>
      </c>
      <c r="M72" s="174">
        <f t="shared" ca="1" si="17"/>
        <v>1.0406755229471409</v>
      </c>
      <c r="N72" s="174">
        <f ca="1">IF(SUMIFS('Merged Trusts and MFF year'!$C$1:$C$24,'Merged Trusts and MFF year'!$A$1:$A$24,$B72,'Merged Trusts and MFF year'!$D$1:$D$24,"2013-14")=0,M72,SUMIFS('Merged Trusts and MFF year'!$C$1:$C$24,'Merged Trusts and MFF year'!$A$1:$A$24,$B72,'Merged Trusts and MFF year'!$D$1:$D$24,"2013-14"))</f>
        <v>1.0406755229471409</v>
      </c>
      <c r="O72" s="498">
        <f ca="1">IF(SUMIFS('Merged Trusts and MFF year'!$C$1:$C$24,'Merged Trusts and MFF year'!$A$1:$A$24,$B72,'Merged Trusts and MFF year'!$D$1:$D$24,"2014-15")=0,N72,SUMIFS('Merged Trusts and MFF year'!$C$1:$C$24,'Merged Trusts and MFF year'!$A$1:$A$24,$B72,'Merged Trusts and MFF year'!$D$1:$D$24,"2014-15"))</f>
        <v>1.0406755229471409</v>
      </c>
      <c r="P72" s="504">
        <f t="shared" ca="1" si="18"/>
        <v>0</v>
      </c>
      <c r="Q72" s="498">
        <f ca="1">IF(SUMIFS('Merged Trusts and MFF year'!$C$1:$C$24,'Merged Trusts and MFF year'!$A$1:$A$24,$B72,'Merged Trusts and MFF year'!$D$1:$D$24,"2015-16")=0,O72,SUMIFS('Merged Trusts and MFF year'!$C$1:$C$24,'Merged Trusts and MFF year'!$A$1:$A$24,$B72,'Merged Trusts and MFF year'!$D$1:$D$24,"2015-16"))</f>
        <v>1.0406755229471409</v>
      </c>
      <c r="R72" s="504">
        <f t="shared" ca="1" si="19"/>
        <v>0</v>
      </c>
      <c r="S72" s="498">
        <f ca="1">IF(SUMIFS('Merged Trusts and MFF year'!$C$1:$C$24,'Merged Trusts and MFF year'!$A$1:$A$24,$B72,'Merged Trusts and MFF year'!$D$1:$D$24,"2016-17")=0,Q72,SUMIFS('Merged Trusts and MFF year'!$C$1:$C$24,'Merged Trusts and MFF year'!$A$1:$A$24,$B72,'Merged Trusts and MFF year'!$D$1:$D$24,"2016-17"))</f>
        <v>1.0406755229471409</v>
      </c>
      <c r="T72" s="504">
        <f t="shared" ca="1" si="20"/>
        <v>0</v>
      </c>
      <c r="U72" s="479"/>
    </row>
    <row r="73" spans="1:21" ht="12.75" customHeight="1" x14ac:dyDescent="0.2">
      <c r="A73" s="172" t="s">
        <v>1127</v>
      </c>
      <c r="B73" s="171" t="s">
        <v>2359</v>
      </c>
      <c r="C73" s="174" t="s">
        <v>2360</v>
      </c>
      <c r="D73" s="174">
        <f>INDEX('Base MFF calcs'!$I$7:$I$258,MATCH($B73,'Base MFF calcs'!$B$7:$B$258,0),1)</f>
        <v>0.99912298210204598</v>
      </c>
      <c r="E73" s="176">
        <f ca="1">D73/MIN('Base MFF calcs'!$I$7:$I$258)</f>
        <v>1.0785885211766708</v>
      </c>
      <c r="F73" s="175">
        <v>1.078589</v>
      </c>
      <c r="G73" s="513">
        <f t="shared" ca="1" si="13"/>
        <v>-4.4393492726335637E-7</v>
      </c>
      <c r="H73" s="174">
        <f t="shared" ca="1" si="14"/>
        <v>1.0785885211766708</v>
      </c>
      <c r="I73" s="501">
        <v>1.078589</v>
      </c>
      <c r="J73" s="177"/>
      <c r="K73" s="173">
        <f t="shared" ca="1" si="15"/>
        <v>1.0785885211766708</v>
      </c>
      <c r="L73" s="508">
        <f t="shared" ca="1" si="16"/>
        <v>0</v>
      </c>
      <c r="M73" s="174">
        <f t="shared" ca="1" si="17"/>
        <v>1.0785885211766708</v>
      </c>
      <c r="N73" s="174">
        <f ca="1">IF(SUMIFS('Merged Trusts and MFF year'!$C$1:$C$24,'Merged Trusts and MFF year'!$A$1:$A$24,$B73,'Merged Trusts and MFF year'!$D$1:$D$24,"2013-14")=0,M73,SUMIFS('Merged Trusts and MFF year'!$C$1:$C$24,'Merged Trusts and MFF year'!$A$1:$A$24,$B73,'Merged Trusts and MFF year'!$D$1:$D$24,"2013-14"))</f>
        <v>1.0785885211766708</v>
      </c>
      <c r="O73" s="498">
        <f ca="1">IF(SUMIFS('Merged Trusts and MFF year'!$C$1:$C$24,'Merged Trusts and MFF year'!$A$1:$A$24,$B73,'Merged Trusts and MFF year'!$D$1:$D$24,"2014-15")=0,N73,SUMIFS('Merged Trusts and MFF year'!$C$1:$C$24,'Merged Trusts and MFF year'!$A$1:$A$24,$B73,'Merged Trusts and MFF year'!$D$1:$D$24,"2014-15"))</f>
        <v>1.0785885211766708</v>
      </c>
      <c r="P73" s="504">
        <f t="shared" ca="1" si="18"/>
        <v>0</v>
      </c>
      <c r="Q73" s="498">
        <f ca="1">IF(SUMIFS('Merged Trusts and MFF year'!$C$1:$C$24,'Merged Trusts and MFF year'!$A$1:$A$24,$B73,'Merged Trusts and MFF year'!$D$1:$D$24,"2015-16")=0,O73,SUMIFS('Merged Trusts and MFF year'!$C$1:$C$24,'Merged Trusts and MFF year'!$A$1:$A$24,$B73,'Merged Trusts and MFF year'!$D$1:$D$24,"2015-16"))</f>
        <v>1.0785885211766708</v>
      </c>
      <c r="R73" s="504">
        <f t="shared" ca="1" si="19"/>
        <v>0</v>
      </c>
      <c r="S73" s="498">
        <f ca="1">IF(SUMIFS('Merged Trusts and MFF year'!$C$1:$C$24,'Merged Trusts and MFF year'!$A$1:$A$24,$B73,'Merged Trusts and MFF year'!$D$1:$D$24,"2016-17")=0,Q73,SUMIFS('Merged Trusts and MFF year'!$C$1:$C$24,'Merged Trusts and MFF year'!$A$1:$A$24,$B73,'Merged Trusts and MFF year'!$D$1:$D$24,"2016-17"))</f>
        <v>1.0785885211766708</v>
      </c>
      <c r="T73" s="504">
        <f t="shared" ca="1" si="20"/>
        <v>0</v>
      </c>
      <c r="U73" s="479"/>
    </row>
    <row r="74" spans="1:21" ht="12.75" customHeight="1" x14ac:dyDescent="0.2">
      <c r="A74" s="171" t="s">
        <v>3496</v>
      </c>
      <c r="B74" s="172" t="s">
        <v>2361</v>
      </c>
      <c r="C74" s="468" t="s">
        <v>1312</v>
      </c>
      <c r="D74" s="175">
        <f>INDEX('Base MFF calcs'!$I$7:$I$258,MATCH($B74,'Base MFF calcs'!$B$7:$B$258,0),1)</f>
        <v>0.96716543126996224</v>
      </c>
      <c r="E74" s="176">
        <f ca="1">D74/MIN('Base MFF calcs'!$I$7:$I$258)</f>
        <v>1.0440892171771909</v>
      </c>
      <c r="F74" s="176">
        <v>1.044089</v>
      </c>
      <c r="G74" s="511">
        <f t="shared" ca="1" si="13"/>
        <v>2.0800639677354127E-7</v>
      </c>
      <c r="H74" s="174">
        <f t="shared" ca="1" si="14"/>
        <v>1.0440892171771909</v>
      </c>
      <c r="I74" s="501">
        <v>1.044089</v>
      </c>
      <c r="J74" s="177"/>
      <c r="K74" s="173">
        <f t="shared" ca="1" si="15"/>
        <v>1.0440892171771909</v>
      </c>
      <c r="L74" s="508">
        <f t="shared" ca="1" si="16"/>
        <v>0</v>
      </c>
      <c r="M74" s="174">
        <f t="shared" ca="1" si="17"/>
        <v>1.0440892171771909</v>
      </c>
      <c r="N74" s="174">
        <f ca="1">IF(SUMIFS('Merged Trusts and MFF year'!$C$1:$C$24,'Merged Trusts and MFF year'!$A$1:$A$24,$B74,'Merged Trusts and MFF year'!$D$1:$D$24,"2013-14")=0,M74,SUMIFS('Merged Trusts and MFF year'!$C$1:$C$24,'Merged Trusts and MFF year'!$A$1:$A$24,$B74,'Merged Trusts and MFF year'!$D$1:$D$24,"2013-14"))</f>
        <v>1.0440892171771909</v>
      </c>
      <c r="O74" s="498">
        <f ca="1">IF(SUMIFS('Merged Trusts and MFF year'!$C$1:$C$24,'Merged Trusts and MFF year'!$A$1:$A$24,$B74,'Merged Trusts and MFF year'!$D$1:$D$24,"2014-15")=0,N74,SUMIFS('Merged Trusts and MFF year'!$C$1:$C$24,'Merged Trusts and MFF year'!$A$1:$A$24,$B74,'Merged Trusts and MFF year'!$D$1:$D$24,"2014-15"))</f>
        <v>1.0440892171771909</v>
      </c>
      <c r="P74" s="504">
        <f t="shared" ca="1" si="18"/>
        <v>0</v>
      </c>
      <c r="Q74" s="498">
        <f ca="1">IF(SUMIFS('Merged Trusts and MFF year'!$C$1:$C$24,'Merged Trusts and MFF year'!$A$1:$A$24,$B74,'Merged Trusts and MFF year'!$D$1:$D$24,"2015-16")=0,O74,SUMIFS('Merged Trusts and MFF year'!$C$1:$C$24,'Merged Trusts and MFF year'!$A$1:$A$24,$B74,'Merged Trusts and MFF year'!$D$1:$D$24,"2015-16"))</f>
        <v>1.0440892171771909</v>
      </c>
      <c r="R74" s="504">
        <f t="shared" ca="1" si="19"/>
        <v>0</v>
      </c>
      <c r="S74" s="498">
        <f ca="1">IF(SUMIFS('Merged Trusts and MFF year'!$C$1:$C$24,'Merged Trusts and MFF year'!$A$1:$A$24,$B74,'Merged Trusts and MFF year'!$D$1:$D$24,"2016-17")=0,Q74,SUMIFS('Merged Trusts and MFF year'!$C$1:$C$24,'Merged Trusts and MFF year'!$A$1:$A$24,$B74,'Merged Trusts and MFF year'!$D$1:$D$24,"2016-17"))</f>
        <v>1.0440892171771909</v>
      </c>
      <c r="T74" s="504">
        <f t="shared" ca="1" si="20"/>
        <v>0</v>
      </c>
      <c r="U74" s="464"/>
    </row>
    <row r="75" spans="1:21" ht="12.75" customHeight="1" x14ac:dyDescent="0.2">
      <c r="A75" s="171" t="s">
        <v>1167</v>
      </c>
      <c r="B75" s="172" t="s">
        <v>2363</v>
      </c>
      <c r="C75" s="172" t="s">
        <v>2364</v>
      </c>
      <c r="D75" s="175">
        <f>INDEX('Base MFF calcs'!$I$7:$I$258,MATCH($B75,'Base MFF calcs'!$B$7:$B$258,0),1)</f>
        <v>1.1043502052303349</v>
      </c>
      <c r="E75" s="176">
        <f ca="1">D75/MIN('Base MFF calcs'!$I$7:$I$258)</f>
        <v>1.1921850223227897</v>
      </c>
      <c r="F75" s="176">
        <v>1.1921850000000001</v>
      </c>
      <c r="G75" s="511">
        <f t="shared" ca="1" si="13"/>
        <v>1.872426635962654E-8</v>
      </c>
      <c r="H75" s="174">
        <f t="shared" ca="1" si="14"/>
        <v>1.1921850223227897</v>
      </c>
      <c r="I75" s="501">
        <v>1.1921850000000001</v>
      </c>
      <c r="J75" s="177"/>
      <c r="K75" s="173">
        <f t="shared" ca="1" si="15"/>
        <v>1.1921850223227897</v>
      </c>
      <c r="L75" s="508">
        <f t="shared" ca="1" si="16"/>
        <v>0</v>
      </c>
      <c r="M75" s="174">
        <f t="shared" ca="1" si="17"/>
        <v>1.1921850223227897</v>
      </c>
      <c r="N75" s="174">
        <f ca="1">IF(SUMIFS('Merged Trusts and MFF year'!$C$1:$C$24,'Merged Trusts and MFF year'!$A$1:$A$24,$B75,'Merged Trusts and MFF year'!$D$1:$D$24,"2013-14")=0,M75,SUMIFS('Merged Trusts and MFF year'!$C$1:$C$24,'Merged Trusts and MFF year'!$A$1:$A$24,$B75,'Merged Trusts and MFF year'!$D$1:$D$24,"2013-14"))</f>
        <v>1.1921850223227897</v>
      </c>
      <c r="O75" s="498">
        <f ca="1">IF(SUMIFS('Merged Trusts and MFF year'!$C$1:$C$24,'Merged Trusts and MFF year'!$A$1:$A$24,$B75,'Merged Trusts and MFF year'!$D$1:$D$24,"2014-15")=0,N75,SUMIFS('Merged Trusts and MFF year'!$C$1:$C$24,'Merged Trusts and MFF year'!$A$1:$A$24,$B75,'Merged Trusts and MFF year'!$D$1:$D$24,"2014-15"))</f>
        <v>1.1921850223227897</v>
      </c>
      <c r="P75" s="504">
        <f t="shared" ca="1" si="18"/>
        <v>0</v>
      </c>
      <c r="Q75" s="498">
        <f ca="1">IF(SUMIFS('Merged Trusts and MFF year'!$C$1:$C$24,'Merged Trusts and MFF year'!$A$1:$A$24,$B75,'Merged Trusts and MFF year'!$D$1:$D$24,"2015-16")=0,O75,SUMIFS('Merged Trusts and MFF year'!$C$1:$C$24,'Merged Trusts and MFF year'!$A$1:$A$24,$B75,'Merged Trusts and MFF year'!$D$1:$D$24,"2015-16"))</f>
        <v>1.1921850223227897</v>
      </c>
      <c r="R75" s="504">
        <f t="shared" ca="1" si="19"/>
        <v>0</v>
      </c>
      <c r="S75" s="498">
        <f ca="1">IF(SUMIFS('Merged Trusts and MFF year'!$C$1:$C$24,'Merged Trusts and MFF year'!$A$1:$A$24,$B75,'Merged Trusts and MFF year'!$D$1:$D$24,"2016-17")=0,Q75,SUMIFS('Merged Trusts and MFF year'!$C$1:$C$24,'Merged Trusts and MFF year'!$A$1:$A$24,$B75,'Merged Trusts and MFF year'!$D$1:$D$24,"2016-17"))</f>
        <v>1.1921850223227897</v>
      </c>
      <c r="T75" s="504">
        <f t="shared" ca="1" si="20"/>
        <v>0</v>
      </c>
      <c r="U75" s="459"/>
    </row>
    <row r="76" spans="1:21" ht="45" x14ac:dyDescent="0.2">
      <c r="A76" s="171" t="s">
        <v>3496</v>
      </c>
      <c r="B76" s="172" t="s">
        <v>2365</v>
      </c>
      <c r="C76" s="386" t="s">
        <v>2366</v>
      </c>
      <c r="D76" s="175">
        <f>INDEX('Base MFF calcs'!$I$7:$I$258,MATCH($B76,'Base MFF calcs'!$B$7:$B$258,0),1)</f>
        <v>1.0761055630253789</v>
      </c>
      <c r="E76" s="176">
        <f ca="1">D76/MIN('Base MFF calcs'!$I$7:$I$258)</f>
        <v>1.1616939342257928</v>
      </c>
      <c r="F76" s="176">
        <v>1.161694</v>
      </c>
      <c r="G76" s="511">
        <f t="shared" ca="1" si="13"/>
        <v>-5.6619219201969884E-8</v>
      </c>
      <c r="H76" s="174">
        <f t="shared" ca="1" si="14"/>
        <v>1.1616939342257928</v>
      </c>
      <c r="I76" s="501">
        <v>1.161694</v>
      </c>
      <c r="J76" s="177"/>
      <c r="K76" s="173">
        <f t="shared" ca="1" si="15"/>
        <v>1.1616939342257928</v>
      </c>
      <c r="L76" s="508">
        <f t="shared" ca="1" si="16"/>
        <v>0</v>
      </c>
      <c r="M76" s="174">
        <f t="shared" ca="1" si="17"/>
        <v>1.1616939342257928</v>
      </c>
      <c r="N76" s="174">
        <f ca="1">IF(SUMIFS('Merged Trusts and MFF year'!$C$1:$C$24,'Merged Trusts and MFF year'!$A$1:$A$24,$B76,'Merged Trusts and MFF year'!$D$1:$D$24,"2013-14")=0,M76,SUMIFS('Merged Trusts and MFF year'!$C$1:$C$24,'Merged Trusts and MFF year'!$A$1:$A$24,$B76,'Merged Trusts and MFF year'!$D$1:$D$24,"2013-14"))</f>
        <v>1.1616939342257928</v>
      </c>
      <c r="O76" s="498">
        <f ca="1">IF(SUMIFS('Merged Trusts and MFF year'!$C$1:$C$24,'Merged Trusts and MFF year'!$A$1:$A$24,$B76,'Merged Trusts and MFF year'!$D$1:$D$24,"2014-15")=0,N76,SUMIFS('Merged Trusts and MFF year'!$C$1:$C$24,'Merged Trusts and MFF year'!$A$1:$A$24,$B76,'Merged Trusts and MFF year'!$D$1:$D$24,"2014-15"))</f>
        <v>1.1616939342257928</v>
      </c>
      <c r="P76" s="504">
        <f t="shared" ca="1" si="18"/>
        <v>0</v>
      </c>
      <c r="Q76" s="498">
        <f ca="1">IF(SUMIFS('Merged Trusts and MFF year'!$C$1:$C$24,'Merged Trusts and MFF year'!$A$1:$A$24,$B76,'Merged Trusts and MFF year'!$D$1:$D$24,"2015-16")=0,O76,SUMIFS('Merged Trusts and MFF year'!$C$1:$C$24,'Merged Trusts and MFF year'!$A$1:$A$24,$B76,'Merged Trusts and MFF year'!$D$1:$D$24,"2015-16"))</f>
        <v>1.1651529697580674</v>
      </c>
      <c r="R76" s="504">
        <f t="shared" ca="1" si="19"/>
        <v>2.9775790596511253E-3</v>
      </c>
      <c r="S76" s="498">
        <f ca="1">IF(SUMIFS('Merged Trusts and MFF year'!$C$1:$C$24,'Merged Trusts and MFF year'!$A$1:$A$24,$B76,'Merged Trusts and MFF year'!$D$1:$D$24,"2016-17")=0,Q76,SUMIFS('Merged Trusts and MFF year'!$C$1:$C$24,'Merged Trusts and MFF year'!$A$1:$A$24,$B76,'Merged Trusts and MFF year'!$D$1:$D$24,"2016-17"))</f>
        <v>1.1651529697580674</v>
      </c>
      <c r="T76" s="504">
        <f t="shared" ca="1" si="20"/>
        <v>0</v>
      </c>
      <c r="U76" s="459" t="s">
        <v>4222</v>
      </c>
    </row>
    <row r="77" spans="1:21" ht="12.75" customHeight="1" x14ac:dyDescent="0.2">
      <c r="A77" s="171" t="s">
        <v>708</v>
      </c>
      <c r="B77" s="172" t="s">
        <v>2367</v>
      </c>
      <c r="C77" s="172" t="s">
        <v>2368</v>
      </c>
      <c r="D77" s="175">
        <f>INDEX('Base MFF calcs'!$I$7:$I$258,MATCH($B77,'Base MFF calcs'!$B$7:$B$258,0),1)</f>
        <v>0.9524637106373679</v>
      </c>
      <c r="E77" s="176">
        <f ca="1">D77/MIN('Base MFF calcs'!$I$7:$I$258)</f>
        <v>1.0282181908872132</v>
      </c>
      <c r="F77" s="176">
        <v>1.0282180000000001</v>
      </c>
      <c r="G77" s="511">
        <f t="shared" ca="1" si="13"/>
        <v>1.8564858139669127E-7</v>
      </c>
      <c r="H77" s="174">
        <f t="shared" ca="1" si="14"/>
        <v>1.0282181908872132</v>
      </c>
      <c r="I77" s="501">
        <v>1.0282179999999999</v>
      </c>
      <c r="J77" s="177"/>
      <c r="K77" s="173">
        <f t="shared" ca="1" si="15"/>
        <v>1.0282181908872132</v>
      </c>
      <c r="L77" s="508">
        <f t="shared" ca="1" si="16"/>
        <v>0</v>
      </c>
      <c r="M77" s="174">
        <f t="shared" ca="1" si="17"/>
        <v>1.0282181908872132</v>
      </c>
      <c r="N77" s="174">
        <f ca="1">IF(SUMIFS('Merged Trusts and MFF year'!$C$1:$C$24,'Merged Trusts and MFF year'!$A$1:$A$24,$B77,'Merged Trusts and MFF year'!$D$1:$D$24,"2013-14")=0,M77,SUMIFS('Merged Trusts and MFF year'!$C$1:$C$24,'Merged Trusts and MFF year'!$A$1:$A$24,$B77,'Merged Trusts and MFF year'!$D$1:$D$24,"2013-14"))</f>
        <v>1.0282181908872132</v>
      </c>
      <c r="O77" s="498">
        <f ca="1">IF(SUMIFS('Merged Trusts and MFF year'!$C$1:$C$24,'Merged Trusts and MFF year'!$A$1:$A$24,$B77,'Merged Trusts and MFF year'!$D$1:$D$24,"2014-15")=0,N77,SUMIFS('Merged Trusts and MFF year'!$C$1:$C$24,'Merged Trusts and MFF year'!$A$1:$A$24,$B77,'Merged Trusts and MFF year'!$D$1:$D$24,"2014-15"))</f>
        <v>1.0282181908872132</v>
      </c>
      <c r="P77" s="504">
        <f t="shared" ca="1" si="18"/>
        <v>0</v>
      </c>
      <c r="Q77" s="498">
        <f ca="1">IF(SUMIFS('Merged Trusts and MFF year'!$C$1:$C$24,'Merged Trusts and MFF year'!$A$1:$A$24,$B77,'Merged Trusts and MFF year'!$D$1:$D$24,"2015-16")=0,O77,SUMIFS('Merged Trusts and MFF year'!$C$1:$C$24,'Merged Trusts and MFF year'!$A$1:$A$24,$B77,'Merged Trusts and MFF year'!$D$1:$D$24,"2015-16"))</f>
        <v>1.0282181908872132</v>
      </c>
      <c r="R77" s="504">
        <f t="shared" ca="1" si="19"/>
        <v>0</v>
      </c>
      <c r="S77" s="498">
        <f ca="1">IF(SUMIFS('Merged Trusts and MFF year'!$C$1:$C$24,'Merged Trusts and MFF year'!$A$1:$A$24,$B77,'Merged Trusts and MFF year'!$D$1:$D$24,"2016-17")=0,Q77,SUMIFS('Merged Trusts and MFF year'!$C$1:$C$24,'Merged Trusts and MFF year'!$A$1:$A$24,$B77,'Merged Trusts and MFF year'!$D$1:$D$24,"2016-17"))</f>
        <v>1.0282181908872132</v>
      </c>
      <c r="T77" s="504">
        <f t="shared" ca="1" si="20"/>
        <v>0</v>
      </c>
      <c r="U77" s="459"/>
    </row>
    <row r="78" spans="1:21" ht="12.75" customHeight="1" x14ac:dyDescent="0.2">
      <c r="A78" s="171" t="s">
        <v>2133</v>
      </c>
      <c r="B78" s="172" t="s">
        <v>2369</v>
      </c>
      <c r="C78" s="172" t="s">
        <v>2370</v>
      </c>
      <c r="D78" s="175">
        <f>INDEX('Base MFF calcs'!$I$7:$I$258,MATCH($B78,'Base MFF calcs'!$B$7:$B$258,0),1)</f>
        <v>0.97332235635282971</v>
      </c>
      <c r="E78" s="176">
        <f ca="1">D78/MIN('Base MFF calcs'!$I$7:$I$258)</f>
        <v>1.0507358351001959</v>
      </c>
      <c r="F78" s="176">
        <v>1.0507359999999999</v>
      </c>
      <c r="G78" s="511">
        <f t="shared" ca="1" si="13"/>
        <v>-1.5693742672073796E-7</v>
      </c>
      <c r="H78" s="174">
        <f t="shared" ca="1" si="14"/>
        <v>1.0507358351001959</v>
      </c>
      <c r="I78" s="501">
        <v>1.0507359999999999</v>
      </c>
      <c r="J78" s="177"/>
      <c r="K78" s="173">
        <f t="shared" ca="1" si="15"/>
        <v>1.0507358351001959</v>
      </c>
      <c r="L78" s="508">
        <f t="shared" ca="1" si="16"/>
        <v>0</v>
      </c>
      <c r="M78" s="174">
        <f t="shared" ca="1" si="17"/>
        <v>1.0507358351001959</v>
      </c>
      <c r="N78" s="174">
        <f ca="1">IF(SUMIFS('Merged Trusts and MFF year'!$C$1:$C$24,'Merged Trusts and MFF year'!$A$1:$A$24,$B78,'Merged Trusts and MFF year'!$D$1:$D$24,"2013-14")=0,M78,SUMIFS('Merged Trusts and MFF year'!$C$1:$C$24,'Merged Trusts and MFF year'!$A$1:$A$24,$B78,'Merged Trusts and MFF year'!$D$1:$D$24,"2013-14"))</f>
        <v>1.0507358351001959</v>
      </c>
      <c r="O78" s="498">
        <f ca="1">IF(SUMIFS('Merged Trusts and MFF year'!$C$1:$C$24,'Merged Trusts and MFF year'!$A$1:$A$24,$B78,'Merged Trusts and MFF year'!$D$1:$D$24,"2014-15")=0,N78,SUMIFS('Merged Trusts and MFF year'!$C$1:$C$24,'Merged Trusts and MFF year'!$A$1:$A$24,$B78,'Merged Trusts and MFF year'!$D$1:$D$24,"2014-15"))</f>
        <v>1.0507358351001959</v>
      </c>
      <c r="P78" s="504">
        <f t="shared" ca="1" si="18"/>
        <v>0</v>
      </c>
      <c r="Q78" s="498">
        <f ca="1">IF(SUMIFS('Merged Trusts and MFF year'!$C$1:$C$24,'Merged Trusts and MFF year'!$A$1:$A$24,$B78,'Merged Trusts and MFF year'!$D$1:$D$24,"2015-16")=0,O78,SUMIFS('Merged Trusts and MFF year'!$C$1:$C$24,'Merged Trusts and MFF year'!$A$1:$A$24,$B78,'Merged Trusts and MFF year'!$D$1:$D$24,"2015-16"))</f>
        <v>1.0507358351001959</v>
      </c>
      <c r="R78" s="504">
        <f t="shared" ca="1" si="19"/>
        <v>0</v>
      </c>
      <c r="S78" s="498">
        <f ca="1">IF(SUMIFS('Merged Trusts and MFF year'!$C$1:$C$24,'Merged Trusts and MFF year'!$A$1:$A$24,$B78,'Merged Trusts and MFF year'!$D$1:$D$24,"2016-17")=0,Q78,SUMIFS('Merged Trusts and MFF year'!$C$1:$C$24,'Merged Trusts and MFF year'!$A$1:$A$24,$B78,'Merged Trusts and MFF year'!$D$1:$D$24,"2016-17"))</f>
        <v>1.0507358351001959</v>
      </c>
      <c r="T78" s="504">
        <f t="shared" ca="1" si="20"/>
        <v>0</v>
      </c>
      <c r="U78" s="459"/>
    </row>
    <row r="79" spans="1:21" ht="12.75" customHeight="1" x14ac:dyDescent="0.2">
      <c r="A79" s="480" t="s">
        <v>3528</v>
      </c>
      <c r="B79" s="480" t="s">
        <v>659</v>
      </c>
      <c r="C79" s="480" t="s">
        <v>3883</v>
      </c>
      <c r="D79" s="469">
        <f>INDEX('Base MFF calcs'!$I$7:$I$258,MATCH($B79,'Base MFF calcs'!$B$7:$B$258,0),1)</f>
        <v>0.98372069409452623</v>
      </c>
      <c r="E79" s="469">
        <f ca="1">D79/MIN('Base MFF calcs'!$I$7:$I$258)</f>
        <v>1.0619612076803719</v>
      </c>
      <c r="F79" s="469"/>
      <c r="G79" s="512">
        <f t="shared" si="13"/>
        <v>0</v>
      </c>
      <c r="H79" s="469">
        <f t="shared" ca="1" si="14"/>
        <v>1.0619612076803719</v>
      </c>
      <c r="I79" s="503" t="s">
        <v>1176</v>
      </c>
      <c r="J79" s="481"/>
      <c r="K79" s="173">
        <f t="shared" ca="1" si="15"/>
        <v>1.0619612076803719</v>
      </c>
      <c r="L79" s="508">
        <f t="shared" ca="1" si="16"/>
        <v>0</v>
      </c>
      <c r="M79" s="174">
        <f t="shared" ca="1" si="17"/>
        <v>1.0619612076803719</v>
      </c>
      <c r="N79" s="174">
        <f ca="1">IF(SUMIFS('Merged Trusts and MFF year'!$C$1:$C$24,'Merged Trusts and MFF year'!$A$1:$A$24,$B79,'Merged Trusts and MFF year'!$D$1:$D$24,"2013-14")=0,M79,SUMIFS('Merged Trusts and MFF year'!$C$1:$C$24,'Merged Trusts and MFF year'!$A$1:$A$24,$B79,'Merged Trusts and MFF year'!$D$1:$D$24,"2013-14"))</f>
        <v>1.0619612076803719</v>
      </c>
      <c r="O79" s="498">
        <f ca="1">IF(SUMIFS('Merged Trusts and MFF year'!$C$1:$C$24,'Merged Trusts and MFF year'!$A$1:$A$24,$B79,'Merged Trusts and MFF year'!$D$1:$D$24,"2014-15")=0,N79,SUMIFS('Merged Trusts and MFF year'!$C$1:$C$24,'Merged Trusts and MFF year'!$A$1:$A$24,$B79,'Merged Trusts and MFF year'!$D$1:$D$24,"2014-15"))</f>
        <v>1.0619612076803719</v>
      </c>
      <c r="P79" s="504">
        <f t="shared" ca="1" si="18"/>
        <v>0</v>
      </c>
      <c r="Q79" s="498">
        <f ca="1">IF(SUMIFS('Merged Trusts and MFF year'!$C$1:$C$24,'Merged Trusts and MFF year'!$A$1:$A$24,$B79,'Merged Trusts and MFF year'!$D$1:$D$24,"2015-16")=0,O79,SUMIFS('Merged Trusts and MFF year'!$C$1:$C$24,'Merged Trusts and MFF year'!$A$1:$A$24,$B79,'Merged Trusts and MFF year'!$D$1:$D$24,"2015-16"))</f>
        <v>1.0619612076803719</v>
      </c>
      <c r="R79" s="504">
        <f t="shared" ca="1" si="19"/>
        <v>0</v>
      </c>
      <c r="S79" s="498">
        <f ca="1">IF(SUMIFS('Merged Trusts and MFF year'!$C$1:$C$24,'Merged Trusts and MFF year'!$A$1:$A$24,$B79,'Merged Trusts and MFF year'!$D$1:$D$24,"2016-17")=0,Q79,SUMIFS('Merged Trusts and MFF year'!$C$1:$C$24,'Merged Trusts and MFF year'!$A$1:$A$24,$B79,'Merged Trusts and MFF year'!$D$1:$D$24,"2016-17"))</f>
        <v>1.0619612076803719</v>
      </c>
      <c r="T79" s="504">
        <f t="shared" ca="1" si="20"/>
        <v>0</v>
      </c>
      <c r="U79" s="479" t="s">
        <v>4213</v>
      </c>
    </row>
    <row r="80" spans="1:21" ht="12.75" customHeight="1" x14ac:dyDescent="0.2">
      <c r="A80" s="171" t="s">
        <v>3528</v>
      </c>
      <c r="B80" s="172" t="s">
        <v>2371</v>
      </c>
      <c r="C80" s="172" t="s">
        <v>2372</v>
      </c>
      <c r="D80" s="175">
        <f>INDEX('Base MFF calcs'!$I$7:$I$258,MATCH($B80,'Base MFF calcs'!$B$7:$B$258,0),1)</f>
        <v>0.97921412993103041</v>
      </c>
      <c r="E80" s="176">
        <f ca="1">D80/MIN('Base MFF calcs'!$I$7:$I$258)</f>
        <v>1.0570962126159342</v>
      </c>
      <c r="F80" s="176">
        <v>1.057096</v>
      </c>
      <c r="G80" s="511">
        <f t="shared" ca="1" si="13"/>
        <v>2.0113209608929594E-7</v>
      </c>
      <c r="H80" s="174">
        <f t="shared" ca="1" si="14"/>
        <v>1.0570962126159342</v>
      </c>
      <c r="I80" s="501">
        <v>1.057096</v>
      </c>
      <c r="J80" s="177"/>
      <c r="K80" s="173">
        <f t="shared" ca="1" si="15"/>
        <v>1.0570962126159342</v>
      </c>
      <c r="L80" s="508">
        <f t="shared" ca="1" si="16"/>
        <v>0</v>
      </c>
      <c r="M80" s="174">
        <f t="shared" ca="1" si="17"/>
        <v>1.0570962126159342</v>
      </c>
      <c r="N80" s="174">
        <f ca="1">IF(SUMIFS('Merged Trusts and MFF year'!$C$1:$C$24,'Merged Trusts and MFF year'!$A$1:$A$24,$B80,'Merged Trusts and MFF year'!$D$1:$D$24,"2013-14")=0,M80,SUMIFS('Merged Trusts and MFF year'!$C$1:$C$24,'Merged Trusts and MFF year'!$A$1:$A$24,$B80,'Merged Trusts and MFF year'!$D$1:$D$24,"2013-14"))</f>
        <v>1.0570962126159342</v>
      </c>
      <c r="O80" s="498">
        <f ca="1">IF(SUMIFS('Merged Trusts and MFF year'!$C$1:$C$24,'Merged Trusts and MFF year'!$A$1:$A$24,$B80,'Merged Trusts and MFF year'!$D$1:$D$24,"2014-15")=0,N80,SUMIFS('Merged Trusts and MFF year'!$C$1:$C$24,'Merged Trusts and MFF year'!$A$1:$A$24,$B80,'Merged Trusts and MFF year'!$D$1:$D$24,"2014-15"))</f>
        <v>1.0570962126159342</v>
      </c>
      <c r="P80" s="504">
        <f t="shared" ca="1" si="18"/>
        <v>0</v>
      </c>
      <c r="Q80" s="498">
        <f ca="1">IF(SUMIFS('Merged Trusts and MFF year'!$C$1:$C$24,'Merged Trusts and MFF year'!$A$1:$A$24,$B80,'Merged Trusts and MFF year'!$D$1:$D$24,"2015-16")=0,O80,SUMIFS('Merged Trusts and MFF year'!$C$1:$C$24,'Merged Trusts and MFF year'!$A$1:$A$24,$B80,'Merged Trusts and MFF year'!$D$1:$D$24,"2015-16"))</f>
        <v>1.0570962126159342</v>
      </c>
      <c r="R80" s="504">
        <f t="shared" ca="1" si="19"/>
        <v>0</v>
      </c>
      <c r="S80" s="498">
        <f ca="1">IF(SUMIFS('Merged Trusts and MFF year'!$C$1:$C$24,'Merged Trusts and MFF year'!$A$1:$A$24,$B80,'Merged Trusts and MFF year'!$D$1:$D$24,"2016-17")=0,Q80,SUMIFS('Merged Trusts and MFF year'!$C$1:$C$24,'Merged Trusts and MFF year'!$A$1:$A$24,$B80,'Merged Trusts and MFF year'!$D$1:$D$24,"2016-17"))</f>
        <v>1.0570962126159342</v>
      </c>
      <c r="T80" s="504">
        <f t="shared" ca="1" si="20"/>
        <v>0</v>
      </c>
      <c r="U80" s="459"/>
    </row>
    <row r="81" spans="1:21" ht="12.75" customHeight="1" x14ac:dyDescent="0.2">
      <c r="A81" s="171" t="s">
        <v>1167</v>
      </c>
      <c r="B81" s="172" t="s">
        <v>2373</v>
      </c>
      <c r="C81" s="172" t="s">
        <v>1307</v>
      </c>
      <c r="D81" s="175">
        <f>INDEX('Base MFF calcs'!$I$7:$I$258,MATCH($B81,'Base MFF calcs'!$B$7:$B$258,0),1)</f>
        <v>1.1910968345663144</v>
      </c>
      <c r="E81" s="176">
        <f ca="1">D81/MIN('Base MFF calcs'!$I$7:$I$258)</f>
        <v>1.2858310702354367</v>
      </c>
      <c r="F81" s="176">
        <v>1.2914479999999999</v>
      </c>
      <c r="G81" s="511">
        <f t="shared" ca="1" si="13"/>
        <v>-4.3493270844534582E-3</v>
      </c>
      <c r="H81" s="174">
        <f t="shared" ca="1" si="14"/>
        <v>1.2858310702354367</v>
      </c>
      <c r="I81" s="501">
        <v>1.2858309999999999</v>
      </c>
      <c r="J81" s="177"/>
      <c r="K81" s="173">
        <f t="shared" ca="1" si="15"/>
        <v>1.2858310702354367</v>
      </c>
      <c r="L81" s="508">
        <f t="shared" ca="1" si="16"/>
        <v>0</v>
      </c>
      <c r="M81" s="174">
        <f t="shared" ca="1" si="17"/>
        <v>1.2858310702354367</v>
      </c>
      <c r="N81" s="174">
        <f ca="1">IF(SUMIFS('Merged Trusts and MFF year'!$C$1:$C$24,'Merged Trusts and MFF year'!$A$1:$A$24,$B81,'Merged Trusts and MFF year'!$D$1:$D$24,"2013-14")=0,M81,SUMIFS('Merged Trusts and MFF year'!$C$1:$C$24,'Merged Trusts and MFF year'!$A$1:$A$24,$B81,'Merged Trusts and MFF year'!$D$1:$D$24,"2013-14"))</f>
        <v>1.2858310702354367</v>
      </c>
      <c r="O81" s="498">
        <f ca="1">IF(SUMIFS('Merged Trusts and MFF year'!$C$1:$C$24,'Merged Trusts and MFF year'!$A$1:$A$24,$B81,'Merged Trusts and MFF year'!$D$1:$D$24,"2014-15")=0,N81,SUMIFS('Merged Trusts and MFF year'!$C$1:$C$24,'Merged Trusts and MFF year'!$A$1:$A$24,$B81,'Merged Trusts and MFF year'!$D$1:$D$24,"2014-15"))</f>
        <v>1.2858310702354367</v>
      </c>
      <c r="P81" s="504">
        <f t="shared" ca="1" si="18"/>
        <v>0</v>
      </c>
      <c r="Q81" s="498">
        <f ca="1">IF(SUMIFS('Merged Trusts and MFF year'!$C$1:$C$24,'Merged Trusts and MFF year'!$A$1:$A$24,$B81,'Merged Trusts and MFF year'!$D$1:$D$24,"2015-16")=0,O81,SUMIFS('Merged Trusts and MFF year'!$C$1:$C$24,'Merged Trusts and MFF year'!$A$1:$A$24,$B81,'Merged Trusts and MFF year'!$D$1:$D$24,"2015-16"))</f>
        <v>1.2858310702354367</v>
      </c>
      <c r="R81" s="504">
        <f t="shared" ca="1" si="19"/>
        <v>0</v>
      </c>
      <c r="S81" s="498">
        <f ca="1">IF(SUMIFS('Merged Trusts and MFF year'!$C$1:$C$24,'Merged Trusts and MFF year'!$A$1:$A$24,$B81,'Merged Trusts and MFF year'!$D$1:$D$24,"2016-17")=0,Q81,SUMIFS('Merged Trusts and MFF year'!$C$1:$C$24,'Merged Trusts and MFF year'!$A$1:$A$24,$B81,'Merged Trusts and MFF year'!$D$1:$D$24,"2016-17"))</f>
        <v>1.2858310702354367</v>
      </c>
      <c r="T81" s="504">
        <f t="shared" ca="1" si="20"/>
        <v>0</v>
      </c>
      <c r="U81" s="464"/>
    </row>
    <row r="82" spans="1:21" ht="12.75" customHeight="1" x14ac:dyDescent="0.2">
      <c r="A82" s="172" t="s">
        <v>3528</v>
      </c>
      <c r="B82" s="171" t="s">
        <v>2375</v>
      </c>
      <c r="C82" s="174" t="s">
        <v>2376</v>
      </c>
      <c r="D82" s="174">
        <f>INDEX('Base MFF calcs'!$I$7:$I$258,MATCH($B82,'Base MFF calcs'!$B$7:$B$258,0),1)</f>
        <v>0.9959013719078027</v>
      </c>
      <c r="E82" s="176">
        <f ca="1">D82/MIN('Base MFF calcs'!$I$7:$I$258)</f>
        <v>1.0751106792718577</v>
      </c>
      <c r="F82" s="175">
        <v>1.0751109999999999</v>
      </c>
      <c r="G82" s="513">
        <f t="shared" ca="1" si="13"/>
        <v>-2.9832095682635895E-7</v>
      </c>
      <c r="H82" s="174">
        <f t="shared" ca="1" si="14"/>
        <v>1.0751106792718577</v>
      </c>
      <c r="I82" s="501">
        <v>1.0751109999999999</v>
      </c>
      <c r="J82" s="177"/>
      <c r="K82" s="173" t="str">
        <f t="shared" si="15"/>
        <v>Merged</v>
      </c>
      <c r="L82" s="508" t="str">
        <f t="shared" si="16"/>
        <v>N/A</v>
      </c>
      <c r="M82" s="174" t="str">
        <f t="shared" si="17"/>
        <v>Merged</v>
      </c>
      <c r="N82" s="174" t="str">
        <f>IF(SUMIFS('Merged Trusts and MFF year'!$C$1:$C$24,'Merged Trusts and MFF year'!$A$1:$A$24,$B82,'Merged Trusts and MFF year'!$D$1:$D$24,"2013-14")=0,M82,SUMIFS('Merged Trusts and MFF year'!$C$1:$C$24,'Merged Trusts and MFF year'!$A$1:$A$24,$B82,'Merged Trusts and MFF year'!$D$1:$D$24,"2013-14"))</f>
        <v>Merged</v>
      </c>
      <c r="O82" s="498" t="str">
        <f>IF(SUMIFS('Merged Trusts and MFF year'!$C$1:$C$24,'Merged Trusts and MFF year'!$A$1:$A$24,$B82,'Merged Trusts and MFF year'!$D$1:$D$24,"2014-15")=0,N82,SUMIFS('Merged Trusts and MFF year'!$C$1:$C$24,'Merged Trusts and MFF year'!$A$1:$A$24,$B82,'Merged Trusts and MFF year'!$D$1:$D$24,"2014-15"))</f>
        <v>Merged</v>
      </c>
      <c r="P82" s="504" t="str">
        <f t="shared" si="18"/>
        <v>N/A</v>
      </c>
      <c r="Q82" s="498" t="str">
        <f>IF(SUMIFS('Merged Trusts and MFF year'!$C$1:$C$24,'Merged Trusts and MFF year'!$A$1:$A$24,$B82,'Merged Trusts and MFF year'!$D$1:$D$24,"2015-16")=0,O82,SUMIFS('Merged Trusts and MFF year'!$C$1:$C$24,'Merged Trusts and MFF year'!$A$1:$A$24,$B82,'Merged Trusts and MFF year'!$D$1:$D$24,"2015-16"))</f>
        <v>Merged</v>
      </c>
      <c r="R82" s="504" t="str">
        <f t="shared" si="19"/>
        <v>N/A</v>
      </c>
      <c r="S82" s="498" t="str">
        <f>IF(SUMIFS('Merged Trusts and MFF year'!$C$1:$C$24,'Merged Trusts and MFF year'!$A$1:$A$24,$B82,'Merged Trusts and MFF year'!$D$1:$D$24,"2016-17")=0,Q82,SUMIFS('Merged Trusts and MFF year'!$C$1:$C$24,'Merged Trusts and MFF year'!$A$1:$A$24,$B82,'Merged Trusts and MFF year'!$D$1:$D$24,"2016-17"))</f>
        <v>Merged</v>
      </c>
      <c r="T82" s="504" t="str">
        <f t="shared" si="20"/>
        <v>N/A</v>
      </c>
      <c r="U82" s="202" t="s">
        <v>4205</v>
      </c>
    </row>
    <row r="83" spans="1:21" ht="12.75" customHeight="1" x14ac:dyDescent="0.2">
      <c r="A83" s="171" t="s">
        <v>3528</v>
      </c>
      <c r="B83" s="172" t="s">
        <v>2377</v>
      </c>
      <c r="C83" s="172" t="s">
        <v>2378</v>
      </c>
      <c r="D83" s="175">
        <f>INDEX('Base MFF calcs'!$I$7:$I$258,MATCH($B83,'Base MFF calcs'!$B$7:$B$258,0),1)</f>
        <v>1.0145062677043455</v>
      </c>
      <c r="E83" s="176">
        <f ca="1">D83/MIN('Base MFF calcs'!$I$7:$I$258)</f>
        <v>1.0951953209058838</v>
      </c>
      <c r="F83" s="176">
        <v>1.0951949999999999</v>
      </c>
      <c r="G83" s="511">
        <f t="shared" ca="1" si="13"/>
        <v>2.9301255377589541E-7</v>
      </c>
      <c r="H83" s="174">
        <f t="shared" ca="1" si="14"/>
        <v>1.0951953209058838</v>
      </c>
      <c r="I83" s="501">
        <v>1.0951949999999999</v>
      </c>
      <c r="J83" s="177"/>
      <c r="K83" s="173">
        <f t="shared" ca="1" si="15"/>
        <v>1.0951953209058838</v>
      </c>
      <c r="L83" s="508">
        <f t="shared" ca="1" si="16"/>
        <v>0</v>
      </c>
      <c r="M83" s="174">
        <f t="shared" ca="1" si="17"/>
        <v>1.0951953209058838</v>
      </c>
      <c r="N83" s="174">
        <f ca="1">IF(SUMIFS('Merged Trusts and MFF year'!$C$1:$C$24,'Merged Trusts and MFF year'!$A$1:$A$24,$B83,'Merged Trusts and MFF year'!$D$1:$D$24,"2013-14")=0,M83,SUMIFS('Merged Trusts and MFF year'!$C$1:$C$24,'Merged Trusts and MFF year'!$A$1:$A$24,$B83,'Merged Trusts and MFF year'!$D$1:$D$24,"2013-14"))</f>
        <v>1.0951953209058838</v>
      </c>
      <c r="O83" s="498">
        <f ca="1">IF(SUMIFS('Merged Trusts and MFF year'!$C$1:$C$24,'Merged Trusts and MFF year'!$A$1:$A$24,$B83,'Merged Trusts and MFF year'!$D$1:$D$24,"2014-15")=0,N83,SUMIFS('Merged Trusts and MFF year'!$C$1:$C$24,'Merged Trusts and MFF year'!$A$1:$A$24,$B83,'Merged Trusts and MFF year'!$D$1:$D$24,"2014-15"))</f>
        <v>1.0951953209058838</v>
      </c>
      <c r="P83" s="504">
        <f t="shared" ca="1" si="18"/>
        <v>0</v>
      </c>
      <c r="Q83" s="498">
        <f ca="1">IF(SUMIFS('Merged Trusts and MFF year'!$C$1:$C$24,'Merged Trusts and MFF year'!$A$1:$A$24,$B83,'Merged Trusts and MFF year'!$D$1:$D$24,"2015-16")=0,O83,SUMIFS('Merged Trusts and MFF year'!$C$1:$C$24,'Merged Trusts and MFF year'!$A$1:$A$24,$B83,'Merged Trusts and MFF year'!$D$1:$D$24,"2015-16"))</f>
        <v>1.0951953209058838</v>
      </c>
      <c r="R83" s="504">
        <f t="shared" ca="1" si="19"/>
        <v>0</v>
      </c>
      <c r="S83" s="498">
        <f ca="1">IF(SUMIFS('Merged Trusts and MFF year'!$C$1:$C$24,'Merged Trusts and MFF year'!$A$1:$A$24,$B83,'Merged Trusts and MFF year'!$D$1:$D$24,"2016-17")=0,Q83,SUMIFS('Merged Trusts and MFF year'!$C$1:$C$24,'Merged Trusts and MFF year'!$A$1:$A$24,$B83,'Merged Trusts and MFF year'!$D$1:$D$24,"2016-17"))</f>
        <v>1.0951953209058838</v>
      </c>
      <c r="T83" s="504">
        <f t="shared" ca="1" si="20"/>
        <v>0</v>
      </c>
      <c r="U83" s="459"/>
    </row>
    <row r="84" spans="1:21" ht="12.75" customHeight="1" x14ac:dyDescent="0.2">
      <c r="A84" s="171" t="s">
        <v>2975</v>
      </c>
      <c r="B84" s="172" t="s">
        <v>2379</v>
      </c>
      <c r="C84" s="172" t="s">
        <v>2380</v>
      </c>
      <c r="D84" s="175">
        <f>INDEX('Base MFF calcs'!$I$7:$I$258,MATCH($B84,'Base MFF calcs'!$B$7:$B$258,0),1)</f>
        <v>0.97287008186760993</v>
      </c>
      <c r="E84" s="176">
        <f ca="1">D84/MIN('Base MFF calcs'!$I$7:$I$258)</f>
        <v>1.0502475888313003</v>
      </c>
      <c r="F84" s="176">
        <v>1.0502480000000001</v>
      </c>
      <c r="G84" s="511">
        <f t="shared" ref="G84:G115" ca="1" si="21">IF(F84="",0,E84/F84-1)</f>
        <v>-3.9149677000249739E-7</v>
      </c>
      <c r="H84" s="174">
        <f t="shared" ref="H84:H115" ca="1" si="22">IF(ISERR(G84),E84,IF(G84&gt;2%,F84*1.02,IF(G84&lt;-2%,F84*0.98,E84)))</f>
        <v>1.0502475888313003</v>
      </c>
      <c r="I84" s="501">
        <v>1.0502479999999998</v>
      </c>
      <c r="J84" s="177"/>
      <c r="K84" s="173">
        <f t="shared" ref="K84:K118" ca="1" si="23">IF(LEFT(U84,6)="Merged","Merged",E84)</f>
        <v>1.0502475888313003</v>
      </c>
      <c r="L84" s="508">
        <f t="shared" ref="L84:L115" ca="1" si="24">IF(K84="Merged","N/A",K84/H84-1)</f>
        <v>0</v>
      </c>
      <c r="M84" s="174">
        <f t="shared" ref="M84:M115" ca="1" si="25">IF(L84="N/A",K84,IF(L84&gt;2%,1.02*H84,IF(L84&lt;-2%,0.98*H84,K84)))</f>
        <v>1.0502475888313003</v>
      </c>
      <c r="N84" s="174">
        <f ca="1">IF(SUMIFS('Merged Trusts and MFF year'!$C$1:$C$24,'Merged Trusts and MFF year'!$A$1:$A$24,$B84,'Merged Trusts and MFF year'!$D$1:$D$24,"2013-14")=0,M84,SUMIFS('Merged Trusts and MFF year'!$C$1:$C$24,'Merged Trusts and MFF year'!$A$1:$A$24,$B84,'Merged Trusts and MFF year'!$D$1:$D$24,"2013-14"))</f>
        <v>1.0502475888313003</v>
      </c>
      <c r="O84" s="498">
        <f ca="1">IF(SUMIFS('Merged Trusts and MFF year'!$C$1:$C$24,'Merged Trusts and MFF year'!$A$1:$A$24,$B84,'Merged Trusts and MFF year'!$D$1:$D$24,"2014-15")=0,N84,SUMIFS('Merged Trusts and MFF year'!$C$1:$C$24,'Merged Trusts and MFF year'!$A$1:$A$24,$B84,'Merged Trusts and MFF year'!$D$1:$D$24,"2014-15"))</f>
        <v>1.0502475888313003</v>
      </c>
      <c r="P84" s="504">
        <f t="shared" ca="1" si="18"/>
        <v>0</v>
      </c>
      <c r="Q84" s="498">
        <f ca="1">IF(SUMIFS('Merged Trusts and MFF year'!$C$1:$C$24,'Merged Trusts and MFF year'!$A$1:$A$24,$B84,'Merged Trusts and MFF year'!$D$1:$D$24,"2015-16")=0,O84,SUMIFS('Merged Trusts and MFF year'!$C$1:$C$24,'Merged Trusts and MFF year'!$A$1:$A$24,$B84,'Merged Trusts and MFF year'!$D$1:$D$24,"2015-16"))</f>
        <v>1.0502475888313003</v>
      </c>
      <c r="R84" s="504">
        <f t="shared" ca="1" si="19"/>
        <v>0</v>
      </c>
      <c r="S84" s="498">
        <f ca="1">IF(SUMIFS('Merged Trusts and MFF year'!$C$1:$C$24,'Merged Trusts and MFF year'!$A$1:$A$24,$B84,'Merged Trusts and MFF year'!$D$1:$D$24,"2016-17")=0,Q84,SUMIFS('Merged Trusts and MFF year'!$C$1:$C$24,'Merged Trusts and MFF year'!$A$1:$A$24,$B84,'Merged Trusts and MFF year'!$D$1:$D$24,"2016-17"))</f>
        <v>1.0502475888313003</v>
      </c>
      <c r="T84" s="504">
        <f t="shared" ca="1" si="20"/>
        <v>0</v>
      </c>
      <c r="U84" s="459"/>
    </row>
    <row r="85" spans="1:21" ht="56.25" x14ac:dyDescent="0.2">
      <c r="A85" s="171" t="s">
        <v>1167</v>
      </c>
      <c r="B85" s="172" t="s">
        <v>2381</v>
      </c>
      <c r="C85" s="172" t="s">
        <v>2382</v>
      </c>
      <c r="D85" s="175">
        <f>INDEX('Base MFF calcs'!$I$7:$I$258,MATCH($B85,'Base MFF calcs'!$B$7:$B$258,0),1)</f>
        <v>1.1829428880537569</v>
      </c>
      <c r="E85" s="176">
        <f ca="1">D85/MIN('Base MFF calcs'!$I$7:$I$258)</f>
        <v>1.2770285971983037</v>
      </c>
      <c r="F85" s="176">
        <v>1.265395</v>
      </c>
      <c r="G85" s="511">
        <f t="shared" ca="1" si="21"/>
        <v>9.1936487802652955E-3</v>
      </c>
      <c r="H85" s="174">
        <f t="shared" ca="1" si="22"/>
        <v>1.2770285971983037</v>
      </c>
      <c r="I85" s="501">
        <v>1.277029</v>
      </c>
      <c r="J85" s="177"/>
      <c r="K85" s="173">
        <f t="shared" ca="1" si="23"/>
        <v>1.2770285971983037</v>
      </c>
      <c r="L85" s="508">
        <f t="shared" ca="1" si="24"/>
        <v>0</v>
      </c>
      <c r="M85" s="174">
        <f t="shared" ca="1" si="25"/>
        <v>1.2770285971983037</v>
      </c>
      <c r="N85" s="174">
        <f ca="1">IF(SUMIFS('Merged Trusts and MFF year'!$C$1:$C$24,'Merged Trusts and MFF year'!$A$1:$A$24,$B85,'Merged Trusts and MFF year'!$D$1:$D$24,"2013-14")=0,M85,SUMIFS('Merged Trusts and MFF year'!$C$1:$C$24,'Merged Trusts and MFF year'!$A$1:$A$24,$B85,'Merged Trusts and MFF year'!$D$1:$D$24,"2013-14"))</f>
        <v>1.2770285971983037</v>
      </c>
      <c r="O85" s="498">
        <f ca="1">IF(SUMIFS('Merged Trusts and MFF year'!$C$1:$C$24,'Merged Trusts and MFF year'!$A$1:$A$24,$B85,'Merged Trusts and MFF year'!$D$1:$D$24,"2014-15")=0,N85,SUMIFS('Merged Trusts and MFF year'!$C$1:$C$24,'Merged Trusts and MFF year'!$A$1:$A$24,$B85,'Merged Trusts and MFF year'!$D$1:$D$24,"2014-15"))</f>
        <v>1.2770285971983037</v>
      </c>
      <c r="P85" s="504">
        <f t="shared" ca="1" si="18"/>
        <v>0</v>
      </c>
      <c r="Q85" s="498">
        <f ca="1">IF(SUMIFS('Merged Trusts and MFF year'!$C$1:$C$24,'Merged Trusts and MFF year'!$A$1:$A$24,$B85,'Merged Trusts and MFF year'!$D$1:$D$24,"2015-16")=0,O85,SUMIFS('Merged Trusts and MFF year'!$C$1:$C$24,'Merged Trusts and MFF year'!$A$1:$A$24,$B85,'Merged Trusts and MFF year'!$D$1:$D$24,"2015-16"))</f>
        <v>1.2770285971983037</v>
      </c>
      <c r="R85" s="504">
        <f t="shared" ca="1" si="19"/>
        <v>0</v>
      </c>
      <c r="S85" s="498">
        <f ca="1">IF(SUMIFS('Merged Trusts and MFF year'!$C$1:$C$24,'Merged Trusts and MFF year'!$A$1:$A$24,$B85,'Merged Trusts and MFF year'!$D$1:$D$24,"2016-17")=0,Q85,SUMIFS('Merged Trusts and MFF year'!$C$1:$C$24,'Merged Trusts and MFF year'!$A$1:$A$24,$B85,'Merged Trusts and MFF year'!$D$1:$D$24,"2016-17"))</f>
        <v>1.2770285971983037</v>
      </c>
      <c r="T85" s="504">
        <f t="shared" ca="1" si="20"/>
        <v>0</v>
      </c>
      <c r="U85" s="459" t="s">
        <v>4177</v>
      </c>
    </row>
    <row r="86" spans="1:21" ht="12.75" customHeight="1" x14ac:dyDescent="0.2">
      <c r="A86" s="171" t="s">
        <v>191</v>
      </c>
      <c r="B86" s="172" t="s">
        <v>2383</v>
      </c>
      <c r="C86" s="172" t="s">
        <v>2384</v>
      </c>
      <c r="D86" s="175">
        <f>INDEX('Base MFF calcs'!$I$7:$I$258,MATCH($B86,'Base MFF calcs'!$B$7:$B$258,0),1)</f>
        <v>1.027855213643623</v>
      </c>
      <c r="E86" s="176">
        <f ca="1">D86/MIN('Base MFF calcs'!$I$7:$I$258)</f>
        <v>1.1096059791710162</v>
      </c>
      <c r="F86" s="176" t="s">
        <v>636</v>
      </c>
      <c r="G86" s="511" t="e">
        <f t="shared" ca="1" si="21"/>
        <v>#VALUE!</v>
      </c>
      <c r="H86" s="174">
        <f t="shared" ca="1" si="22"/>
        <v>1.1096059791710162</v>
      </c>
      <c r="I86" s="501">
        <v>1.1096059999999999</v>
      </c>
      <c r="J86" s="177"/>
      <c r="K86" s="173">
        <f t="shared" ca="1" si="23"/>
        <v>1.1096059791710162</v>
      </c>
      <c r="L86" s="508">
        <f t="shared" ca="1" si="24"/>
        <v>0</v>
      </c>
      <c r="M86" s="174">
        <f t="shared" ca="1" si="25"/>
        <v>1.1096059791710162</v>
      </c>
      <c r="N86" s="174">
        <f ca="1">IF(SUMIFS('Merged Trusts and MFF year'!$C$1:$C$24,'Merged Trusts and MFF year'!$A$1:$A$24,$B86,'Merged Trusts and MFF year'!$D$1:$D$24,"2013-14")=0,M86,SUMIFS('Merged Trusts and MFF year'!$C$1:$C$24,'Merged Trusts and MFF year'!$A$1:$A$24,$B86,'Merged Trusts and MFF year'!$D$1:$D$24,"2013-14"))</f>
        <v>1.1096059791710162</v>
      </c>
      <c r="O86" s="498">
        <f ca="1">IF(SUMIFS('Merged Trusts and MFF year'!$C$1:$C$24,'Merged Trusts and MFF year'!$A$1:$A$24,$B86,'Merged Trusts and MFF year'!$D$1:$D$24,"2014-15")=0,N86,SUMIFS('Merged Trusts and MFF year'!$C$1:$C$24,'Merged Trusts and MFF year'!$A$1:$A$24,$B86,'Merged Trusts and MFF year'!$D$1:$D$24,"2014-15"))</f>
        <v>1.1096059791710162</v>
      </c>
      <c r="P86" s="504">
        <f t="shared" ca="1" si="18"/>
        <v>0</v>
      </c>
      <c r="Q86" s="498">
        <f ca="1">IF(SUMIFS('Merged Trusts and MFF year'!$C$1:$C$24,'Merged Trusts and MFF year'!$A$1:$A$24,$B86,'Merged Trusts and MFF year'!$D$1:$D$24,"2015-16")=0,O86,SUMIFS('Merged Trusts and MFF year'!$C$1:$C$24,'Merged Trusts and MFF year'!$A$1:$A$24,$B86,'Merged Trusts and MFF year'!$D$1:$D$24,"2015-16"))</f>
        <v>1.1096059791710162</v>
      </c>
      <c r="R86" s="504">
        <f t="shared" ca="1" si="19"/>
        <v>0</v>
      </c>
      <c r="S86" s="498">
        <f ca="1">IF(SUMIFS('Merged Trusts and MFF year'!$C$1:$C$24,'Merged Trusts and MFF year'!$A$1:$A$24,$B86,'Merged Trusts and MFF year'!$D$1:$D$24,"2016-17")=0,Q86,SUMIFS('Merged Trusts and MFF year'!$C$1:$C$24,'Merged Trusts and MFF year'!$A$1:$A$24,$B86,'Merged Trusts and MFF year'!$D$1:$D$24,"2016-17"))</f>
        <v>1.1096059791710162</v>
      </c>
      <c r="T86" s="504">
        <f t="shared" ca="1" si="20"/>
        <v>0</v>
      </c>
      <c r="U86" s="459"/>
    </row>
    <row r="87" spans="1:21" ht="12.75" customHeight="1" x14ac:dyDescent="0.2">
      <c r="A87" s="171" t="s">
        <v>3034</v>
      </c>
      <c r="B87" s="172" t="s">
        <v>2387</v>
      </c>
      <c r="C87" s="172" t="s">
        <v>2388</v>
      </c>
      <c r="D87" s="175">
        <f>INDEX('Base MFF calcs'!$I$7:$I$258,MATCH($B87,'Base MFF calcs'!$B$7:$B$258,0),1)</f>
        <v>0.96276586417278232</v>
      </c>
      <c r="E87" s="176">
        <f ca="1">D87/MIN('Base MFF calcs'!$I$7:$I$258)</f>
        <v>1.0393397292220834</v>
      </c>
      <c r="F87" s="176">
        <v>1.0393399999999999</v>
      </c>
      <c r="G87" s="511">
        <f t="shared" ca="1" si="21"/>
        <v>-2.6052871682225032E-7</v>
      </c>
      <c r="H87" s="174">
        <f t="shared" ca="1" si="22"/>
        <v>1.0393397292220834</v>
      </c>
      <c r="I87" s="501">
        <v>1.0393399999999999</v>
      </c>
      <c r="J87" s="177"/>
      <c r="K87" s="173">
        <f t="shared" ca="1" si="23"/>
        <v>1.0393397292220834</v>
      </c>
      <c r="L87" s="508">
        <f t="shared" ca="1" si="24"/>
        <v>0</v>
      </c>
      <c r="M87" s="174">
        <f t="shared" ca="1" si="25"/>
        <v>1.0393397292220834</v>
      </c>
      <c r="N87" s="174">
        <f ca="1">IF(SUMIFS('Merged Trusts and MFF year'!$C$1:$C$24,'Merged Trusts and MFF year'!$A$1:$A$24,$B87,'Merged Trusts and MFF year'!$D$1:$D$24,"2013-14")=0,M87,SUMIFS('Merged Trusts and MFF year'!$C$1:$C$24,'Merged Trusts and MFF year'!$A$1:$A$24,$B87,'Merged Trusts and MFF year'!$D$1:$D$24,"2013-14"))</f>
        <v>1.0393397292220834</v>
      </c>
      <c r="O87" s="498">
        <f ca="1">IF(SUMIFS('Merged Trusts and MFF year'!$C$1:$C$24,'Merged Trusts and MFF year'!$A$1:$A$24,$B87,'Merged Trusts and MFF year'!$D$1:$D$24,"2014-15")=0,N87,SUMIFS('Merged Trusts and MFF year'!$C$1:$C$24,'Merged Trusts and MFF year'!$A$1:$A$24,$B87,'Merged Trusts and MFF year'!$D$1:$D$24,"2014-15"))</f>
        <v>1.0393397292220834</v>
      </c>
      <c r="P87" s="504">
        <f t="shared" ca="1" si="18"/>
        <v>0</v>
      </c>
      <c r="Q87" s="498">
        <f ca="1">IF(SUMIFS('Merged Trusts and MFF year'!$C$1:$C$24,'Merged Trusts and MFF year'!$A$1:$A$24,$B87,'Merged Trusts and MFF year'!$D$1:$D$24,"2015-16")=0,O87,SUMIFS('Merged Trusts and MFF year'!$C$1:$C$24,'Merged Trusts and MFF year'!$A$1:$A$24,$B87,'Merged Trusts and MFF year'!$D$1:$D$24,"2015-16"))</f>
        <v>1.0393397292220834</v>
      </c>
      <c r="R87" s="504">
        <f t="shared" ca="1" si="19"/>
        <v>0</v>
      </c>
      <c r="S87" s="498">
        <f ca="1">IF(SUMIFS('Merged Trusts and MFF year'!$C$1:$C$24,'Merged Trusts and MFF year'!$A$1:$A$24,$B87,'Merged Trusts and MFF year'!$D$1:$D$24,"2016-17")=0,Q87,SUMIFS('Merged Trusts and MFF year'!$C$1:$C$24,'Merged Trusts and MFF year'!$A$1:$A$24,$B87,'Merged Trusts and MFF year'!$D$1:$D$24,"2016-17"))</f>
        <v>1.0393397292220834</v>
      </c>
      <c r="T87" s="504">
        <f t="shared" ca="1" si="20"/>
        <v>0</v>
      </c>
      <c r="U87" s="459"/>
    </row>
    <row r="88" spans="1:21" ht="12.75" customHeight="1" x14ac:dyDescent="0.2">
      <c r="A88" s="171" t="s">
        <v>2133</v>
      </c>
      <c r="B88" s="172" t="s">
        <v>2389</v>
      </c>
      <c r="C88" s="172" t="s">
        <v>2390</v>
      </c>
      <c r="D88" s="175">
        <f>INDEX('Base MFF calcs'!$I$7:$I$258,MATCH($B88,'Base MFF calcs'!$B$7:$B$258,0),1)</f>
        <v>0.97175590859702088</v>
      </c>
      <c r="E88" s="176">
        <f ca="1">D88/MIN('Base MFF calcs'!$I$7:$I$258)</f>
        <v>1.0490447994632377</v>
      </c>
      <c r="F88" s="176">
        <v>1.049045</v>
      </c>
      <c r="G88" s="511">
        <f t="shared" ca="1" si="21"/>
        <v>-1.9116125837825848E-7</v>
      </c>
      <c r="H88" s="174">
        <f t="shared" ca="1" si="22"/>
        <v>1.0490447994632377</v>
      </c>
      <c r="I88" s="501">
        <v>1.049045</v>
      </c>
      <c r="J88" s="177"/>
      <c r="K88" s="173">
        <f t="shared" ca="1" si="23"/>
        <v>1.0490447994632377</v>
      </c>
      <c r="L88" s="508">
        <f t="shared" ca="1" si="24"/>
        <v>0</v>
      </c>
      <c r="M88" s="174">
        <f t="shared" ca="1" si="25"/>
        <v>1.0490447994632377</v>
      </c>
      <c r="N88" s="174">
        <f ca="1">IF(SUMIFS('Merged Trusts and MFF year'!$C$1:$C$24,'Merged Trusts and MFF year'!$A$1:$A$24,$B88,'Merged Trusts and MFF year'!$D$1:$D$24,"2013-14")=0,M88,SUMIFS('Merged Trusts and MFF year'!$C$1:$C$24,'Merged Trusts and MFF year'!$A$1:$A$24,$B88,'Merged Trusts and MFF year'!$D$1:$D$24,"2013-14"))</f>
        <v>1.0490447994632377</v>
      </c>
      <c r="O88" s="498">
        <f ca="1">IF(SUMIFS('Merged Trusts and MFF year'!$C$1:$C$24,'Merged Trusts and MFF year'!$A$1:$A$24,$B88,'Merged Trusts and MFF year'!$D$1:$D$24,"2014-15")=0,N88,SUMIFS('Merged Trusts and MFF year'!$C$1:$C$24,'Merged Trusts and MFF year'!$A$1:$A$24,$B88,'Merged Trusts and MFF year'!$D$1:$D$24,"2014-15"))</f>
        <v>1.0490447994632377</v>
      </c>
      <c r="P88" s="504">
        <f t="shared" ca="1" si="18"/>
        <v>0</v>
      </c>
      <c r="Q88" s="498">
        <f ca="1">IF(SUMIFS('Merged Trusts and MFF year'!$C$1:$C$24,'Merged Trusts and MFF year'!$A$1:$A$24,$B88,'Merged Trusts and MFF year'!$D$1:$D$24,"2015-16")=0,O88,SUMIFS('Merged Trusts and MFF year'!$C$1:$C$24,'Merged Trusts and MFF year'!$A$1:$A$24,$B88,'Merged Trusts and MFF year'!$D$1:$D$24,"2015-16"))</f>
        <v>1.0490447994632377</v>
      </c>
      <c r="R88" s="504">
        <f t="shared" ca="1" si="19"/>
        <v>0</v>
      </c>
      <c r="S88" s="498">
        <f ca="1">IF(SUMIFS('Merged Trusts and MFF year'!$C$1:$C$24,'Merged Trusts and MFF year'!$A$1:$A$24,$B88,'Merged Trusts and MFF year'!$D$1:$D$24,"2016-17")=0,Q88,SUMIFS('Merged Trusts and MFF year'!$C$1:$C$24,'Merged Trusts and MFF year'!$A$1:$A$24,$B88,'Merged Trusts and MFF year'!$D$1:$D$24,"2016-17"))</f>
        <v>1.0490447994632377</v>
      </c>
      <c r="T88" s="504">
        <f t="shared" ca="1" si="20"/>
        <v>0</v>
      </c>
      <c r="U88" s="459"/>
    </row>
    <row r="89" spans="1:21" ht="12.75" customHeight="1" x14ac:dyDescent="0.2">
      <c r="A89" s="171" t="s">
        <v>191</v>
      </c>
      <c r="B89" s="172" t="s">
        <v>2391</v>
      </c>
      <c r="C89" s="172" t="s">
        <v>2392</v>
      </c>
      <c r="D89" s="175">
        <f>INDEX('Base MFF calcs'!$I$7:$I$258,MATCH($B89,'Base MFF calcs'!$B$7:$B$258,0),1)</f>
        <v>1.0825651269402883</v>
      </c>
      <c r="E89" s="176">
        <f ca="1">D89/MIN('Base MFF calcs'!$I$7:$I$258)</f>
        <v>1.1686672614490043</v>
      </c>
      <c r="F89" s="176">
        <v>1.1686669999999999</v>
      </c>
      <c r="G89" s="511">
        <f t="shared" ca="1" si="21"/>
        <v>2.2371557029110534E-7</v>
      </c>
      <c r="H89" s="174">
        <f t="shared" ca="1" si="22"/>
        <v>1.1686672614490043</v>
      </c>
      <c r="I89" s="501">
        <v>1.1686669999999999</v>
      </c>
      <c r="J89" s="177"/>
      <c r="K89" s="173">
        <f t="shared" ca="1" si="23"/>
        <v>1.1686672614490043</v>
      </c>
      <c r="L89" s="508">
        <f t="shared" ca="1" si="24"/>
        <v>0</v>
      </c>
      <c r="M89" s="174">
        <f t="shared" ca="1" si="25"/>
        <v>1.1686672614490043</v>
      </c>
      <c r="N89" s="174">
        <f ca="1">IF(SUMIFS('Merged Trusts and MFF year'!$C$1:$C$24,'Merged Trusts and MFF year'!$A$1:$A$24,$B89,'Merged Trusts and MFF year'!$D$1:$D$24,"2013-14")=0,M89,SUMIFS('Merged Trusts and MFF year'!$C$1:$C$24,'Merged Trusts and MFF year'!$A$1:$A$24,$B89,'Merged Trusts and MFF year'!$D$1:$D$24,"2013-14"))</f>
        <v>1.1686672614490043</v>
      </c>
      <c r="O89" s="498">
        <f ca="1">IF(SUMIFS('Merged Trusts and MFF year'!$C$1:$C$24,'Merged Trusts and MFF year'!$A$1:$A$24,$B89,'Merged Trusts and MFF year'!$D$1:$D$24,"2014-15")=0,N89,SUMIFS('Merged Trusts and MFF year'!$C$1:$C$24,'Merged Trusts and MFF year'!$A$1:$A$24,$B89,'Merged Trusts and MFF year'!$D$1:$D$24,"2014-15"))</f>
        <v>1.1686672614490043</v>
      </c>
      <c r="P89" s="504">
        <f t="shared" ca="1" si="18"/>
        <v>0</v>
      </c>
      <c r="Q89" s="498">
        <f ca="1">IF(SUMIFS('Merged Trusts and MFF year'!$C$1:$C$24,'Merged Trusts and MFF year'!$A$1:$A$24,$B89,'Merged Trusts and MFF year'!$D$1:$D$24,"2015-16")=0,O89,SUMIFS('Merged Trusts and MFF year'!$C$1:$C$24,'Merged Trusts and MFF year'!$A$1:$A$24,$B89,'Merged Trusts and MFF year'!$D$1:$D$24,"2015-16"))</f>
        <v>1.1686672614490043</v>
      </c>
      <c r="R89" s="504">
        <f t="shared" ca="1" si="19"/>
        <v>0</v>
      </c>
      <c r="S89" s="498">
        <f ca="1">IF(SUMIFS('Merged Trusts and MFF year'!$C$1:$C$24,'Merged Trusts and MFF year'!$A$1:$A$24,$B89,'Merged Trusts and MFF year'!$D$1:$D$24,"2016-17")=0,Q89,SUMIFS('Merged Trusts and MFF year'!$C$1:$C$24,'Merged Trusts and MFF year'!$A$1:$A$24,$B89,'Merged Trusts and MFF year'!$D$1:$D$24,"2016-17"))</f>
        <v>1.1686672614490043</v>
      </c>
      <c r="T89" s="504">
        <f t="shared" ca="1" si="20"/>
        <v>0</v>
      </c>
      <c r="U89" s="459" t="s">
        <v>4221</v>
      </c>
    </row>
    <row r="90" spans="1:21" ht="12.75" customHeight="1" x14ac:dyDescent="0.2">
      <c r="A90" s="468" t="s">
        <v>1127</v>
      </c>
      <c r="B90" s="467" t="s">
        <v>1318</v>
      </c>
      <c r="C90" s="468" t="s">
        <v>1319</v>
      </c>
      <c r="D90" s="469">
        <f>INDEX('Base MFF calcs'!$I$7:$I$258,MATCH($B90,'Base MFF calcs'!$B$7:$B$258,0),1)</f>
        <v>1.0513051997920342</v>
      </c>
      <c r="E90" s="469">
        <f ca="1">D90/MIN('Base MFF calcs'!$I$7:$I$258)</f>
        <v>1.1349210668374161</v>
      </c>
      <c r="F90" s="469"/>
      <c r="G90" s="512">
        <f t="shared" si="21"/>
        <v>0</v>
      </c>
      <c r="H90" s="469">
        <f t="shared" ca="1" si="22"/>
        <v>1.1349210668374161</v>
      </c>
      <c r="I90" s="502">
        <v>1.1349209999999998</v>
      </c>
      <c r="J90" s="470"/>
      <c r="K90" s="173">
        <f t="shared" ca="1" si="23"/>
        <v>1.1349210668374161</v>
      </c>
      <c r="L90" s="508">
        <f t="shared" ca="1" si="24"/>
        <v>0</v>
      </c>
      <c r="M90" s="174">
        <f t="shared" ca="1" si="25"/>
        <v>1.1349210668374161</v>
      </c>
      <c r="N90" s="174">
        <f ca="1">IF(SUMIFS('Merged Trusts and MFF year'!$C$1:$C$24,'Merged Trusts and MFF year'!$A$1:$A$24,$B90,'Merged Trusts and MFF year'!$D$1:$D$24,"2013-14")=0,M90,SUMIFS('Merged Trusts and MFF year'!$C$1:$C$24,'Merged Trusts and MFF year'!$A$1:$A$24,$B90,'Merged Trusts and MFF year'!$D$1:$D$24,"2013-14"))</f>
        <v>1.1349210668374161</v>
      </c>
      <c r="O90" s="498">
        <f ca="1">IF(SUMIFS('Merged Trusts and MFF year'!$C$1:$C$24,'Merged Trusts and MFF year'!$A$1:$A$24,$B90,'Merged Trusts and MFF year'!$D$1:$D$24,"2014-15")=0,N90,SUMIFS('Merged Trusts and MFF year'!$C$1:$C$24,'Merged Trusts and MFF year'!$A$1:$A$24,$B90,'Merged Trusts and MFF year'!$D$1:$D$24,"2014-15"))</f>
        <v>1.1349210668374161</v>
      </c>
      <c r="P90" s="504">
        <f t="shared" ca="1" si="18"/>
        <v>0</v>
      </c>
      <c r="Q90" s="498">
        <f ca="1">IF(SUMIFS('Merged Trusts and MFF year'!$C$1:$C$24,'Merged Trusts and MFF year'!$A$1:$A$24,$B90,'Merged Trusts and MFF year'!$D$1:$D$24,"2015-16")=0,O90,SUMIFS('Merged Trusts and MFF year'!$C$1:$C$24,'Merged Trusts and MFF year'!$A$1:$A$24,$B90,'Merged Trusts and MFF year'!$D$1:$D$24,"2015-16"))</f>
        <v>1.1349210668374161</v>
      </c>
      <c r="R90" s="504">
        <f t="shared" ca="1" si="19"/>
        <v>0</v>
      </c>
      <c r="S90" s="498">
        <f ca="1">IF(SUMIFS('Merged Trusts and MFF year'!$C$1:$C$24,'Merged Trusts and MFF year'!$A$1:$A$24,$B90,'Merged Trusts and MFF year'!$D$1:$D$24,"2016-17")=0,Q90,SUMIFS('Merged Trusts and MFF year'!$C$1:$C$24,'Merged Trusts and MFF year'!$A$1:$A$24,$B90,'Merged Trusts and MFF year'!$D$1:$D$24,"2016-17"))</f>
        <v>1.1349210668374161</v>
      </c>
      <c r="T90" s="504">
        <f t="shared" ca="1" si="20"/>
        <v>0</v>
      </c>
      <c r="U90" s="472"/>
    </row>
    <row r="91" spans="1:21" ht="12.75" customHeight="1" x14ac:dyDescent="0.2">
      <c r="A91" s="171" t="s">
        <v>1127</v>
      </c>
      <c r="B91" s="172" t="s">
        <v>1320</v>
      </c>
      <c r="C91" s="172" t="s">
        <v>1321</v>
      </c>
      <c r="D91" s="175">
        <f>INDEX('Base MFF calcs'!$I$7:$I$258,MATCH($B91,'Base MFF calcs'!$B$7:$B$258,0),1)</f>
        <v>1.0604359077978813</v>
      </c>
      <c r="E91" s="176">
        <f ca="1">D91/MIN('Base MFF calcs'!$I$7:$I$258)</f>
        <v>1.1447779883793499</v>
      </c>
      <c r="F91" s="176">
        <v>1.1447780000000001</v>
      </c>
      <c r="G91" s="511">
        <f t="shared" ca="1" si="21"/>
        <v>-1.0151007590053496E-8</v>
      </c>
      <c r="H91" s="174">
        <f t="shared" ca="1" si="22"/>
        <v>1.1447779883793499</v>
      </c>
      <c r="I91" s="501">
        <v>1.1447779999999999</v>
      </c>
      <c r="J91" s="476"/>
      <c r="K91" s="173">
        <f t="shared" ca="1" si="23"/>
        <v>1.1447779883793499</v>
      </c>
      <c r="L91" s="508">
        <f t="shared" ca="1" si="24"/>
        <v>0</v>
      </c>
      <c r="M91" s="174">
        <f t="shared" ca="1" si="25"/>
        <v>1.1447779883793499</v>
      </c>
      <c r="N91" s="174">
        <f ca="1">IF(SUMIFS('Merged Trusts and MFF year'!$C$1:$C$24,'Merged Trusts and MFF year'!$A$1:$A$24,$B91,'Merged Trusts and MFF year'!$D$1:$D$24,"2013-14")=0,M91,SUMIFS('Merged Trusts and MFF year'!$C$1:$C$24,'Merged Trusts and MFF year'!$A$1:$A$24,$B91,'Merged Trusts and MFF year'!$D$1:$D$24,"2013-14"))</f>
        <v>1.1447779883793499</v>
      </c>
      <c r="O91" s="498">
        <f ca="1">IF(SUMIFS('Merged Trusts and MFF year'!$C$1:$C$24,'Merged Trusts and MFF year'!$A$1:$A$24,$B91,'Merged Trusts and MFF year'!$D$1:$D$24,"2014-15")=0,N91,SUMIFS('Merged Trusts and MFF year'!$C$1:$C$24,'Merged Trusts and MFF year'!$A$1:$A$24,$B91,'Merged Trusts and MFF year'!$D$1:$D$24,"2014-15"))</f>
        <v>1.1447779883793499</v>
      </c>
      <c r="P91" s="504">
        <f t="shared" ca="1" si="18"/>
        <v>0</v>
      </c>
      <c r="Q91" s="498">
        <f ca="1">IF(SUMIFS('Merged Trusts and MFF year'!$C$1:$C$24,'Merged Trusts and MFF year'!$A$1:$A$24,$B91,'Merged Trusts and MFF year'!$D$1:$D$24,"2015-16")=0,O91,SUMIFS('Merged Trusts and MFF year'!$C$1:$C$24,'Merged Trusts and MFF year'!$A$1:$A$24,$B91,'Merged Trusts and MFF year'!$D$1:$D$24,"2015-16"))</f>
        <v>1.1447779883793499</v>
      </c>
      <c r="R91" s="504">
        <f t="shared" ca="1" si="19"/>
        <v>0</v>
      </c>
      <c r="S91" s="498">
        <f ca="1">IF(SUMIFS('Merged Trusts and MFF year'!$C$1:$C$24,'Merged Trusts and MFF year'!$A$1:$A$24,$B91,'Merged Trusts and MFF year'!$D$1:$D$24,"2016-17")=0,Q91,SUMIFS('Merged Trusts and MFF year'!$C$1:$C$24,'Merged Trusts and MFF year'!$A$1:$A$24,$B91,'Merged Trusts and MFF year'!$D$1:$D$24,"2016-17"))</f>
        <v>1.1447779883793499</v>
      </c>
      <c r="T91" s="504">
        <f t="shared" ca="1" si="20"/>
        <v>0</v>
      </c>
      <c r="U91" s="477"/>
    </row>
    <row r="92" spans="1:21" ht="12.75" customHeight="1" x14ac:dyDescent="0.2">
      <c r="A92" s="171" t="s">
        <v>1127</v>
      </c>
      <c r="B92" s="172" t="s">
        <v>1322</v>
      </c>
      <c r="C92" s="172" t="s">
        <v>1323</v>
      </c>
      <c r="D92" s="175">
        <f>INDEX('Base MFF calcs'!$I$7:$I$258,MATCH($B92,'Base MFF calcs'!$B$7:$B$258,0),1)</f>
        <v>1.0001476852917615</v>
      </c>
      <c r="E92" s="176">
        <f ca="1">D92/MIN('Base MFF calcs'!$I$7:$I$258)</f>
        <v>1.0796947244347672</v>
      </c>
      <c r="F92" s="176">
        <v>1.0796950000000001</v>
      </c>
      <c r="G92" s="511">
        <f t="shared" ca="1" si="21"/>
        <v>-2.5522507085540269E-7</v>
      </c>
      <c r="H92" s="174">
        <f t="shared" ca="1" si="22"/>
        <v>1.0796947244347672</v>
      </c>
      <c r="I92" s="501">
        <v>1.0796949999999998</v>
      </c>
      <c r="J92" s="177"/>
      <c r="K92" s="173">
        <f t="shared" ca="1" si="23"/>
        <v>1.0796947244347672</v>
      </c>
      <c r="L92" s="508">
        <f t="shared" ca="1" si="24"/>
        <v>0</v>
      </c>
      <c r="M92" s="174">
        <f t="shared" ca="1" si="25"/>
        <v>1.0796947244347672</v>
      </c>
      <c r="N92" s="174">
        <f ca="1">IF(SUMIFS('Merged Trusts and MFF year'!$C$1:$C$24,'Merged Trusts and MFF year'!$A$1:$A$24,$B92,'Merged Trusts and MFF year'!$D$1:$D$24,"2013-14")=0,M92,SUMIFS('Merged Trusts and MFF year'!$C$1:$C$24,'Merged Trusts and MFF year'!$A$1:$A$24,$B92,'Merged Trusts and MFF year'!$D$1:$D$24,"2013-14"))</f>
        <v>1.0796947244347672</v>
      </c>
      <c r="O92" s="498">
        <f ca="1">IF(SUMIFS('Merged Trusts and MFF year'!$C$1:$C$24,'Merged Trusts and MFF year'!$A$1:$A$24,$B92,'Merged Trusts and MFF year'!$D$1:$D$24,"2014-15")=0,N92,SUMIFS('Merged Trusts and MFF year'!$C$1:$C$24,'Merged Trusts and MFF year'!$A$1:$A$24,$B92,'Merged Trusts and MFF year'!$D$1:$D$24,"2014-15"))</f>
        <v>1.0796947244347672</v>
      </c>
      <c r="P92" s="504">
        <f t="shared" ca="1" si="18"/>
        <v>0</v>
      </c>
      <c r="Q92" s="498">
        <f ca="1">IF(SUMIFS('Merged Trusts and MFF year'!$C$1:$C$24,'Merged Trusts and MFF year'!$A$1:$A$24,$B92,'Merged Trusts and MFF year'!$D$1:$D$24,"2015-16")=0,O92,SUMIFS('Merged Trusts and MFF year'!$C$1:$C$24,'Merged Trusts and MFF year'!$A$1:$A$24,$B92,'Merged Trusts and MFF year'!$D$1:$D$24,"2015-16"))</f>
        <v>1.0796947244347672</v>
      </c>
      <c r="R92" s="504">
        <f t="shared" ca="1" si="19"/>
        <v>0</v>
      </c>
      <c r="S92" s="498">
        <f ca="1">IF(SUMIFS('Merged Trusts and MFF year'!$C$1:$C$24,'Merged Trusts and MFF year'!$A$1:$A$24,$B92,'Merged Trusts and MFF year'!$D$1:$D$24,"2016-17")=0,Q92,SUMIFS('Merged Trusts and MFF year'!$C$1:$C$24,'Merged Trusts and MFF year'!$A$1:$A$24,$B92,'Merged Trusts and MFF year'!$D$1:$D$24,"2016-17"))</f>
        <v>1.0796947244347672</v>
      </c>
      <c r="T92" s="504">
        <f t="shared" ca="1" si="20"/>
        <v>0</v>
      </c>
      <c r="U92" s="459"/>
    </row>
    <row r="93" spans="1:21" ht="12.75" customHeight="1" x14ac:dyDescent="0.2">
      <c r="A93" s="171" t="s">
        <v>1167</v>
      </c>
      <c r="B93" s="172" t="s">
        <v>1324</v>
      </c>
      <c r="C93" s="172" t="s">
        <v>1325</v>
      </c>
      <c r="D93" s="175">
        <f>INDEX('Base MFF calcs'!$I$7:$I$258,MATCH($B93,'Base MFF calcs'!$B$7:$B$258,0),1)</f>
        <v>1.1163646267865877</v>
      </c>
      <c r="E93" s="176">
        <f ca="1">D93/MIN('Base MFF calcs'!$I$7:$I$258)</f>
        <v>1.2051550144171446</v>
      </c>
      <c r="F93" s="176">
        <v>1.205155</v>
      </c>
      <c r="G93" s="511">
        <f t="shared" ca="1" si="21"/>
        <v>1.196289645122306E-8</v>
      </c>
      <c r="H93" s="174">
        <f t="shared" ca="1" si="22"/>
        <v>1.2051550144171446</v>
      </c>
      <c r="I93" s="501">
        <v>1.205155</v>
      </c>
      <c r="J93" s="177"/>
      <c r="K93" s="173">
        <f t="shared" ca="1" si="23"/>
        <v>1.2051550144171446</v>
      </c>
      <c r="L93" s="508">
        <f t="shared" ca="1" si="24"/>
        <v>0</v>
      </c>
      <c r="M93" s="174">
        <f t="shared" ca="1" si="25"/>
        <v>1.2051550144171446</v>
      </c>
      <c r="N93" s="174">
        <f ca="1">IF(SUMIFS('Merged Trusts and MFF year'!$C$1:$C$24,'Merged Trusts and MFF year'!$A$1:$A$24,$B93,'Merged Trusts and MFF year'!$D$1:$D$24,"2013-14")=0,M93,SUMIFS('Merged Trusts and MFF year'!$C$1:$C$24,'Merged Trusts and MFF year'!$A$1:$A$24,$B93,'Merged Trusts and MFF year'!$D$1:$D$24,"2013-14"))</f>
        <v>1.2051550144171446</v>
      </c>
      <c r="O93" s="498">
        <f ca="1">IF(SUMIFS('Merged Trusts and MFF year'!$C$1:$C$24,'Merged Trusts and MFF year'!$A$1:$A$24,$B93,'Merged Trusts and MFF year'!$D$1:$D$24,"2014-15")=0,N93,SUMIFS('Merged Trusts and MFF year'!$C$1:$C$24,'Merged Trusts and MFF year'!$A$1:$A$24,$B93,'Merged Trusts and MFF year'!$D$1:$D$24,"2014-15"))</f>
        <v>1.2051550144171446</v>
      </c>
      <c r="P93" s="504">
        <f t="shared" ca="1" si="18"/>
        <v>0</v>
      </c>
      <c r="Q93" s="498">
        <f ca="1">IF(SUMIFS('Merged Trusts and MFF year'!$C$1:$C$24,'Merged Trusts and MFF year'!$A$1:$A$24,$B93,'Merged Trusts and MFF year'!$D$1:$D$24,"2015-16")=0,O93,SUMIFS('Merged Trusts and MFF year'!$C$1:$C$24,'Merged Trusts and MFF year'!$A$1:$A$24,$B93,'Merged Trusts and MFF year'!$D$1:$D$24,"2015-16"))</f>
        <v>1.2051550144171446</v>
      </c>
      <c r="R93" s="504">
        <f t="shared" ca="1" si="19"/>
        <v>0</v>
      </c>
      <c r="S93" s="498">
        <f ca="1">IF(SUMIFS('Merged Trusts and MFF year'!$C$1:$C$24,'Merged Trusts and MFF year'!$A$1:$A$24,$B93,'Merged Trusts and MFF year'!$D$1:$D$24,"2016-17")=0,Q93,SUMIFS('Merged Trusts and MFF year'!$C$1:$C$24,'Merged Trusts and MFF year'!$A$1:$A$24,$B93,'Merged Trusts and MFF year'!$D$1:$D$24,"2016-17"))</f>
        <v>1.2051550144171446</v>
      </c>
      <c r="T93" s="504">
        <f t="shared" ca="1" si="20"/>
        <v>0</v>
      </c>
      <c r="U93" s="459"/>
    </row>
    <row r="94" spans="1:21" ht="12.75" customHeight="1" x14ac:dyDescent="0.2">
      <c r="A94" s="468" t="s">
        <v>1167</v>
      </c>
      <c r="B94" s="468" t="s">
        <v>1326</v>
      </c>
      <c r="C94" s="482" t="s">
        <v>1327</v>
      </c>
      <c r="D94" s="469">
        <f>INDEX('Base MFF calcs'!$I$7:$I$258,MATCH($B94,'Base MFF calcs'!$B$7:$B$258,0),1)</f>
        <v>1.0924746333042517</v>
      </c>
      <c r="E94" s="469">
        <f ca="1">D94/MIN('Base MFF calcs'!$I$7:$I$258)</f>
        <v>1.179364923304616</v>
      </c>
      <c r="F94" s="469"/>
      <c r="G94" s="512">
        <f t="shared" si="21"/>
        <v>0</v>
      </c>
      <c r="H94" s="469">
        <f t="shared" ca="1" si="22"/>
        <v>1.179364923304616</v>
      </c>
      <c r="I94" s="502">
        <v>1.179365</v>
      </c>
      <c r="J94" s="470"/>
      <c r="K94" s="173">
        <f t="shared" ca="1" si="23"/>
        <v>1.179364923304616</v>
      </c>
      <c r="L94" s="508">
        <f t="shared" ca="1" si="24"/>
        <v>0</v>
      </c>
      <c r="M94" s="174">
        <f t="shared" ca="1" si="25"/>
        <v>1.179364923304616</v>
      </c>
      <c r="N94" s="174">
        <f ca="1">IF(SUMIFS('Merged Trusts and MFF year'!$C$1:$C$24,'Merged Trusts and MFF year'!$A$1:$A$24,$B94,'Merged Trusts and MFF year'!$D$1:$D$24,"2013-14")=0,M94,SUMIFS('Merged Trusts and MFF year'!$C$1:$C$24,'Merged Trusts and MFF year'!$A$1:$A$24,$B94,'Merged Trusts and MFF year'!$D$1:$D$24,"2013-14"))</f>
        <v>1.179364923304616</v>
      </c>
      <c r="O94" s="498">
        <f ca="1">IF(SUMIFS('Merged Trusts and MFF year'!$C$1:$C$24,'Merged Trusts and MFF year'!$A$1:$A$24,$B94,'Merged Trusts and MFF year'!$D$1:$D$24,"2014-15")=0,N94,SUMIFS('Merged Trusts and MFF year'!$C$1:$C$24,'Merged Trusts and MFF year'!$A$1:$A$24,$B94,'Merged Trusts and MFF year'!$D$1:$D$24,"2014-15"))</f>
        <v>1.179364923304616</v>
      </c>
      <c r="P94" s="504">
        <f t="shared" ca="1" si="18"/>
        <v>0</v>
      </c>
      <c r="Q94" s="498">
        <f ca="1">IF(SUMIFS('Merged Trusts and MFF year'!$C$1:$C$24,'Merged Trusts and MFF year'!$A$1:$A$24,$B94,'Merged Trusts and MFF year'!$D$1:$D$24,"2015-16")=0,O94,SUMIFS('Merged Trusts and MFF year'!$C$1:$C$24,'Merged Trusts and MFF year'!$A$1:$A$24,$B94,'Merged Trusts and MFF year'!$D$1:$D$24,"2015-16"))</f>
        <v>1.179364923304616</v>
      </c>
      <c r="R94" s="504">
        <f t="shared" ca="1" si="19"/>
        <v>0</v>
      </c>
      <c r="S94" s="498">
        <f ca="1">IF(SUMIFS('Merged Trusts and MFF year'!$C$1:$C$24,'Merged Trusts and MFF year'!$A$1:$A$24,$B94,'Merged Trusts and MFF year'!$D$1:$D$24,"2016-17")=0,Q94,SUMIFS('Merged Trusts and MFF year'!$C$1:$C$24,'Merged Trusts and MFF year'!$A$1:$A$24,$B94,'Merged Trusts and MFF year'!$D$1:$D$24,"2016-17"))</f>
        <v>1.179364923304616</v>
      </c>
      <c r="T94" s="504">
        <f t="shared" ca="1" si="20"/>
        <v>0</v>
      </c>
      <c r="U94" s="472"/>
    </row>
    <row r="95" spans="1:21" ht="12.75" customHeight="1" x14ac:dyDescent="0.2">
      <c r="A95" s="171" t="s">
        <v>3034</v>
      </c>
      <c r="B95" s="172" t="s">
        <v>1328</v>
      </c>
      <c r="C95" s="172" t="s">
        <v>1329</v>
      </c>
      <c r="D95" s="175">
        <f>INDEX('Base MFF calcs'!$I$7:$I$258,MATCH($B95,'Base MFF calcs'!$B$7:$B$258,0),1)</f>
        <v>0.94070298719475498</v>
      </c>
      <c r="E95" s="176">
        <f ca="1">D95/MIN('Base MFF calcs'!$I$7:$I$258)</f>
        <v>1.0155220748602873</v>
      </c>
      <c r="F95" s="176">
        <v>1.015522</v>
      </c>
      <c r="G95" s="511">
        <f t="shared" ca="1" si="21"/>
        <v>7.371606658423957E-8</v>
      </c>
      <c r="H95" s="174">
        <f t="shared" ca="1" si="22"/>
        <v>1.0155220748602873</v>
      </c>
      <c r="I95" s="501">
        <v>1.015522</v>
      </c>
      <c r="J95" s="177"/>
      <c r="K95" s="173">
        <f t="shared" ca="1" si="23"/>
        <v>1.0155220748602873</v>
      </c>
      <c r="L95" s="508">
        <f t="shared" ca="1" si="24"/>
        <v>0</v>
      </c>
      <c r="M95" s="174">
        <f t="shared" ca="1" si="25"/>
        <v>1.0155220748602873</v>
      </c>
      <c r="N95" s="174">
        <f ca="1">IF(SUMIFS('Merged Trusts and MFF year'!$C$1:$C$24,'Merged Trusts and MFF year'!$A$1:$A$24,$B95,'Merged Trusts and MFF year'!$D$1:$D$24,"2013-14")=0,M95,SUMIFS('Merged Trusts and MFF year'!$C$1:$C$24,'Merged Trusts and MFF year'!$A$1:$A$24,$B95,'Merged Trusts and MFF year'!$D$1:$D$24,"2013-14"))</f>
        <v>1.0155220748602873</v>
      </c>
      <c r="O95" s="498">
        <f ca="1">IF(SUMIFS('Merged Trusts and MFF year'!$C$1:$C$24,'Merged Trusts and MFF year'!$A$1:$A$24,$B95,'Merged Trusts and MFF year'!$D$1:$D$24,"2014-15")=0,N95,SUMIFS('Merged Trusts and MFF year'!$C$1:$C$24,'Merged Trusts and MFF year'!$A$1:$A$24,$B95,'Merged Trusts and MFF year'!$D$1:$D$24,"2014-15"))</f>
        <v>1.0155220748602873</v>
      </c>
      <c r="P95" s="504">
        <f t="shared" ca="1" si="18"/>
        <v>0</v>
      </c>
      <c r="Q95" s="498">
        <f ca="1">IF(SUMIFS('Merged Trusts and MFF year'!$C$1:$C$24,'Merged Trusts and MFF year'!$A$1:$A$24,$B95,'Merged Trusts and MFF year'!$D$1:$D$24,"2015-16")=0,O95,SUMIFS('Merged Trusts and MFF year'!$C$1:$C$24,'Merged Trusts and MFF year'!$A$1:$A$24,$B95,'Merged Trusts and MFF year'!$D$1:$D$24,"2015-16"))</f>
        <v>1.0155220748602873</v>
      </c>
      <c r="R95" s="504">
        <f t="shared" ca="1" si="19"/>
        <v>0</v>
      </c>
      <c r="S95" s="498">
        <f ca="1">IF(SUMIFS('Merged Trusts and MFF year'!$C$1:$C$24,'Merged Trusts and MFF year'!$A$1:$A$24,$B95,'Merged Trusts and MFF year'!$D$1:$D$24,"2016-17")=0,Q95,SUMIFS('Merged Trusts and MFF year'!$C$1:$C$24,'Merged Trusts and MFF year'!$A$1:$A$24,$B95,'Merged Trusts and MFF year'!$D$1:$D$24,"2016-17"))</f>
        <v>1.0155220748602873</v>
      </c>
      <c r="T95" s="504">
        <f t="shared" ca="1" si="20"/>
        <v>0</v>
      </c>
      <c r="U95" s="459"/>
    </row>
    <row r="96" spans="1:21" ht="12.75" customHeight="1" x14ac:dyDescent="0.2">
      <c r="A96" s="171" t="s">
        <v>3034</v>
      </c>
      <c r="B96" s="172" t="s">
        <v>1330</v>
      </c>
      <c r="C96" s="172" t="s">
        <v>1331</v>
      </c>
      <c r="D96" s="175">
        <f>INDEX('Base MFF calcs'!$I$7:$I$258,MATCH($B96,'Base MFF calcs'!$B$7:$B$258,0),1)</f>
        <v>0.94367677505614767</v>
      </c>
      <c r="E96" s="176">
        <f ca="1">D96/MIN('Base MFF calcs'!$I$7:$I$258)</f>
        <v>1.0187323838104074</v>
      </c>
      <c r="F96" s="176">
        <v>1.018732</v>
      </c>
      <c r="G96" s="511">
        <f t="shared" ca="1" si="21"/>
        <v>3.7675306896467475E-7</v>
      </c>
      <c r="H96" s="174">
        <f t="shared" ca="1" si="22"/>
        <v>1.0187323838104074</v>
      </c>
      <c r="I96" s="501">
        <v>1.018732</v>
      </c>
      <c r="J96" s="177"/>
      <c r="K96" s="173">
        <f t="shared" ca="1" si="23"/>
        <v>1.0187323838104074</v>
      </c>
      <c r="L96" s="508">
        <f t="shared" ca="1" si="24"/>
        <v>0</v>
      </c>
      <c r="M96" s="174">
        <f t="shared" ca="1" si="25"/>
        <v>1.0187323838104074</v>
      </c>
      <c r="N96" s="174">
        <f ca="1">IF(SUMIFS('Merged Trusts and MFF year'!$C$1:$C$24,'Merged Trusts and MFF year'!$A$1:$A$24,$B96,'Merged Trusts and MFF year'!$D$1:$D$24,"2013-14")=0,M96,SUMIFS('Merged Trusts and MFF year'!$C$1:$C$24,'Merged Trusts and MFF year'!$A$1:$A$24,$B96,'Merged Trusts and MFF year'!$D$1:$D$24,"2013-14"))</f>
        <v>1.0187323838104074</v>
      </c>
      <c r="O96" s="498">
        <f ca="1">IF(SUMIFS('Merged Trusts and MFF year'!$C$1:$C$24,'Merged Trusts and MFF year'!$A$1:$A$24,$B96,'Merged Trusts and MFF year'!$D$1:$D$24,"2014-15")=0,N96,SUMIFS('Merged Trusts and MFF year'!$C$1:$C$24,'Merged Trusts and MFF year'!$A$1:$A$24,$B96,'Merged Trusts and MFF year'!$D$1:$D$24,"2014-15"))</f>
        <v>1.0187323838104074</v>
      </c>
      <c r="P96" s="504">
        <f t="shared" ca="1" si="18"/>
        <v>0</v>
      </c>
      <c r="Q96" s="498">
        <f ca="1">IF(SUMIFS('Merged Trusts and MFF year'!$C$1:$C$24,'Merged Trusts and MFF year'!$A$1:$A$24,$B96,'Merged Trusts and MFF year'!$D$1:$D$24,"2015-16")=0,O96,SUMIFS('Merged Trusts and MFF year'!$C$1:$C$24,'Merged Trusts and MFF year'!$A$1:$A$24,$B96,'Merged Trusts and MFF year'!$D$1:$D$24,"2015-16"))</f>
        <v>1.0187323838104074</v>
      </c>
      <c r="R96" s="504">
        <f t="shared" ca="1" si="19"/>
        <v>0</v>
      </c>
      <c r="S96" s="498">
        <f ca="1">IF(SUMIFS('Merged Trusts and MFF year'!$C$1:$C$24,'Merged Trusts and MFF year'!$A$1:$A$24,$B96,'Merged Trusts and MFF year'!$D$1:$D$24,"2016-17")=0,Q96,SUMIFS('Merged Trusts and MFF year'!$C$1:$C$24,'Merged Trusts and MFF year'!$A$1:$A$24,$B96,'Merged Trusts and MFF year'!$D$1:$D$24,"2016-17"))</f>
        <v>1.0187323838104074</v>
      </c>
      <c r="T96" s="504">
        <f t="shared" ca="1" si="20"/>
        <v>0</v>
      </c>
      <c r="U96" s="459"/>
    </row>
    <row r="97" spans="1:21" ht="12.75" customHeight="1" x14ac:dyDescent="0.2">
      <c r="A97" s="171" t="s">
        <v>1167</v>
      </c>
      <c r="B97" s="172" t="s">
        <v>1332</v>
      </c>
      <c r="C97" s="172" t="s">
        <v>1333</v>
      </c>
      <c r="D97" s="175">
        <f>INDEX('Base MFF calcs'!$I$7:$I$258,MATCH($B97,'Base MFF calcs'!$B$7:$B$258,0),1)</f>
        <v>1.1502404486253979</v>
      </c>
      <c r="E97" s="176">
        <f ca="1">D97/MIN('Base MFF calcs'!$I$7:$I$258)</f>
        <v>1.2417251596698287</v>
      </c>
      <c r="F97" s="176">
        <v>1.241725</v>
      </c>
      <c r="G97" s="511">
        <f t="shared" ca="1" si="21"/>
        <v>1.2858710962682096E-7</v>
      </c>
      <c r="H97" s="174">
        <f t="shared" ca="1" si="22"/>
        <v>1.2417251596698287</v>
      </c>
      <c r="I97" s="501">
        <v>1.241725</v>
      </c>
      <c r="J97" s="177"/>
      <c r="K97" s="173">
        <f t="shared" ca="1" si="23"/>
        <v>1.2417251596698287</v>
      </c>
      <c r="L97" s="508">
        <f t="shared" ca="1" si="24"/>
        <v>0</v>
      </c>
      <c r="M97" s="174">
        <f t="shared" ca="1" si="25"/>
        <v>1.2417251596698287</v>
      </c>
      <c r="N97" s="174">
        <f ca="1">IF(SUMIFS('Merged Trusts and MFF year'!$C$1:$C$24,'Merged Trusts and MFF year'!$A$1:$A$24,$B97,'Merged Trusts and MFF year'!$D$1:$D$24,"2013-14")=0,M97,SUMIFS('Merged Trusts and MFF year'!$C$1:$C$24,'Merged Trusts and MFF year'!$A$1:$A$24,$B97,'Merged Trusts and MFF year'!$D$1:$D$24,"2013-14"))</f>
        <v>1.2417251596698287</v>
      </c>
      <c r="O97" s="498">
        <f ca="1">IF(SUMIFS('Merged Trusts and MFF year'!$C$1:$C$24,'Merged Trusts and MFF year'!$A$1:$A$24,$B97,'Merged Trusts and MFF year'!$D$1:$D$24,"2014-15")=0,N97,SUMIFS('Merged Trusts and MFF year'!$C$1:$C$24,'Merged Trusts and MFF year'!$A$1:$A$24,$B97,'Merged Trusts and MFF year'!$D$1:$D$24,"2014-15"))</f>
        <v>1.2417251596698287</v>
      </c>
      <c r="P97" s="504">
        <f t="shared" ca="1" si="18"/>
        <v>0</v>
      </c>
      <c r="Q97" s="498">
        <f ca="1">IF(SUMIFS('Merged Trusts and MFF year'!$C$1:$C$24,'Merged Trusts and MFF year'!$A$1:$A$24,$B97,'Merged Trusts and MFF year'!$D$1:$D$24,"2015-16")=0,O97,SUMIFS('Merged Trusts and MFF year'!$C$1:$C$24,'Merged Trusts and MFF year'!$A$1:$A$24,$B97,'Merged Trusts and MFF year'!$D$1:$D$24,"2015-16"))</f>
        <v>1.2417251596698287</v>
      </c>
      <c r="R97" s="504">
        <f t="shared" ca="1" si="19"/>
        <v>0</v>
      </c>
      <c r="S97" s="498">
        <f ca="1">IF(SUMIFS('Merged Trusts and MFF year'!$C$1:$C$24,'Merged Trusts and MFF year'!$A$1:$A$24,$B97,'Merged Trusts and MFF year'!$D$1:$D$24,"2016-17")=0,Q97,SUMIFS('Merged Trusts and MFF year'!$C$1:$C$24,'Merged Trusts and MFF year'!$A$1:$A$24,$B97,'Merged Trusts and MFF year'!$D$1:$D$24,"2016-17"))</f>
        <v>1.2417251596698287</v>
      </c>
      <c r="T97" s="504">
        <f t="shared" ca="1" si="20"/>
        <v>0</v>
      </c>
      <c r="U97" s="459"/>
    </row>
    <row r="98" spans="1:21" ht="12.75" customHeight="1" x14ac:dyDescent="0.2">
      <c r="A98" s="171" t="s">
        <v>1127</v>
      </c>
      <c r="B98" s="172" t="s">
        <v>1334</v>
      </c>
      <c r="C98" s="172" t="s">
        <v>1335</v>
      </c>
      <c r="D98" s="175">
        <f>INDEX('Base MFF calcs'!$I$7:$I$258,MATCH($B98,'Base MFF calcs'!$B$7:$B$258,0),1)</f>
        <v>0.96792535888100639</v>
      </c>
      <c r="E98" s="176">
        <f ca="1">D98/MIN('Base MFF calcs'!$I$7:$I$258)</f>
        <v>1.0449095858534003</v>
      </c>
      <c r="F98" s="176">
        <v>1.04491</v>
      </c>
      <c r="G98" s="511">
        <f t="shared" ca="1" si="21"/>
        <v>-3.9634667070576057E-7</v>
      </c>
      <c r="H98" s="174">
        <f t="shared" ca="1" si="22"/>
        <v>1.0449095858534003</v>
      </c>
      <c r="I98" s="501">
        <v>1.04491</v>
      </c>
      <c r="J98" s="177"/>
      <c r="K98" s="173">
        <f t="shared" ca="1" si="23"/>
        <v>1.0449095858534003</v>
      </c>
      <c r="L98" s="508">
        <f t="shared" ca="1" si="24"/>
        <v>0</v>
      </c>
      <c r="M98" s="174">
        <f t="shared" ca="1" si="25"/>
        <v>1.0449095858534003</v>
      </c>
      <c r="N98" s="174">
        <f ca="1">IF(SUMIFS('Merged Trusts and MFF year'!$C$1:$C$24,'Merged Trusts and MFF year'!$A$1:$A$24,$B98,'Merged Trusts and MFF year'!$D$1:$D$24,"2013-14")=0,M98,SUMIFS('Merged Trusts and MFF year'!$C$1:$C$24,'Merged Trusts and MFF year'!$A$1:$A$24,$B98,'Merged Trusts and MFF year'!$D$1:$D$24,"2013-14"))</f>
        <v>1.0449095858534003</v>
      </c>
      <c r="O98" s="498">
        <f ca="1">IF(SUMIFS('Merged Trusts and MFF year'!$C$1:$C$24,'Merged Trusts and MFF year'!$A$1:$A$24,$B98,'Merged Trusts and MFF year'!$D$1:$D$24,"2014-15")=0,N98,SUMIFS('Merged Trusts and MFF year'!$C$1:$C$24,'Merged Trusts and MFF year'!$A$1:$A$24,$B98,'Merged Trusts and MFF year'!$D$1:$D$24,"2014-15"))</f>
        <v>1.0449095858534003</v>
      </c>
      <c r="P98" s="504">
        <f t="shared" ca="1" si="18"/>
        <v>0</v>
      </c>
      <c r="Q98" s="498">
        <f ca="1">IF(SUMIFS('Merged Trusts and MFF year'!$C$1:$C$24,'Merged Trusts and MFF year'!$A$1:$A$24,$B98,'Merged Trusts and MFF year'!$D$1:$D$24,"2015-16")=0,O98,SUMIFS('Merged Trusts and MFF year'!$C$1:$C$24,'Merged Trusts and MFF year'!$A$1:$A$24,$B98,'Merged Trusts and MFF year'!$D$1:$D$24,"2015-16"))</f>
        <v>1.0449095858534003</v>
      </c>
      <c r="R98" s="504">
        <f t="shared" ca="1" si="19"/>
        <v>0</v>
      </c>
      <c r="S98" s="498">
        <f ca="1">IF(SUMIFS('Merged Trusts and MFF year'!$C$1:$C$24,'Merged Trusts and MFF year'!$A$1:$A$24,$B98,'Merged Trusts and MFF year'!$D$1:$D$24,"2016-17")=0,Q98,SUMIFS('Merged Trusts and MFF year'!$C$1:$C$24,'Merged Trusts and MFF year'!$A$1:$A$24,$B98,'Merged Trusts and MFF year'!$D$1:$D$24,"2016-17"))</f>
        <v>1.0449095858534003</v>
      </c>
      <c r="T98" s="504">
        <f t="shared" ca="1" si="20"/>
        <v>0</v>
      </c>
      <c r="U98" s="459"/>
    </row>
    <row r="99" spans="1:21" ht="12.75" customHeight="1" x14ac:dyDescent="0.2">
      <c r="A99" s="468" t="s">
        <v>191</v>
      </c>
      <c r="B99" s="467" t="s">
        <v>3374</v>
      </c>
      <c r="C99" s="467" t="s">
        <v>3375</v>
      </c>
      <c r="D99" s="469">
        <f>INDEX('Base MFF calcs'!$I$7:$I$258,MATCH($B99,'Base MFF calcs'!$B$7:$B$258,0),1)</f>
        <v>0.97363480047988227</v>
      </c>
      <c r="E99" s="469">
        <f ca="1">D99/MIN('Base MFF calcs'!$I$7:$I$258)</f>
        <v>1.051073129562424</v>
      </c>
      <c r="F99" s="469"/>
      <c r="G99" s="512">
        <f t="shared" si="21"/>
        <v>0</v>
      </c>
      <c r="H99" s="469">
        <f t="shared" ca="1" si="22"/>
        <v>1.051073129562424</v>
      </c>
      <c r="I99" s="502">
        <v>1.0510729999999999</v>
      </c>
      <c r="J99" s="470"/>
      <c r="K99" s="173">
        <f t="shared" ca="1" si="23"/>
        <v>1.051073129562424</v>
      </c>
      <c r="L99" s="508">
        <f t="shared" ca="1" si="24"/>
        <v>0</v>
      </c>
      <c r="M99" s="174">
        <f t="shared" ca="1" si="25"/>
        <v>1.051073129562424</v>
      </c>
      <c r="N99" s="174">
        <f ca="1">IF(SUMIFS('Merged Trusts and MFF year'!$C$1:$C$24,'Merged Trusts and MFF year'!$A$1:$A$24,$B99,'Merged Trusts and MFF year'!$D$1:$D$24,"2013-14")=0,M99,SUMIFS('Merged Trusts and MFF year'!$C$1:$C$24,'Merged Trusts and MFF year'!$A$1:$A$24,$B99,'Merged Trusts and MFF year'!$D$1:$D$24,"2013-14"))</f>
        <v>1.051073129562424</v>
      </c>
      <c r="O99" s="498">
        <f ca="1">IF(SUMIFS('Merged Trusts and MFF year'!$C$1:$C$24,'Merged Trusts and MFF year'!$A$1:$A$24,$B99,'Merged Trusts and MFF year'!$D$1:$D$24,"2014-15")=0,N99,SUMIFS('Merged Trusts and MFF year'!$C$1:$C$24,'Merged Trusts and MFF year'!$A$1:$A$24,$B99,'Merged Trusts and MFF year'!$D$1:$D$24,"2014-15"))</f>
        <v>1.051073129562424</v>
      </c>
      <c r="P99" s="504">
        <f t="shared" ca="1" si="18"/>
        <v>0</v>
      </c>
      <c r="Q99" s="498">
        <f ca="1">IF(SUMIFS('Merged Trusts and MFF year'!$C$1:$C$24,'Merged Trusts and MFF year'!$A$1:$A$24,$B99,'Merged Trusts and MFF year'!$D$1:$D$24,"2015-16")=0,O99,SUMIFS('Merged Trusts and MFF year'!$C$1:$C$24,'Merged Trusts and MFF year'!$A$1:$A$24,$B99,'Merged Trusts and MFF year'!$D$1:$D$24,"2015-16"))</f>
        <v>1.051073129562424</v>
      </c>
      <c r="R99" s="504">
        <f t="shared" ca="1" si="19"/>
        <v>0</v>
      </c>
      <c r="S99" s="498">
        <f ca="1">IF(SUMIFS('Merged Trusts and MFF year'!$C$1:$C$24,'Merged Trusts and MFF year'!$A$1:$A$24,$B99,'Merged Trusts and MFF year'!$D$1:$D$24,"2016-17")=0,Q99,SUMIFS('Merged Trusts and MFF year'!$C$1:$C$24,'Merged Trusts and MFF year'!$A$1:$A$24,$B99,'Merged Trusts and MFF year'!$D$1:$D$24,"2016-17"))</f>
        <v>1.051073129562424</v>
      </c>
      <c r="T99" s="504">
        <f t="shared" ca="1" si="20"/>
        <v>0</v>
      </c>
      <c r="U99" s="472"/>
    </row>
    <row r="100" spans="1:21" ht="12.75" customHeight="1" x14ac:dyDescent="0.2">
      <c r="A100" s="171" t="s">
        <v>1127</v>
      </c>
      <c r="B100" s="172" t="s">
        <v>1336</v>
      </c>
      <c r="C100" s="172" t="s">
        <v>1337</v>
      </c>
      <c r="D100" s="175">
        <f>INDEX('Base MFF calcs'!$I$7:$I$258,MATCH($B100,'Base MFF calcs'!$B$7:$B$258,0),1)</f>
        <v>0.94360175939103574</v>
      </c>
      <c r="E100" s="176">
        <f ca="1">D100/MIN('Base MFF calcs'!$I$7:$I$258)</f>
        <v>1.0186514017523949</v>
      </c>
      <c r="F100" s="176">
        <v>1.018651</v>
      </c>
      <c r="G100" s="511">
        <f t="shared" ca="1" si="21"/>
        <v>3.9439650567629769E-7</v>
      </c>
      <c r="H100" s="174">
        <f t="shared" ca="1" si="22"/>
        <v>1.0186514017523949</v>
      </c>
      <c r="I100" s="501">
        <v>1.018651</v>
      </c>
      <c r="J100" s="177"/>
      <c r="K100" s="173">
        <f t="shared" ca="1" si="23"/>
        <v>1.0186514017523949</v>
      </c>
      <c r="L100" s="508">
        <f t="shared" ca="1" si="24"/>
        <v>0</v>
      </c>
      <c r="M100" s="174">
        <f t="shared" ca="1" si="25"/>
        <v>1.0186514017523949</v>
      </c>
      <c r="N100" s="174">
        <f ca="1">IF(SUMIFS('Merged Trusts and MFF year'!$C$1:$C$24,'Merged Trusts and MFF year'!$A$1:$A$24,$B100,'Merged Trusts and MFF year'!$D$1:$D$24,"2013-14")=0,M100,SUMIFS('Merged Trusts and MFF year'!$C$1:$C$24,'Merged Trusts and MFF year'!$A$1:$A$24,$B100,'Merged Trusts and MFF year'!$D$1:$D$24,"2013-14"))</f>
        <v>1.0186514017523949</v>
      </c>
      <c r="O100" s="498">
        <f ca="1">IF(SUMIFS('Merged Trusts and MFF year'!$C$1:$C$24,'Merged Trusts and MFF year'!$A$1:$A$24,$B100,'Merged Trusts and MFF year'!$D$1:$D$24,"2014-15")=0,N100,SUMIFS('Merged Trusts and MFF year'!$C$1:$C$24,'Merged Trusts and MFF year'!$A$1:$A$24,$B100,'Merged Trusts and MFF year'!$D$1:$D$24,"2014-15"))</f>
        <v>1.0186514017523949</v>
      </c>
      <c r="P100" s="504">
        <f t="shared" ca="1" si="18"/>
        <v>0</v>
      </c>
      <c r="Q100" s="498">
        <f ca="1">IF(SUMIFS('Merged Trusts and MFF year'!$C$1:$C$24,'Merged Trusts and MFF year'!$A$1:$A$24,$B100,'Merged Trusts and MFF year'!$D$1:$D$24,"2015-16")=0,O100,SUMIFS('Merged Trusts and MFF year'!$C$1:$C$24,'Merged Trusts and MFF year'!$A$1:$A$24,$B100,'Merged Trusts and MFF year'!$D$1:$D$24,"2015-16"))</f>
        <v>1.0186514017523949</v>
      </c>
      <c r="R100" s="504">
        <f t="shared" ca="1" si="19"/>
        <v>0</v>
      </c>
      <c r="S100" s="498">
        <f ca="1">IF(SUMIFS('Merged Trusts and MFF year'!$C$1:$C$24,'Merged Trusts and MFF year'!$A$1:$A$24,$B100,'Merged Trusts and MFF year'!$D$1:$D$24,"2016-17")=0,Q100,SUMIFS('Merged Trusts and MFF year'!$C$1:$C$24,'Merged Trusts and MFF year'!$A$1:$A$24,$B100,'Merged Trusts and MFF year'!$D$1:$D$24,"2016-17"))</f>
        <v>1.0186514017523949</v>
      </c>
      <c r="T100" s="504">
        <f t="shared" ca="1" si="20"/>
        <v>0</v>
      </c>
      <c r="U100" s="459"/>
    </row>
    <row r="101" spans="1:21" ht="12.75" customHeight="1" x14ac:dyDescent="0.2">
      <c r="A101" s="171" t="s">
        <v>3496</v>
      </c>
      <c r="B101" s="172" t="s">
        <v>1338</v>
      </c>
      <c r="C101" s="172" t="s">
        <v>1339</v>
      </c>
      <c r="D101" s="175">
        <f>INDEX('Base MFF calcs'!$I$7:$I$258,MATCH($B101,'Base MFF calcs'!$B$7:$B$258,0),1)</f>
        <v>1.0165436292351788</v>
      </c>
      <c r="E101" s="176">
        <f ca="1">D101/MIN('Base MFF calcs'!$I$7:$I$258)</f>
        <v>1.0973947245829172</v>
      </c>
      <c r="F101" s="176">
        <v>1.0973949999999999</v>
      </c>
      <c r="G101" s="511">
        <f t="shared" ca="1" si="21"/>
        <v>-2.5097351696867776E-7</v>
      </c>
      <c r="H101" s="174">
        <f t="shared" ca="1" si="22"/>
        <v>1.0973947245829172</v>
      </c>
      <c r="I101" s="501">
        <v>1.0973949999999999</v>
      </c>
      <c r="J101" s="177"/>
      <c r="K101" s="173">
        <f t="shared" ca="1" si="23"/>
        <v>1.0973947245829172</v>
      </c>
      <c r="L101" s="508">
        <f t="shared" ca="1" si="24"/>
        <v>0</v>
      </c>
      <c r="M101" s="174">
        <f t="shared" ca="1" si="25"/>
        <v>1.0973947245829172</v>
      </c>
      <c r="N101" s="174">
        <f ca="1">IF(SUMIFS('Merged Trusts and MFF year'!$C$1:$C$24,'Merged Trusts and MFF year'!$A$1:$A$24,$B101,'Merged Trusts and MFF year'!$D$1:$D$24,"2013-14")=0,M101,SUMIFS('Merged Trusts and MFF year'!$C$1:$C$24,'Merged Trusts and MFF year'!$A$1:$A$24,$B101,'Merged Trusts and MFF year'!$D$1:$D$24,"2013-14"))</f>
        <v>1.0973947245829172</v>
      </c>
      <c r="O101" s="498">
        <f ca="1">IF(SUMIFS('Merged Trusts and MFF year'!$C$1:$C$24,'Merged Trusts and MFF year'!$A$1:$A$24,$B101,'Merged Trusts and MFF year'!$D$1:$D$24,"2014-15")=0,N101,SUMIFS('Merged Trusts and MFF year'!$C$1:$C$24,'Merged Trusts and MFF year'!$A$1:$A$24,$B101,'Merged Trusts and MFF year'!$D$1:$D$24,"2014-15"))</f>
        <v>1.0973947245829172</v>
      </c>
      <c r="P101" s="504">
        <f t="shared" ca="1" si="18"/>
        <v>0</v>
      </c>
      <c r="Q101" s="498">
        <f ca="1">IF(SUMIFS('Merged Trusts and MFF year'!$C$1:$C$24,'Merged Trusts and MFF year'!$A$1:$A$24,$B101,'Merged Trusts and MFF year'!$D$1:$D$24,"2015-16")=0,O101,SUMIFS('Merged Trusts and MFF year'!$C$1:$C$24,'Merged Trusts and MFF year'!$A$1:$A$24,$B101,'Merged Trusts and MFF year'!$D$1:$D$24,"2015-16"))</f>
        <v>1.0973947245829172</v>
      </c>
      <c r="R101" s="504">
        <f t="shared" ca="1" si="19"/>
        <v>0</v>
      </c>
      <c r="S101" s="498">
        <f ca="1">IF(SUMIFS('Merged Trusts and MFF year'!$C$1:$C$24,'Merged Trusts and MFF year'!$A$1:$A$24,$B101,'Merged Trusts and MFF year'!$D$1:$D$24,"2016-17")=0,Q101,SUMIFS('Merged Trusts and MFF year'!$C$1:$C$24,'Merged Trusts and MFF year'!$A$1:$A$24,$B101,'Merged Trusts and MFF year'!$D$1:$D$24,"2016-17"))</f>
        <v>1.0973947245829172</v>
      </c>
      <c r="T101" s="504">
        <f t="shared" ca="1" si="20"/>
        <v>0</v>
      </c>
      <c r="U101" s="459"/>
    </row>
    <row r="102" spans="1:21" ht="12.75" customHeight="1" x14ac:dyDescent="0.2">
      <c r="A102" s="468" t="s">
        <v>3496</v>
      </c>
      <c r="B102" s="467" t="s">
        <v>1340</v>
      </c>
      <c r="C102" s="171" t="s">
        <v>657</v>
      </c>
      <c r="D102" s="469">
        <f>INDEX('Base MFF calcs'!$I$7:$I$258,MATCH($B102,'Base MFF calcs'!$B$7:$B$258,0),1)</f>
        <v>0.99424142023572792</v>
      </c>
      <c r="E102" s="469">
        <f ca="1">D102/MIN('Base MFF calcs'!$I$7:$I$258)</f>
        <v>1.0733187028572615</v>
      </c>
      <c r="F102" s="469"/>
      <c r="G102" s="512">
        <f t="shared" si="21"/>
        <v>0</v>
      </c>
      <c r="H102" s="469">
        <f t="shared" ca="1" si="22"/>
        <v>1.0733187028572615</v>
      </c>
      <c r="I102" s="502">
        <v>1.0733189999999999</v>
      </c>
      <c r="J102" s="470"/>
      <c r="K102" s="173">
        <f t="shared" ca="1" si="23"/>
        <v>1.0733187028572615</v>
      </c>
      <c r="L102" s="508">
        <f t="shared" ca="1" si="24"/>
        <v>0</v>
      </c>
      <c r="M102" s="174">
        <f t="shared" ca="1" si="25"/>
        <v>1.0733187028572615</v>
      </c>
      <c r="N102" s="174">
        <f ca="1">IF(SUMIFS('Merged Trusts and MFF year'!$C$1:$C$24,'Merged Trusts and MFF year'!$A$1:$A$24,$B102,'Merged Trusts and MFF year'!$D$1:$D$24,"2013-14")=0,M102,SUMIFS('Merged Trusts and MFF year'!$C$1:$C$24,'Merged Trusts and MFF year'!$A$1:$A$24,$B102,'Merged Trusts and MFF year'!$D$1:$D$24,"2013-14"))</f>
        <v>1.0733187028572615</v>
      </c>
      <c r="O102" s="498">
        <f ca="1">IF(SUMIFS('Merged Trusts and MFF year'!$C$1:$C$24,'Merged Trusts and MFF year'!$A$1:$A$24,$B102,'Merged Trusts and MFF year'!$D$1:$D$24,"2014-15")=0,N102,SUMIFS('Merged Trusts and MFF year'!$C$1:$C$24,'Merged Trusts and MFF year'!$A$1:$A$24,$B102,'Merged Trusts and MFF year'!$D$1:$D$24,"2014-15"))</f>
        <v>1.0733187028572615</v>
      </c>
      <c r="P102" s="504">
        <f t="shared" ca="1" si="18"/>
        <v>0</v>
      </c>
      <c r="Q102" s="498">
        <f ca="1">IF(SUMIFS('Merged Trusts and MFF year'!$C$1:$C$24,'Merged Trusts and MFF year'!$A$1:$A$24,$B102,'Merged Trusts and MFF year'!$D$1:$D$24,"2015-16")=0,O102,SUMIFS('Merged Trusts and MFF year'!$C$1:$C$24,'Merged Trusts and MFF year'!$A$1:$A$24,$B102,'Merged Trusts and MFF year'!$D$1:$D$24,"2015-16"))</f>
        <v>1.0733187028572615</v>
      </c>
      <c r="R102" s="504">
        <f t="shared" ca="1" si="19"/>
        <v>0</v>
      </c>
      <c r="S102" s="498">
        <f ca="1">IF(SUMIFS('Merged Trusts and MFF year'!$C$1:$C$24,'Merged Trusts and MFF year'!$A$1:$A$24,$B102,'Merged Trusts and MFF year'!$D$1:$D$24,"2016-17")=0,Q102,SUMIFS('Merged Trusts and MFF year'!$C$1:$C$24,'Merged Trusts and MFF year'!$A$1:$A$24,$B102,'Merged Trusts and MFF year'!$D$1:$D$24,"2016-17"))</f>
        <v>1.0733187028572615</v>
      </c>
      <c r="T102" s="504">
        <f t="shared" ca="1" si="20"/>
        <v>0</v>
      </c>
      <c r="U102" s="472"/>
    </row>
    <row r="103" spans="1:21" ht="12.75" customHeight="1" x14ac:dyDescent="0.2">
      <c r="A103" s="171" t="s">
        <v>3069</v>
      </c>
      <c r="B103" s="172" t="s">
        <v>1341</v>
      </c>
      <c r="C103" s="386" t="s">
        <v>352</v>
      </c>
      <c r="D103" s="175">
        <f>INDEX('Base MFF calcs'!$I$7:$I$258,MATCH($B103,'Base MFF calcs'!$B$7:$B$258,0),1)</f>
        <v>0.97659403804181943</v>
      </c>
      <c r="E103" s="176">
        <f ca="1">D103/MIN('Base MFF calcs'!$I$7:$I$258)</f>
        <v>1.0542677309507587</v>
      </c>
      <c r="F103" s="176">
        <v>1.054268</v>
      </c>
      <c r="G103" s="511">
        <f t="shared" ca="1" si="21"/>
        <v>-2.5520004531820462E-7</v>
      </c>
      <c r="H103" s="174">
        <f t="shared" ca="1" si="22"/>
        <v>1.0542677309507587</v>
      </c>
      <c r="I103" s="501">
        <v>1.054268</v>
      </c>
      <c r="J103" s="177"/>
      <c r="K103" s="173">
        <f t="shared" ca="1" si="23"/>
        <v>1.0542677309507587</v>
      </c>
      <c r="L103" s="508">
        <f t="shared" ca="1" si="24"/>
        <v>0</v>
      </c>
      <c r="M103" s="174">
        <f t="shared" ca="1" si="25"/>
        <v>1.0542677309507587</v>
      </c>
      <c r="N103" s="174">
        <f ca="1">IF(SUMIFS('Merged Trusts and MFF year'!$C$1:$C$24,'Merged Trusts and MFF year'!$A$1:$A$24,$B103,'Merged Trusts and MFF year'!$D$1:$D$24,"2013-14")=0,M103,SUMIFS('Merged Trusts and MFF year'!$C$1:$C$24,'Merged Trusts and MFF year'!$A$1:$A$24,$B103,'Merged Trusts and MFF year'!$D$1:$D$24,"2013-14"))</f>
        <v>1.0542677309507587</v>
      </c>
      <c r="O103" s="498">
        <f ca="1">IF(SUMIFS('Merged Trusts and MFF year'!$C$1:$C$24,'Merged Trusts and MFF year'!$A$1:$A$24,$B103,'Merged Trusts and MFF year'!$D$1:$D$24,"2014-15")=0,N103,SUMIFS('Merged Trusts and MFF year'!$C$1:$C$24,'Merged Trusts and MFF year'!$A$1:$A$24,$B103,'Merged Trusts and MFF year'!$D$1:$D$24,"2014-15"))</f>
        <v>1.0542677309507587</v>
      </c>
      <c r="P103" s="504">
        <f t="shared" ca="1" si="18"/>
        <v>0</v>
      </c>
      <c r="Q103" s="498">
        <f ca="1">IF(SUMIFS('Merged Trusts and MFF year'!$C$1:$C$24,'Merged Trusts and MFF year'!$A$1:$A$24,$B103,'Merged Trusts and MFF year'!$D$1:$D$24,"2015-16")=0,O103,SUMIFS('Merged Trusts and MFF year'!$C$1:$C$24,'Merged Trusts and MFF year'!$A$1:$A$24,$B103,'Merged Trusts and MFF year'!$D$1:$D$24,"2015-16"))</f>
        <v>1.0542677309507587</v>
      </c>
      <c r="R103" s="504">
        <f t="shared" ca="1" si="19"/>
        <v>0</v>
      </c>
      <c r="S103" s="498">
        <f ca="1">IF(SUMIFS('Merged Trusts and MFF year'!$C$1:$C$24,'Merged Trusts and MFF year'!$A$1:$A$24,$B103,'Merged Trusts and MFF year'!$D$1:$D$24,"2016-17")=0,Q103,SUMIFS('Merged Trusts and MFF year'!$C$1:$C$24,'Merged Trusts and MFF year'!$A$1:$A$24,$B103,'Merged Trusts and MFF year'!$D$1:$D$24,"2016-17"))</f>
        <v>1.0542677309507587</v>
      </c>
      <c r="T103" s="504">
        <f t="shared" ca="1" si="20"/>
        <v>0</v>
      </c>
      <c r="U103" s="459"/>
    </row>
    <row r="104" spans="1:21" ht="22.5" x14ac:dyDescent="0.2">
      <c r="A104" s="171" t="s">
        <v>1167</v>
      </c>
      <c r="B104" s="172" t="s">
        <v>353</v>
      </c>
      <c r="C104" s="172" t="s">
        <v>354</v>
      </c>
      <c r="D104" s="175">
        <f>INDEX('Base MFF calcs'!$I$7:$I$258,MATCH($B104,'Base MFF calcs'!$B$7:$B$258,0),1)</f>
        <v>1.137546323100799</v>
      </c>
      <c r="E104" s="176">
        <f ca="1">D104/MIN('Base MFF calcs'!$I$7:$I$258)</f>
        <v>1.228021403152886</v>
      </c>
      <c r="F104" s="176">
        <v>1.228021</v>
      </c>
      <c r="G104" s="511">
        <f t="shared" ca="1" si="21"/>
        <v>3.2829478158191705E-7</v>
      </c>
      <c r="H104" s="174">
        <f t="shared" ca="1" si="22"/>
        <v>1.228021403152886</v>
      </c>
      <c r="I104" s="501">
        <v>1.228021</v>
      </c>
      <c r="J104" s="177"/>
      <c r="K104" s="173">
        <f t="shared" ca="1" si="23"/>
        <v>1.228021403152886</v>
      </c>
      <c r="L104" s="508">
        <f t="shared" ca="1" si="24"/>
        <v>0</v>
      </c>
      <c r="M104" s="174">
        <f t="shared" ca="1" si="25"/>
        <v>1.228021403152886</v>
      </c>
      <c r="N104" s="174">
        <f ca="1">IF(SUMIFS('Merged Trusts and MFF year'!$C$1:$C$24,'Merged Trusts and MFF year'!$A$1:$A$24,$B104,'Merged Trusts and MFF year'!$D$1:$D$24,"2013-14")=0,M104,SUMIFS('Merged Trusts and MFF year'!$C$1:$C$24,'Merged Trusts and MFF year'!$A$1:$A$24,$B104,'Merged Trusts and MFF year'!$D$1:$D$24,"2013-14"))</f>
        <v>1.228021403152886</v>
      </c>
      <c r="O104" s="498">
        <f ca="1">IF(SUMIFS('Merged Trusts and MFF year'!$C$1:$C$24,'Merged Trusts and MFF year'!$A$1:$A$24,$B104,'Merged Trusts and MFF year'!$D$1:$D$24,"2014-15")=0,N104,SUMIFS('Merged Trusts and MFF year'!$C$1:$C$24,'Merged Trusts and MFF year'!$A$1:$A$24,$B104,'Merged Trusts and MFF year'!$D$1:$D$24,"2014-15"))</f>
        <v>1.2132263403656423</v>
      </c>
      <c r="P104" s="504">
        <f t="shared" ca="1" si="18"/>
        <v>-1.2047886746320624E-2</v>
      </c>
      <c r="Q104" s="498">
        <f ca="1">IF(SUMIFS('Merged Trusts and MFF year'!$C$1:$C$24,'Merged Trusts and MFF year'!$A$1:$A$24,$B104,'Merged Trusts and MFF year'!$D$1:$D$24,"2015-16")=0,O104,SUMIFS('Merged Trusts and MFF year'!$C$1:$C$24,'Merged Trusts and MFF year'!$A$1:$A$24,$B104,'Merged Trusts and MFF year'!$D$1:$D$24,"2015-16"))</f>
        <v>1.2132263403656423</v>
      </c>
      <c r="R104" s="504">
        <f t="shared" ca="1" si="19"/>
        <v>0</v>
      </c>
      <c r="S104" s="498">
        <f ca="1">IF(SUMIFS('Merged Trusts and MFF year'!$C$1:$C$24,'Merged Trusts and MFF year'!$A$1:$A$24,$B104,'Merged Trusts and MFF year'!$D$1:$D$24,"2016-17")=0,Q104,SUMIFS('Merged Trusts and MFF year'!$C$1:$C$24,'Merged Trusts and MFF year'!$A$1:$A$24,$B104,'Merged Trusts and MFF year'!$D$1:$D$24,"2016-17"))</f>
        <v>1.2132263403656423</v>
      </c>
      <c r="T104" s="504">
        <f t="shared" ca="1" si="20"/>
        <v>0</v>
      </c>
      <c r="U104" s="459" t="s">
        <v>4216</v>
      </c>
    </row>
    <row r="105" spans="1:21" ht="12.75" customHeight="1" x14ac:dyDescent="0.2">
      <c r="A105" s="171" t="s">
        <v>1167</v>
      </c>
      <c r="B105" s="172" t="s">
        <v>355</v>
      </c>
      <c r="C105" s="172" t="s">
        <v>356</v>
      </c>
      <c r="D105" s="175">
        <f>INDEX('Base MFF calcs'!$I$7:$I$258,MATCH($B105,'Base MFF calcs'!$B$7:$B$258,0),1)</f>
        <v>1.1185527052987592</v>
      </c>
      <c r="E105" s="176">
        <f ca="1">D105/MIN('Base MFF calcs'!$I$7:$I$258)</f>
        <v>1.2075171223947794</v>
      </c>
      <c r="F105" s="176">
        <v>1.207517</v>
      </c>
      <c r="G105" s="511">
        <f t="shared" ca="1" si="21"/>
        <v>1.0136070915933715E-7</v>
      </c>
      <c r="H105" s="174">
        <f t="shared" ca="1" si="22"/>
        <v>1.2075171223947794</v>
      </c>
      <c r="I105" s="501">
        <v>1.207517</v>
      </c>
      <c r="J105" s="177"/>
      <c r="K105" s="173">
        <f t="shared" ca="1" si="23"/>
        <v>1.2075171223947794</v>
      </c>
      <c r="L105" s="508">
        <f t="shared" ca="1" si="24"/>
        <v>0</v>
      </c>
      <c r="M105" s="174">
        <f t="shared" ca="1" si="25"/>
        <v>1.2075171223947794</v>
      </c>
      <c r="N105" s="174">
        <f ca="1">IF(SUMIFS('Merged Trusts and MFF year'!$C$1:$C$24,'Merged Trusts and MFF year'!$A$1:$A$24,$B105,'Merged Trusts and MFF year'!$D$1:$D$24,"2013-14")=0,M105,SUMIFS('Merged Trusts and MFF year'!$C$1:$C$24,'Merged Trusts and MFF year'!$A$1:$A$24,$B105,'Merged Trusts and MFF year'!$D$1:$D$24,"2013-14"))</f>
        <v>1.2075171223947794</v>
      </c>
      <c r="O105" s="498">
        <f ca="1">IF(SUMIFS('Merged Trusts and MFF year'!$C$1:$C$24,'Merged Trusts and MFF year'!$A$1:$A$24,$B105,'Merged Trusts and MFF year'!$D$1:$D$24,"2014-15")=0,N105,SUMIFS('Merged Trusts and MFF year'!$C$1:$C$24,'Merged Trusts and MFF year'!$A$1:$A$24,$B105,'Merged Trusts and MFF year'!$D$1:$D$24,"2014-15"))</f>
        <v>1.2075171223947794</v>
      </c>
      <c r="P105" s="504">
        <f t="shared" ca="1" si="18"/>
        <v>0</v>
      </c>
      <c r="Q105" s="498">
        <f ca="1">IF(SUMIFS('Merged Trusts and MFF year'!$C$1:$C$24,'Merged Trusts and MFF year'!$A$1:$A$24,$B105,'Merged Trusts and MFF year'!$D$1:$D$24,"2015-16")=0,O105,SUMIFS('Merged Trusts and MFF year'!$C$1:$C$24,'Merged Trusts and MFF year'!$A$1:$A$24,$B105,'Merged Trusts and MFF year'!$D$1:$D$24,"2015-16"))</f>
        <v>1.2075171223947794</v>
      </c>
      <c r="R105" s="504">
        <f t="shared" ca="1" si="19"/>
        <v>0</v>
      </c>
      <c r="S105" s="498">
        <f ca="1">IF(SUMIFS('Merged Trusts and MFF year'!$C$1:$C$24,'Merged Trusts and MFF year'!$A$1:$A$24,$B105,'Merged Trusts and MFF year'!$D$1:$D$24,"2016-17")=0,Q105,SUMIFS('Merged Trusts and MFF year'!$C$1:$C$24,'Merged Trusts and MFF year'!$A$1:$A$24,$B105,'Merged Trusts and MFF year'!$D$1:$D$24,"2016-17"))</f>
        <v>1.2075171223947794</v>
      </c>
      <c r="T105" s="504">
        <f t="shared" ca="1" si="20"/>
        <v>0</v>
      </c>
      <c r="U105" s="459"/>
    </row>
    <row r="106" spans="1:21" ht="12.75" customHeight="1" x14ac:dyDescent="0.2">
      <c r="A106" s="171" t="s">
        <v>2975</v>
      </c>
      <c r="B106" s="172" t="s">
        <v>357</v>
      </c>
      <c r="C106" s="172" t="s">
        <v>358</v>
      </c>
      <c r="D106" s="175">
        <f>INDEX('Base MFF calcs'!$I$7:$I$258,MATCH($B106,'Base MFF calcs'!$B$7:$B$258,0),1)</f>
        <v>0.95536581701592249</v>
      </c>
      <c r="E106" s="176">
        <f ca="1">D106/MIN('Base MFF calcs'!$I$7:$I$258)</f>
        <v>1.0313511171467584</v>
      </c>
      <c r="F106" s="176">
        <v>1.0313509999999999</v>
      </c>
      <c r="G106" s="511">
        <f t="shared" ca="1" si="21"/>
        <v>1.1358573215325407E-7</v>
      </c>
      <c r="H106" s="174">
        <f t="shared" ca="1" si="22"/>
        <v>1.0313511171467584</v>
      </c>
      <c r="I106" s="501">
        <v>1.0313509999999999</v>
      </c>
      <c r="J106" s="177"/>
      <c r="K106" s="173">
        <f t="shared" ca="1" si="23"/>
        <v>1.0313511171467584</v>
      </c>
      <c r="L106" s="508">
        <f t="shared" ca="1" si="24"/>
        <v>0</v>
      </c>
      <c r="M106" s="174">
        <f t="shared" ca="1" si="25"/>
        <v>1.0313511171467584</v>
      </c>
      <c r="N106" s="174">
        <f ca="1">IF(SUMIFS('Merged Trusts and MFF year'!$C$1:$C$24,'Merged Trusts and MFF year'!$A$1:$A$24,$B106,'Merged Trusts and MFF year'!$D$1:$D$24,"2013-14")=0,M106,SUMIFS('Merged Trusts and MFF year'!$C$1:$C$24,'Merged Trusts and MFF year'!$A$1:$A$24,$B106,'Merged Trusts and MFF year'!$D$1:$D$24,"2013-14"))</f>
        <v>1.0313511171467584</v>
      </c>
      <c r="O106" s="498">
        <f ca="1">IF(SUMIFS('Merged Trusts and MFF year'!$C$1:$C$24,'Merged Trusts and MFF year'!$A$1:$A$24,$B106,'Merged Trusts and MFF year'!$D$1:$D$24,"2014-15")=0,N106,SUMIFS('Merged Trusts and MFF year'!$C$1:$C$24,'Merged Trusts and MFF year'!$A$1:$A$24,$B106,'Merged Trusts and MFF year'!$D$1:$D$24,"2014-15"))</f>
        <v>1.0313511171467584</v>
      </c>
      <c r="P106" s="504">
        <f t="shared" ca="1" si="18"/>
        <v>0</v>
      </c>
      <c r="Q106" s="498">
        <f ca="1">IF(SUMIFS('Merged Trusts and MFF year'!$C$1:$C$24,'Merged Trusts and MFF year'!$A$1:$A$24,$B106,'Merged Trusts and MFF year'!$D$1:$D$24,"2015-16")=0,O106,SUMIFS('Merged Trusts and MFF year'!$C$1:$C$24,'Merged Trusts and MFF year'!$A$1:$A$24,$B106,'Merged Trusts and MFF year'!$D$1:$D$24,"2015-16"))</f>
        <v>1.0313511171467584</v>
      </c>
      <c r="R106" s="504">
        <f t="shared" ca="1" si="19"/>
        <v>0</v>
      </c>
      <c r="S106" s="498">
        <f ca="1">IF(SUMIFS('Merged Trusts and MFF year'!$C$1:$C$24,'Merged Trusts and MFF year'!$A$1:$A$24,$B106,'Merged Trusts and MFF year'!$D$1:$D$24,"2016-17")=0,Q106,SUMIFS('Merged Trusts and MFF year'!$C$1:$C$24,'Merged Trusts and MFF year'!$A$1:$A$24,$B106,'Merged Trusts and MFF year'!$D$1:$D$24,"2016-17"))</f>
        <v>1.0313511171467584</v>
      </c>
      <c r="T106" s="504">
        <f t="shared" ca="1" si="20"/>
        <v>0</v>
      </c>
      <c r="U106" s="459"/>
    </row>
    <row r="107" spans="1:21" ht="12.75" customHeight="1" x14ac:dyDescent="0.2">
      <c r="A107" s="171" t="s">
        <v>2975</v>
      </c>
      <c r="B107" s="172" t="s">
        <v>359</v>
      </c>
      <c r="C107" s="172" t="s">
        <v>360</v>
      </c>
      <c r="D107" s="175">
        <f>INDEX('Base MFF calcs'!$I$7:$I$258,MATCH($B107,'Base MFF calcs'!$B$7:$B$258,0),1)</f>
        <v>0.95912624120847001</v>
      </c>
      <c r="E107" s="176">
        <f ca="1">D107/MIN('Base MFF calcs'!$I$7:$I$258)</f>
        <v>1.0354106277790767</v>
      </c>
      <c r="F107" s="176">
        <v>1.0354110000000001</v>
      </c>
      <c r="G107" s="511">
        <f t="shared" ca="1" si="21"/>
        <v>-3.5949098808885083E-7</v>
      </c>
      <c r="H107" s="174">
        <f t="shared" ca="1" si="22"/>
        <v>1.0354106277790767</v>
      </c>
      <c r="I107" s="501">
        <v>1.0354109999999999</v>
      </c>
      <c r="J107" s="177"/>
      <c r="K107" s="173">
        <f t="shared" ca="1" si="23"/>
        <v>1.0354106277790767</v>
      </c>
      <c r="L107" s="508">
        <f t="shared" ca="1" si="24"/>
        <v>0</v>
      </c>
      <c r="M107" s="174">
        <f t="shared" ca="1" si="25"/>
        <v>1.0354106277790767</v>
      </c>
      <c r="N107" s="174">
        <f ca="1">IF(SUMIFS('Merged Trusts and MFF year'!$C$1:$C$24,'Merged Trusts and MFF year'!$A$1:$A$24,$B107,'Merged Trusts and MFF year'!$D$1:$D$24,"2013-14")=0,M107,SUMIFS('Merged Trusts and MFF year'!$C$1:$C$24,'Merged Trusts and MFF year'!$A$1:$A$24,$B107,'Merged Trusts and MFF year'!$D$1:$D$24,"2013-14"))</f>
        <v>1.0354106277790767</v>
      </c>
      <c r="O107" s="498">
        <f ca="1">IF(SUMIFS('Merged Trusts and MFF year'!$C$1:$C$24,'Merged Trusts and MFF year'!$A$1:$A$24,$B107,'Merged Trusts and MFF year'!$D$1:$D$24,"2014-15")=0,N107,SUMIFS('Merged Trusts and MFF year'!$C$1:$C$24,'Merged Trusts and MFF year'!$A$1:$A$24,$B107,'Merged Trusts and MFF year'!$D$1:$D$24,"2014-15"))</f>
        <v>1.0354106277790767</v>
      </c>
      <c r="P107" s="504">
        <f t="shared" ca="1" si="18"/>
        <v>0</v>
      </c>
      <c r="Q107" s="498">
        <f ca="1">IF(SUMIFS('Merged Trusts and MFF year'!$C$1:$C$24,'Merged Trusts and MFF year'!$A$1:$A$24,$B107,'Merged Trusts and MFF year'!$D$1:$D$24,"2015-16")=0,O107,SUMIFS('Merged Trusts and MFF year'!$C$1:$C$24,'Merged Trusts and MFF year'!$A$1:$A$24,$B107,'Merged Trusts and MFF year'!$D$1:$D$24,"2015-16"))</f>
        <v>1.0354106277790767</v>
      </c>
      <c r="R107" s="504">
        <f t="shared" ca="1" si="19"/>
        <v>0</v>
      </c>
      <c r="S107" s="498">
        <f ca="1">IF(SUMIFS('Merged Trusts and MFF year'!$C$1:$C$24,'Merged Trusts and MFF year'!$A$1:$A$24,$B107,'Merged Trusts and MFF year'!$D$1:$D$24,"2016-17")=0,Q107,SUMIFS('Merged Trusts and MFF year'!$C$1:$C$24,'Merged Trusts and MFF year'!$A$1:$A$24,$B107,'Merged Trusts and MFF year'!$D$1:$D$24,"2016-17"))</f>
        <v>1.0354106277790767</v>
      </c>
      <c r="T107" s="504">
        <f t="shared" ca="1" si="20"/>
        <v>0</v>
      </c>
      <c r="U107" s="459"/>
    </row>
    <row r="108" spans="1:21" ht="12.75" customHeight="1" x14ac:dyDescent="0.2">
      <c r="A108" s="171" t="s">
        <v>3034</v>
      </c>
      <c r="B108" s="172" t="s">
        <v>361</v>
      </c>
      <c r="C108" s="468" t="s">
        <v>1295</v>
      </c>
      <c r="D108" s="175">
        <f>INDEX('Base MFF calcs'!$I$7:$I$258,MATCH($B108,'Base MFF calcs'!$B$7:$B$258,0),1)</f>
        <v>0.96348982633312708</v>
      </c>
      <c r="E108" s="176">
        <f ca="1">D108/MIN('Base MFF calcs'!$I$7:$I$258)</f>
        <v>1.040121271924936</v>
      </c>
      <c r="F108" s="176">
        <v>1.0401210000000001</v>
      </c>
      <c r="G108" s="511">
        <f t="shared" ca="1" si="21"/>
        <v>2.6143586739912905E-7</v>
      </c>
      <c r="H108" s="174">
        <f t="shared" ca="1" si="22"/>
        <v>1.040121271924936</v>
      </c>
      <c r="I108" s="501">
        <v>1.0401209999999999</v>
      </c>
      <c r="J108" s="177"/>
      <c r="K108" s="173">
        <f t="shared" ca="1" si="23"/>
        <v>1.040121271924936</v>
      </c>
      <c r="L108" s="508">
        <f t="shared" ca="1" si="24"/>
        <v>0</v>
      </c>
      <c r="M108" s="174">
        <f t="shared" ca="1" si="25"/>
        <v>1.040121271924936</v>
      </c>
      <c r="N108" s="174">
        <f ca="1">IF(SUMIFS('Merged Trusts and MFF year'!$C$1:$C$24,'Merged Trusts and MFF year'!$A$1:$A$24,$B108,'Merged Trusts and MFF year'!$D$1:$D$24,"2013-14")=0,M108,SUMIFS('Merged Trusts and MFF year'!$C$1:$C$24,'Merged Trusts and MFF year'!$A$1:$A$24,$B108,'Merged Trusts and MFF year'!$D$1:$D$24,"2013-14"))</f>
        <v>1.040121271924936</v>
      </c>
      <c r="O108" s="498">
        <f ca="1">IF(SUMIFS('Merged Trusts and MFF year'!$C$1:$C$24,'Merged Trusts and MFF year'!$A$1:$A$24,$B108,'Merged Trusts and MFF year'!$D$1:$D$24,"2014-15")=0,N108,SUMIFS('Merged Trusts and MFF year'!$C$1:$C$24,'Merged Trusts and MFF year'!$A$1:$A$24,$B108,'Merged Trusts and MFF year'!$D$1:$D$24,"2014-15"))</f>
        <v>1.040121271924936</v>
      </c>
      <c r="P108" s="504">
        <f t="shared" ca="1" si="18"/>
        <v>0</v>
      </c>
      <c r="Q108" s="498">
        <f ca="1">IF(SUMIFS('Merged Trusts and MFF year'!$C$1:$C$24,'Merged Trusts and MFF year'!$A$1:$A$24,$B108,'Merged Trusts and MFF year'!$D$1:$D$24,"2015-16")=0,O108,SUMIFS('Merged Trusts and MFF year'!$C$1:$C$24,'Merged Trusts and MFF year'!$A$1:$A$24,$B108,'Merged Trusts and MFF year'!$D$1:$D$24,"2015-16"))</f>
        <v>1.040121271924936</v>
      </c>
      <c r="R108" s="504">
        <f t="shared" ca="1" si="19"/>
        <v>0</v>
      </c>
      <c r="S108" s="498">
        <f ca="1">IF(SUMIFS('Merged Trusts and MFF year'!$C$1:$C$24,'Merged Trusts and MFF year'!$A$1:$A$24,$B108,'Merged Trusts and MFF year'!$D$1:$D$24,"2016-17")=0,Q108,SUMIFS('Merged Trusts and MFF year'!$C$1:$C$24,'Merged Trusts and MFF year'!$A$1:$A$24,$B108,'Merged Trusts and MFF year'!$D$1:$D$24,"2016-17"))</f>
        <v>1.040121271924936</v>
      </c>
      <c r="T108" s="504">
        <f t="shared" ca="1" si="20"/>
        <v>0</v>
      </c>
      <c r="U108" s="464"/>
    </row>
    <row r="109" spans="1:21" ht="22.5" x14ac:dyDescent="0.2">
      <c r="A109" s="468" t="s">
        <v>3034</v>
      </c>
      <c r="B109" s="468" t="s">
        <v>3513</v>
      </c>
      <c r="C109" s="468" t="s">
        <v>3515</v>
      </c>
      <c r="D109" s="469">
        <f>INDEX('Base MFF calcs'!$I$7:$I$258,MATCH($B109,'Base MFF calcs'!$B$7:$B$258,0),1)</f>
        <v>0.97294416103732129</v>
      </c>
      <c r="E109" s="469">
        <f ca="1">D109/MIN('Base MFF calcs'!$I$7:$I$258)</f>
        <v>1.0503275599094761</v>
      </c>
      <c r="F109" s="469"/>
      <c r="G109" s="512">
        <f t="shared" si="21"/>
        <v>0</v>
      </c>
      <c r="H109" s="469">
        <f t="shared" ca="1" si="22"/>
        <v>1.0503275599094761</v>
      </c>
      <c r="I109" s="502" t="s">
        <v>1176</v>
      </c>
      <c r="J109" s="470"/>
      <c r="K109" s="173">
        <f t="shared" ca="1" si="23"/>
        <v>1.0503275599094761</v>
      </c>
      <c r="L109" s="508">
        <f t="shared" ca="1" si="24"/>
        <v>0</v>
      </c>
      <c r="M109" s="174">
        <f t="shared" ca="1" si="25"/>
        <v>1.0503275599094761</v>
      </c>
      <c r="N109" s="174">
        <f ca="1">IF(SUMIFS('Merged Trusts and MFF year'!$C$1:$C$24,'Merged Trusts and MFF year'!$A$1:$A$24,$B109,'Merged Trusts and MFF year'!$D$1:$D$24,"2013-14")=0,M109,SUMIFS('Merged Trusts and MFF year'!$C$1:$C$24,'Merged Trusts and MFF year'!$A$1:$A$24,$B109,'Merged Trusts and MFF year'!$D$1:$D$24,"2013-14"))</f>
        <v>1.0503275599094761</v>
      </c>
      <c r="O109" s="498">
        <f ca="1">IF(SUMIFS('Merged Trusts and MFF year'!$C$1:$C$24,'Merged Trusts and MFF year'!$A$1:$A$24,$B109,'Merged Trusts and MFF year'!$D$1:$D$24,"2014-15")=0,N109,SUMIFS('Merged Trusts and MFF year'!$C$1:$C$24,'Merged Trusts and MFF year'!$A$1:$A$24,$B109,'Merged Trusts and MFF year'!$D$1:$D$24,"2014-15"))</f>
        <v>1.0503275599094761</v>
      </c>
      <c r="P109" s="504">
        <f t="shared" ca="1" si="18"/>
        <v>0</v>
      </c>
      <c r="Q109" s="498">
        <f ca="1">IF(SUMIFS('Merged Trusts and MFF year'!$C$1:$C$24,'Merged Trusts and MFF year'!$A$1:$A$24,$B109,'Merged Trusts and MFF year'!$D$1:$D$24,"2015-16")=0,O109,SUMIFS('Merged Trusts and MFF year'!$C$1:$C$24,'Merged Trusts and MFF year'!$A$1:$A$24,$B109,'Merged Trusts and MFF year'!$D$1:$D$24,"2015-16"))</f>
        <v>1.0503275599094761</v>
      </c>
      <c r="R109" s="504">
        <f t="shared" ca="1" si="19"/>
        <v>0</v>
      </c>
      <c r="S109" s="498">
        <f ca="1">IF(SUMIFS('Merged Trusts and MFF year'!$C$1:$C$24,'Merged Trusts and MFF year'!$A$1:$A$24,$B109,'Merged Trusts and MFF year'!$D$1:$D$24,"2016-17")=0,Q109,SUMIFS('Merged Trusts and MFF year'!$C$1:$C$24,'Merged Trusts and MFF year'!$A$1:$A$24,$B109,'Merged Trusts and MFF year'!$D$1:$D$24,"2016-17"))</f>
        <v>1.0503275599094761</v>
      </c>
      <c r="T109" s="504">
        <f t="shared" ca="1" si="20"/>
        <v>0</v>
      </c>
      <c r="U109" s="459" t="s">
        <v>4214</v>
      </c>
    </row>
    <row r="110" spans="1:21" ht="12.75" customHeight="1" x14ac:dyDescent="0.2">
      <c r="A110" s="171" t="s">
        <v>3034</v>
      </c>
      <c r="B110" s="172" t="s">
        <v>363</v>
      </c>
      <c r="C110" s="172" t="s">
        <v>364</v>
      </c>
      <c r="D110" s="175">
        <f>INDEX('Base MFF calcs'!$I$7:$I$258,MATCH($B110,'Base MFF calcs'!$B$7:$B$258,0),1)</f>
        <v>0.96902598698067988</v>
      </c>
      <c r="E110" s="176">
        <f ca="1">D110/MIN('Base MFF calcs'!$I$7:$I$258)</f>
        <v>1.0460977527314104</v>
      </c>
      <c r="F110" s="176">
        <v>1.046098</v>
      </c>
      <c r="G110" s="511">
        <f t="shared" ca="1" si="21"/>
        <v>-2.3637229940032256E-7</v>
      </c>
      <c r="H110" s="174">
        <f t="shared" ca="1" si="22"/>
        <v>1.0460977527314104</v>
      </c>
      <c r="I110" s="501">
        <v>1.046098</v>
      </c>
      <c r="J110" s="177"/>
      <c r="K110" s="173">
        <f t="shared" ca="1" si="23"/>
        <v>1.0460977527314104</v>
      </c>
      <c r="L110" s="508">
        <f t="shared" ca="1" si="24"/>
        <v>0</v>
      </c>
      <c r="M110" s="174">
        <f t="shared" ca="1" si="25"/>
        <v>1.0460977527314104</v>
      </c>
      <c r="N110" s="174">
        <f ca="1">IF(SUMIFS('Merged Trusts and MFF year'!$C$1:$C$24,'Merged Trusts and MFF year'!$A$1:$A$24,$B110,'Merged Trusts and MFF year'!$D$1:$D$24,"2013-14")=0,M110,SUMIFS('Merged Trusts and MFF year'!$C$1:$C$24,'Merged Trusts and MFF year'!$A$1:$A$24,$B110,'Merged Trusts and MFF year'!$D$1:$D$24,"2013-14"))</f>
        <v>1.0460977527314104</v>
      </c>
      <c r="O110" s="498">
        <f ca="1">IF(SUMIFS('Merged Trusts and MFF year'!$C$1:$C$24,'Merged Trusts and MFF year'!$A$1:$A$24,$B110,'Merged Trusts and MFF year'!$D$1:$D$24,"2014-15")=0,N110,SUMIFS('Merged Trusts and MFF year'!$C$1:$C$24,'Merged Trusts and MFF year'!$A$1:$A$24,$B110,'Merged Trusts and MFF year'!$D$1:$D$24,"2014-15"))</f>
        <v>1.0460977527314104</v>
      </c>
      <c r="P110" s="504">
        <f t="shared" ca="1" si="18"/>
        <v>0</v>
      </c>
      <c r="Q110" s="498">
        <f ca="1">IF(SUMIFS('Merged Trusts and MFF year'!$C$1:$C$24,'Merged Trusts and MFF year'!$A$1:$A$24,$B110,'Merged Trusts and MFF year'!$D$1:$D$24,"2015-16")=0,O110,SUMIFS('Merged Trusts and MFF year'!$C$1:$C$24,'Merged Trusts and MFF year'!$A$1:$A$24,$B110,'Merged Trusts and MFF year'!$D$1:$D$24,"2015-16"))</f>
        <v>1.0460977527314104</v>
      </c>
      <c r="R110" s="504">
        <f t="shared" ca="1" si="19"/>
        <v>0</v>
      </c>
      <c r="S110" s="498">
        <f ca="1">IF(SUMIFS('Merged Trusts and MFF year'!$C$1:$C$24,'Merged Trusts and MFF year'!$A$1:$A$24,$B110,'Merged Trusts and MFF year'!$D$1:$D$24,"2016-17")=0,Q110,SUMIFS('Merged Trusts and MFF year'!$C$1:$C$24,'Merged Trusts and MFF year'!$A$1:$A$24,$B110,'Merged Trusts and MFF year'!$D$1:$D$24,"2016-17"))</f>
        <v>1.0460977527314104</v>
      </c>
      <c r="T110" s="504">
        <f t="shared" ca="1" si="20"/>
        <v>0</v>
      </c>
      <c r="U110" s="459"/>
    </row>
    <row r="111" spans="1:21" ht="12.75" customHeight="1" x14ac:dyDescent="0.2">
      <c r="A111" s="171" t="s">
        <v>3069</v>
      </c>
      <c r="B111" s="172" t="s">
        <v>365</v>
      </c>
      <c r="C111" s="172" t="s">
        <v>366</v>
      </c>
      <c r="D111" s="175">
        <f>INDEX('Base MFF calcs'!$I$7:$I$258,MATCH($B111,'Base MFF calcs'!$B$7:$B$258,0),1)</f>
        <v>0.96638737698108446</v>
      </c>
      <c r="E111" s="176">
        <f ca="1">D111/MIN('Base MFF calcs'!$I$7:$I$258)</f>
        <v>1.0432492801125162</v>
      </c>
      <c r="F111" s="176">
        <v>1.0432490000000001</v>
      </c>
      <c r="G111" s="511">
        <f t="shared" ca="1" si="21"/>
        <v>2.6850015300006191E-7</v>
      </c>
      <c r="H111" s="174">
        <f t="shared" ca="1" si="22"/>
        <v>1.0432492801125162</v>
      </c>
      <c r="I111" s="501">
        <v>1.0432489999999999</v>
      </c>
      <c r="J111" s="177"/>
      <c r="K111" s="173">
        <f t="shared" ca="1" si="23"/>
        <v>1.0432492801125162</v>
      </c>
      <c r="L111" s="508">
        <f t="shared" ca="1" si="24"/>
        <v>0</v>
      </c>
      <c r="M111" s="174">
        <f t="shared" ca="1" si="25"/>
        <v>1.0432492801125162</v>
      </c>
      <c r="N111" s="174">
        <f ca="1">IF(SUMIFS('Merged Trusts and MFF year'!$C$1:$C$24,'Merged Trusts and MFF year'!$A$1:$A$24,$B111,'Merged Trusts and MFF year'!$D$1:$D$24,"2013-14")=0,M111,SUMIFS('Merged Trusts and MFF year'!$C$1:$C$24,'Merged Trusts and MFF year'!$A$1:$A$24,$B111,'Merged Trusts and MFF year'!$D$1:$D$24,"2013-14"))</f>
        <v>1.0432492801125162</v>
      </c>
      <c r="O111" s="498">
        <f ca="1">IF(SUMIFS('Merged Trusts and MFF year'!$C$1:$C$24,'Merged Trusts and MFF year'!$A$1:$A$24,$B111,'Merged Trusts and MFF year'!$D$1:$D$24,"2014-15")=0,N111,SUMIFS('Merged Trusts and MFF year'!$C$1:$C$24,'Merged Trusts and MFF year'!$A$1:$A$24,$B111,'Merged Trusts and MFF year'!$D$1:$D$24,"2014-15"))</f>
        <v>1.0432492801125162</v>
      </c>
      <c r="P111" s="504">
        <f t="shared" ca="1" si="18"/>
        <v>0</v>
      </c>
      <c r="Q111" s="498">
        <f ca="1">IF(SUMIFS('Merged Trusts and MFF year'!$C$1:$C$24,'Merged Trusts and MFF year'!$A$1:$A$24,$B111,'Merged Trusts and MFF year'!$D$1:$D$24,"2015-16")=0,O111,SUMIFS('Merged Trusts and MFF year'!$C$1:$C$24,'Merged Trusts and MFF year'!$A$1:$A$24,$B111,'Merged Trusts and MFF year'!$D$1:$D$24,"2015-16"))</f>
        <v>1.0432492801125162</v>
      </c>
      <c r="R111" s="504">
        <f t="shared" ca="1" si="19"/>
        <v>0</v>
      </c>
      <c r="S111" s="498">
        <f ca="1">IF(SUMIFS('Merged Trusts and MFF year'!$C$1:$C$24,'Merged Trusts and MFF year'!$A$1:$A$24,$B111,'Merged Trusts and MFF year'!$D$1:$D$24,"2016-17")=0,Q111,SUMIFS('Merged Trusts and MFF year'!$C$1:$C$24,'Merged Trusts and MFF year'!$A$1:$A$24,$B111,'Merged Trusts and MFF year'!$D$1:$D$24,"2016-17"))</f>
        <v>1.0432492801125162</v>
      </c>
      <c r="T111" s="504">
        <f t="shared" ca="1" si="20"/>
        <v>0</v>
      </c>
      <c r="U111" s="459"/>
    </row>
    <row r="112" spans="1:21" ht="22.5" x14ac:dyDescent="0.2">
      <c r="A112" s="171" t="s">
        <v>1167</v>
      </c>
      <c r="B112" s="172" t="s">
        <v>600</v>
      </c>
      <c r="C112" s="468" t="s">
        <v>1298</v>
      </c>
      <c r="D112" s="175">
        <f>INDEX('Base MFF calcs'!$I$7:$I$258,MATCH($B112,'Base MFF calcs'!$B$7:$B$258,0),1)</f>
        <v>1.1231766602930393</v>
      </c>
      <c r="E112" s="176">
        <f ca="1">D112/MIN('Base MFF calcs'!$I$7:$I$258)</f>
        <v>1.2125088450041175</v>
      </c>
      <c r="F112" s="176">
        <v>1.2125090000000001</v>
      </c>
      <c r="G112" s="511">
        <f t="shared" ca="1" si="21"/>
        <v>-1.2783070690858267E-7</v>
      </c>
      <c r="H112" s="174">
        <f t="shared" ca="1" si="22"/>
        <v>1.2125088450041175</v>
      </c>
      <c r="I112" s="501">
        <v>1.2125089999999998</v>
      </c>
      <c r="J112" s="177"/>
      <c r="K112" s="173">
        <f t="shared" ca="1" si="23"/>
        <v>1.2125088450041175</v>
      </c>
      <c r="L112" s="508">
        <f t="shared" ca="1" si="24"/>
        <v>0</v>
      </c>
      <c r="M112" s="174">
        <f t="shared" ca="1" si="25"/>
        <v>1.2125088450041175</v>
      </c>
      <c r="N112" s="174">
        <f ca="1">IF(SUMIFS('Merged Trusts and MFF year'!$C$1:$C$24,'Merged Trusts and MFF year'!$A$1:$A$24,$B112,'Merged Trusts and MFF year'!$D$1:$D$24,"2013-14")=0,M112,SUMIFS('Merged Trusts and MFF year'!$C$1:$C$24,'Merged Trusts and MFF year'!$A$1:$A$24,$B112,'Merged Trusts and MFF year'!$D$1:$D$24,"2013-14"))</f>
        <v>1.2125088450041175</v>
      </c>
      <c r="O112" s="498">
        <f ca="1">IF(SUMIFS('Merged Trusts and MFF year'!$C$1:$C$24,'Merged Trusts and MFF year'!$A$1:$A$24,$B112,'Merged Trusts and MFF year'!$D$1:$D$24,"2014-15")=0,N112,SUMIFS('Merged Trusts and MFF year'!$C$1:$C$24,'Merged Trusts and MFF year'!$A$1:$A$24,$B112,'Merged Trusts and MFF year'!$D$1:$D$24,"2014-15"))</f>
        <v>1.2043007239644323</v>
      </c>
      <c r="P112" s="504">
        <f t="shared" ca="1" si="18"/>
        <v>-6.7695349798930771E-3</v>
      </c>
      <c r="Q112" s="498">
        <f ca="1">IF(SUMIFS('Merged Trusts and MFF year'!$C$1:$C$24,'Merged Trusts and MFF year'!$A$1:$A$24,$B112,'Merged Trusts and MFF year'!$D$1:$D$24,"2015-16")=0,O112,SUMIFS('Merged Trusts and MFF year'!$C$1:$C$24,'Merged Trusts and MFF year'!$A$1:$A$24,$B112,'Merged Trusts and MFF year'!$D$1:$D$24,"2015-16"))</f>
        <v>1.2043007239644323</v>
      </c>
      <c r="R112" s="504">
        <f t="shared" ca="1" si="19"/>
        <v>0</v>
      </c>
      <c r="S112" s="498">
        <f ca="1">IF(SUMIFS('Merged Trusts and MFF year'!$C$1:$C$24,'Merged Trusts and MFF year'!$A$1:$A$24,$B112,'Merged Trusts and MFF year'!$D$1:$D$24,"2016-17")=0,Q112,SUMIFS('Merged Trusts and MFF year'!$C$1:$C$24,'Merged Trusts and MFF year'!$A$1:$A$24,$B112,'Merged Trusts and MFF year'!$D$1:$D$24,"2016-17"))</f>
        <v>1.2043007239644323</v>
      </c>
      <c r="T112" s="504">
        <f t="shared" ca="1" si="20"/>
        <v>0</v>
      </c>
      <c r="U112" s="459" t="s">
        <v>4216</v>
      </c>
    </row>
    <row r="113" spans="1:21" ht="12.75" customHeight="1" x14ac:dyDescent="0.2">
      <c r="A113" s="468" t="s">
        <v>3069</v>
      </c>
      <c r="B113" s="468" t="s">
        <v>367</v>
      </c>
      <c r="C113" s="468" t="s">
        <v>368</v>
      </c>
      <c r="D113" s="469">
        <f>INDEX('Base MFF calcs'!$I$7:$I$258,MATCH($B113,'Base MFF calcs'!$B$7:$B$258,0),1)</f>
        <v>0.94070354892207475</v>
      </c>
      <c r="E113" s="469">
        <f ca="1">D113/MIN('Base MFF calcs'!$I$7:$I$258)</f>
        <v>1.0155226812647542</v>
      </c>
      <c r="F113" s="469"/>
      <c r="G113" s="512">
        <f t="shared" si="21"/>
        <v>0</v>
      </c>
      <c r="H113" s="469">
        <f t="shared" ca="1" si="22"/>
        <v>1.0155226812647542</v>
      </c>
      <c r="I113" s="502">
        <v>1.015523</v>
      </c>
      <c r="J113" s="470"/>
      <c r="K113" s="173">
        <f t="shared" ca="1" si="23"/>
        <v>1.0155226812647542</v>
      </c>
      <c r="L113" s="508">
        <f t="shared" ca="1" si="24"/>
        <v>0</v>
      </c>
      <c r="M113" s="174">
        <f t="shared" ca="1" si="25"/>
        <v>1.0155226812647542</v>
      </c>
      <c r="N113" s="174">
        <f ca="1">IF(SUMIFS('Merged Trusts and MFF year'!$C$1:$C$24,'Merged Trusts and MFF year'!$A$1:$A$24,$B113,'Merged Trusts and MFF year'!$D$1:$D$24,"2013-14")=0,M113,SUMIFS('Merged Trusts and MFF year'!$C$1:$C$24,'Merged Trusts and MFF year'!$A$1:$A$24,$B113,'Merged Trusts and MFF year'!$D$1:$D$24,"2013-14"))</f>
        <v>1.0155226812647542</v>
      </c>
      <c r="O113" s="498">
        <f ca="1">IF(SUMIFS('Merged Trusts and MFF year'!$C$1:$C$24,'Merged Trusts and MFF year'!$A$1:$A$24,$B113,'Merged Trusts and MFF year'!$D$1:$D$24,"2014-15")=0,N113,SUMIFS('Merged Trusts and MFF year'!$C$1:$C$24,'Merged Trusts and MFF year'!$A$1:$A$24,$B113,'Merged Trusts and MFF year'!$D$1:$D$24,"2014-15"))</f>
        <v>1.0155226812647542</v>
      </c>
      <c r="P113" s="504">
        <f t="shared" ca="1" si="18"/>
        <v>0</v>
      </c>
      <c r="Q113" s="498">
        <f ca="1">IF(SUMIFS('Merged Trusts and MFF year'!$C$1:$C$24,'Merged Trusts and MFF year'!$A$1:$A$24,$B113,'Merged Trusts and MFF year'!$D$1:$D$24,"2015-16")=0,O113,SUMIFS('Merged Trusts and MFF year'!$C$1:$C$24,'Merged Trusts and MFF year'!$A$1:$A$24,$B113,'Merged Trusts and MFF year'!$D$1:$D$24,"2015-16"))</f>
        <v>1.0155226812647542</v>
      </c>
      <c r="R113" s="504">
        <f t="shared" ca="1" si="19"/>
        <v>0</v>
      </c>
      <c r="S113" s="498">
        <f ca="1">IF(SUMIFS('Merged Trusts and MFF year'!$C$1:$C$24,'Merged Trusts and MFF year'!$A$1:$A$24,$B113,'Merged Trusts and MFF year'!$D$1:$D$24,"2016-17")=0,Q113,SUMIFS('Merged Trusts and MFF year'!$C$1:$C$24,'Merged Trusts and MFF year'!$A$1:$A$24,$B113,'Merged Trusts and MFF year'!$D$1:$D$24,"2016-17"))</f>
        <v>1.0155226812647542</v>
      </c>
      <c r="T113" s="504">
        <f t="shared" ca="1" si="20"/>
        <v>0</v>
      </c>
      <c r="U113" s="472"/>
    </row>
    <row r="114" spans="1:21" ht="12.75" customHeight="1" x14ac:dyDescent="0.2">
      <c r="A114" s="171" t="s">
        <v>3069</v>
      </c>
      <c r="B114" s="172" t="s">
        <v>369</v>
      </c>
      <c r="C114" s="386" t="s">
        <v>370</v>
      </c>
      <c r="D114" s="175">
        <f>INDEX('Base MFF calcs'!$I$7:$I$258,MATCH($B114,'Base MFF calcs'!$B$7:$B$258,0),1)</f>
        <v>0.94114958136868987</v>
      </c>
      <c r="E114" s="176">
        <f ca="1">D114/MIN('Base MFF calcs'!$I$7:$I$258)</f>
        <v>1.0160041890326761</v>
      </c>
      <c r="F114" s="176">
        <v>1.0160039999999999</v>
      </c>
      <c r="G114" s="511">
        <f t="shared" ca="1" si="21"/>
        <v>1.8605505114344112E-7</v>
      </c>
      <c r="H114" s="174">
        <f t="shared" ca="1" si="22"/>
        <v>1.0160041890326761</v>
      </c>
      <c r="I114" s="501">
        <v>1.0160039999999999</v>
      </c>
      <c r="J114" s="177"/>
      <c r="K114" s="173">
        <f t="shared" ca="1" si="23"/>
        <v>1.0160041890326761</v>
      </c>
      <c r="L114" s="508">
        <f t="shared" ca="1" si="24"/>
        <v>0</v>
      </c>
      <c r="M114" s="174">
        <f t="shared" ca="1" si="25"/>
        <v>1.0160041890326761</v>
      </c>
      <c r="N114" s="174">
        <f ca="1">IF(SUMIFS('Merged Trusts and MFF year'!$C$1:$C$24,'Merged Trusts and MFF year'!$A$1:$A$24,$B114,'Merged Trusts and MFF year'!$D$1:$D$24,"2013-14")=0,M114,SUMIFS('Merged Trusts and MFF year'!$C$1:$C$24,'Merged Trusts and MFF year'!$A$1:$A$24,$B114,'Merged Trusts and MFF year'!$D$1:$D$24,"2013-14"))</f>
        <v>1.0160041890326761</v>
      </c>
      <c r="O114" s="498">
        <f ca="1">IF(SUMIFS('Merged Trusts and MFF year'!$C$1:$C$24,'Merged Trusts and MFF year'!$A$1:$A$24,$B114,'Merged Trusts and MFF year'!$D$1:$D$24,"2014-15")=0,N114,SUMIFS('Merged Trusts and MFF year'!$C$1:$C$24,'Merged Trusts and MFF year'!$A$1:$A$24,$B114,'Merged Trusts and MFF year'!$D$1:$D$24,"2014-15"))</f>
        <v>1.0160041890326761</v>
      </c>
      <c r="P114" s="504">
        <f t="shared" ca="1" si="18"/>
        <v>0</v>
      </c>
      <c r="Q114" s="498">
        <f ca="1">IF(SUMIFS('Merged Trusts and MFF year'!$C$1:$C$24,'Merged Trusts and MFF year'!$A$1:$A$24,$B114,'Merged Trusts and MFF year'!$D$1:$D$24,"2015-16")=0,O114,SUMIFS('Merged Trusts and MFF year'!$C$1:$C$24,'Merged Trusts and MFF year'!$A$1:$A$24,$B114,'Merged Trusts and MFF year'!$D$1:$D$24,"2015-16"))</f>
        <v>1.0160041890326761</v>
      </c>
      <c r="R114" s="504">
        <f t="shared" ca="1" si="19"/>
        <v>0</v>
      </c>
      <c r="S114" s="498">
        <f ca="1">IF(SUMIFS('Merged Trusts and MFF year'!$C$1:$C$24,'Merged Trusts and MFF year'!$A$1:$A$24,$B114,'Merged Trusts and MFF year'!$D$1:$D$24,"2016-17")=0,Q114,SUMIFS('Merged Trusts and MFF year'!$C$1:$C$24,'Merged Trusts and MFF year'!$A$1:$A$24,$B114,'Merged Trusts and MFF year'!$D$1:$D$24,"2016-17"))</f>
        <v>1.0160041890326761</v>
      </c>
      <c r="T114" s="504">
        <f t="shared" ca="1" si="20"/>
        <v>0</v>
      </c>
      <c r="U114" s="459"/>
    </row>
    <row r="115" spans="1:21" ht="12.75" customHeight="1" x14ac:dyDescent="0.2">
      <c r="A115" s="468" t="s">
        <v>2975</v>
      </c>
      <c r="B115" s="467" t="s">
        <v>371</v>
      </c>
      <c r="C115" s="468" t="s">
        <v>372</v>
      </c>
      <c r="D115" s="469">
        <f>INDEX('Base MFF calcs'!$I$7:$I$258,MATCH($B115,'Base MFF calcs'!$B$7:$B$258,0),1)</f>
        <v>0.9670564572387037</v>
      </c>
      <c r="E115" s="469">
        <f ca="1">D115/MIN('Base MFF calcs'!$I$7:$I$258)</f>
        <v>1.0439715758644323</v>
      </c>
      <c r="F115" s="469"/>
      <c r="G115" s="512">
        <f t="shared" si="21"/>
        <v>0</v>
      </c>
      <c r="H115" s="469">
        <f t="shared" ca="1" si="22"/>
        <v>1.0439715758644323</v>
      </c>
      <c r="I115" s="502">
        <v>1.0439719999999999</v>
      </c>
      <c r="J115" s="470"/>
      <c r="K115" s="173">
        <f t="shared" ca="1" si="23"/>
        <v>1.0439715758644323</v>
      </c>
      <c r="L115" s="508">
        <f t="shared" ca="1" si="24"/>
        <v>0</v>
      </c>
      <c r="M115" s="174">
        <f t="shared" ca="1" si="25"/>
        <v>1.0439715758644323</v>
      </c>
      <c r="N115" s="174">
        <f ca="1">IF(SUMIFS('Merged Trusts and MFF year'!$C$1:$C$24,'Merged Trusts and MFF year'!$A$1:$A$24,$B115,'Merged Trusts and MFF year'!$D$1:$D$24,"2013-14")=0,M115,SUMIFS('Merged Trusts and MFF year'!$C$1:$C$24,'Merged Trusts and MFF year'!$A$1:$A$24,$B115,'Merged Trusts and MFF year'!$D$1:$D$24,"2013-14"))</f>
        <v>1.0439715758644323</v>
      </c>
      <c r="O115" s="498">
        <f ca="1">IF(SUMIFS('Merged Trusts and MFF year'!$C$1:$C$24,'Merged Trusts and MFF year'!$A$1:$A$24,$B115,'Merged Trusts and MFF year'!$D$1:$D$24,"2014-15")=0,N115,SUMIFS('Merged Trusts and MFF year'!$C$1:$C$24,'Merged Trusts and MFF year'!$A$1:$A$24,$B115,'Merged Trusts and MFF year'!$D$1:$D$24,"2014-15"))</f>
        <v>1.0439715758644323</v>
      </c>
      <c r="P115" s="504">
        <f t="shared" ca="1" si="18"/>
        <v>0</v>
      </c>
      <c r="Q115" s="498">
        <f ca="1">IF(SUMIFS('Merged Trusts and MFF year'!$C$1:$C$24,'Merged Trusts and MFF year'!$A$1:$A$24,$B115,'Merged Trusts and MFF year'!$D$1:$D$24,"2015-16")=0,O115,SUMIFS('Merged Trusts and MFF year'!$C$1:$C$24,'Merged Trusts and MFF year'!$A$1:$A$24,$B115,'Merged Trusts and MFF year'!$D$1:$D$24,"2015-16"))</f>
        <v>1.0439715758644323</v>
      </c>
      <c r="R115" s="504">
        <f t="shared" ca="1" si="19"/>
        <v>0</v>
      </c>
      <c r="S115" s="498">
        <f ca="1">IF(SUMIFS('Merged Trusts and MFF year'!$C$1:$C$24,'Merged Trusts and MFF year'!$A$1:$A$24,$B115,'Merged Trusts and MFF year'!$D$1:$D$24,"2016-17")=0,Q115,SUMIFS('Merged Trusts and MFF year'!$C$1:$C$24,'Merged Trusts and MFF year'!$A$1:$A$24,$B115,'Merged Trusts and MFF year'!$D$1:$D$24,"2016-17"))</f>
        <v>1.0439715758644323</v>
      </c>
      <c r="T115" s="504">
        <f t="shared" ca="1" si="20"/>
        <v>0</v>
      </c>
      <c r="U115" s="472"/>
    </row>
    <row r="116" spans="1:21" ht="12.75" customHeight="1" x14ac:dyDescent="0.2">
      <c r="A116" s="171" t="s">
        <v>2975</v>
      </c>
      <c r="B116" s="172" t="s">
        <v>373</v>
      </c>
      <c r="C116" s="172" t="s">
        <v>374</v>
      </c>
      <c r="D116" s="175">
        <f>INDEX('Base MFF calcs'!$I$7:$I$258,MATCH($B116,'Base MFF calcs'!$B$7:$B$258,0),1)</f>
        <v>0.96501670707907627</v>
      </c>
      <c r="E116" s="176">
        <f ca="1">D116/MIN('Base MFF calcs'!$I$7:$I$258)</f>
        <v>1.041769593578314</v>
      </c>
      <c r="F116" s="176">
        <v>1.0417700000000001</v>
      </c>
      <c r="G116" s="511">
        <f t="shared" ref="G116:G118" ca="1" si="26">IF(F116="",0,E116/F116-1)</f>
        <v>-3.9012611807720532E-7</v>
      </c>
      <c r="H116" s="174">
        <f t="shared" ref="H116:H118" ca="1" si="27">IF(ISERR(G116),E116,IF(G116&gt;2%,F116*1.02,IF(G116&lt;-2%,F116*0.98,E116)))</f>
        <v>1.041769593578314</v>
      </c>
      <c r="I116" s="501">
        <v>1.0417699999999999</v>
      </c>
      <c r="J116" s="177"/>
      <c r="K116" s="173">
        <f t="shared" ca="1" si="23"/>
        <v>1.041769593578314</v>
      </c>
      <c r="L116" s="508">
        <f t="shared" ref="L116:L118" ca="1" si="28">IF(K116="Merged","N/A",K116/H116-1)</f>
        <v>0</v>
      </c>
      <c r="M116" s="174">
        <f t="shared" ref="M116:M118" ca="1" si="29">IF(L116="N/A",K116,IF(L116&gt;2%,1.02*H116,IF(L116&lt;-2%,0.98*H116,K116)))</f>
        <v>1.041769593578314</v>
      </c>
      <c r="N116" s="174">
        <f ca="1">IF(SUMIFS('Merged Trusts and MFF year'!$C$1:$C$24,'Merged Trusts and MFF year'!$A$1:$A$24,$B116,'Merged Trusts and MFF year'!$D$1:$D$24,"2013-14")=0,M116,SUMIFS('Merged Trusts and MFF year'!$C$1:$C$24,'Merged Trusts and MFF year'!$A$1:$A$24,$B116,'Merged Trusts and MFF year'!$D$1:$D$24,"2013-14"))</f>
        <v>1.041769593578314</v>
      </c>
      <c r="O116" s="498">
        <f ca="1">IF(SUMIFS('Merged Trusts and MFF year'!$C$1:$C$24,'Merged Trusts and MFF year'!$A$1:$A$24,$B116,'Merged Trusts and MFF year'!$D$1:$D$24,"2014-15")=0,N116,SUMIFS('Merged Trusts and MFF year'!$C$1:$C$24,'Merged Trusts and MFF year'!$A$1:$A$24,$B116,'Merged Trusts and MFF year'!$D$1:$D$24,"2014-15"))</f>
        <v>1.041769593578314</v>
      </c>
      <c r="P116" s="504">
        <f t="shared" ca="1" si="18"/>
        <v>0</v>
      </c>
      <c r="Q116" s="498">
        <f ca="1">IF(SUMIFS('Merged Trusts and MFF year'!$C$1:$C$24,'Merged Trusts and MFF year'!$A$1:$A$24,$B116,'Merged Trusts and MFF year'!$D$1:$D$24,"2015-16")=0,O116,SUMIFS('Merged Trusts and MFF year'!$C$1:$C$24,'Merged Trusts and MFF year'!$A$1:$A$24,$B116,'Merged Trusts and MFF year'!$D$1:$D$24,"2015-16"))</f>
        <v>1.041769593578314</v>
      </c>
      <c r="R116" s="504">
        <f t="shared" ca="1" si="19"/>
        <v>0</v>
      </c>
      <c r="S116" s="498">
        <f ca="1">IF(SUMIFS('Merged Trusts and MFF year'!$C$1:$C$24,'Merged Trusts and MFF year'!$A$1:$A$24,$B116,'Merged Trusts and MFF year'!$D$1:$D$24,"2016-17")=0,Q116,SUMIFS('Merged Trusts and MFF year'!$C$1:$C$24,'Merged Trusts and MFF year'!$A$1:$A$24,$B116,'Merged Trusts and MFF year'!$D$1:$D$24,"2016-17"))</f>
        <v>1.041769593578314</v>
      </c>
      <c r="T116" s="504">
        <f t="shared" ca="1" si="20"/>
        <v>0</v>
      </c>
      <c r="U116" s="459"/>
    </row>
    <row r="117" spans="1:21" ht="12.75" customHeight="1" x14ac:dyDescent="0.2">
      <c r="A117" s="171" t="s">
        <v>2975</v>
      </c>
      <c r="B117" s="172" t="s">
        <v>375</v>
      </c>
      <c r="C117" s="172" t="s">
        <v>376</v>
      </c>
      <c r="D117" s="175">
        <f>INDEX('Base MFF calcs'!$I$7:$I$258,MATCH($B117,'Base MFF calcs'!$B$7:$B$258,0),1)</f>
        <v>0.96379437288669156</v>
      </c>
      <c r="E117" s="176">
        <f ca="1">D117/MIN('Base MFF calcs'!$I$7:$I$258)</f>
        <v>1.040450040677855</v>
      </c>
      <c r="F117" s="176">
        <v>1.0404500000000001</v>
      </c>
      <c r="G117" s="511">
        <f t="shared" ca="1" si="26"/>
        <v>3.9096405224370301E-8</v>
      </c>
      <c r="H117" s="174">
        <f t="shared" ca="1" si="27"/>
        <v>1.040450040677855</v>
      </c>
      <c r="I117" s="501">
        <v>1.0404499999999999</v>
      </c>
      <c r="J117" s="177"/>
      <c r="K117" s="173">
        <f t="shared" ca="1" si="23"/>
        <v>1.040450040677855</v>
      </c>
      <c r="L117" s="508">
        <f t="shared" ca="1" si="28"/>
        <v>0</v>
      </c>
      <c r="M117" s="174">
        <f t="shared" ca="1" si="29"/>
        <v>1.040450040677855</v>
      </c>
      <c r="N117" s="174">
        <f ca="1">IF(SUMIFS('Merged Trusts and MFF year'!$C$1:$C$24,'Merged Trusts and MFF year'!$A$1:$A$24,$B117,'Merged Trusts and MFF year'!$D$1:$D$24,"2013-14")=0,M117,SUMIFS('Merged Trusts and MFF year'!$C$1:$C$24,'Merged Trusts and MFF year'!$A$1:$A$24,$B117,'Merged Trusts and MFF year'!$D$1:$D$24,"2013-14"))</f>
        <v>1.040450040677855</v>
      </c>
      <c r="O117" s="498">
        <f ca="1">IF(SUMIFS('Merged Trusts and MFF year'!$C$1:$C$24,'Merged Trusts and MFF year'!$A$1:$A$24,$B117,'Merged Trusts and MFF year'!$D$1:$D$24,"2014-15")=0,N117,SUMIFS('Merged Trusts and MFF year'!$C$1:$C$24,'Merged Trusts and MFF year'!$A$1:$A$24,$B117,'Merged Trusts and MFF year'!$D$1:$D$24,"2014-15"))</f>
        <v>1.040450040677855</v>
      </c>
      <c r="P117" s="504">
        <f t="shared" ca="1" si="18"/>
        <v>0</v>
      </c>
      <c r="Q117" s="498">
        <f ca="1">IF(SUMIFS('Merged Trusts and MFF year'!$C$1:$C$24,'Merged Trusts and MFF year'!$A$1:$A$24,$B117,'Merged Trusts and MFF year'!$D$1:$D$24,"2015-16")=0,O117,SUMIFS('Merged Trusts and MFF year'!$C$1:$C$24,'Merged Trusts and MFF year'!$A$1:$A$24,$B117,'Merged Trusts and MFF year'!$D$1:$D$24,"2015-16"))</f>
        <v>1.040450040677855</v>
      </c>
      <c r="R117" s="504">
        <f t="shared" ca="1" si="19"/>
        <v>0</v>
      </c>
      <c r="S117" s="498">
        <f ca="1">IF(SUMIFS('Merged Trusts and MFF year'!$C$1:$C$24,'Merged Trusts and MFF year'!$A$1:$A$24,$B117,'Merged Trusts and MFF year'!$D$1:$D$24,"2016-17")=0,Q117,SUMIFS('Merged Trusts and MFF year'!$C$1:$C$24,'Merged Trusts and MFF year'!$A$1:$A$24,$B117,'Merged Trusts and MFF year'!$D$1:$D$24,"2016-17"))</f>
        <v>1.040450040677855</v>
      </c>
      <c r="T117" s="504">
        <f t="shared" ca="1" si="20"/>
        <v>0</v>
      </c>
      <c r="U117" s="459"/>
    </row>
    <row r="118" spans="1:21" x14ac:dyDescent="0.2">
      <c r="A118" s="172" t="s">
        <v>1167</v>
      </c>
      <c r="B118" s="171" t="s">
        <v>377</v>
      </c>
      <c r="C118" s="174" t="s">
        <v>378</v>
      </c>
      <c r="D118" s="174">
        <f>INDEX('Base MFF calcs'!$I$7:$I$258,MATCH($B118,'Base MFF calcs'!$B$7:$B$258,0),1)</f>
        <v>1.1083351881485379</v>
      </c>
      <c r="E118" s="176">
        <f ca="1">D118/MIN('Base MFF calcs'!$I$7:$I$258)</f>
        <v>1.1964869520247929</v>
      </c>
      <c r="F118" s="175">
        <v>1.1964870000000001</v>
      </c>
      <c r="G118" s="513">
        <f t="shared" ca="1" si="26"/>
        <v>-4.0096722386806505E-8</v>
      </c>
      <c r="H118" s="174">
        <f t="shared" ca="1" si="27"/>
        <v>1.1964869520247929</v>
      </c>
      <c r="I118" s="501">
        <v>1.1964869999999999</v>
      </c>
      <c r="J118" s="177"/>
      <c r="K118" s="173">
        <f t="shared" ca="1" si="23"/>
        <v>1.1964869520247929</v>
      </c>
      <c r="L118" s="508">
        <f t="shared" ca="1" si="28"/>
        <v>0</v>
      </c>
      <c r="M118" s="174">
        <f t="shared" ca="1" si="29"/>
        <v>1.1964869520247929</v>
      </c>
      <c r="N118" s="174">
        <f ca="1">IF(SUMIFS('Merged Trusts and MFF year'!$C$1:$C$24,'Merged Trusts and MFF year'!$A$1:$A$24,$B118,'Merged Trusts and MFF year'!$D$1:$D$24,"2013-14")=0,M118,SUMIFS('Merged Trusts and MFF year'!$C$1:$C$24,'Merged Trusts and MFF year'!$A$1:$A$24,$B118,'Merged Trusts and MFF year'!$D$1:$D$24,"2013-14"))</f>
        <v>1.1964869520247929</v>
      </c>
      <c r="O118" s="498">
        <f ca="1">IF(SUMIFS('Merged Trusts and MFF year'!$C$1:$C$24,'Merged Trusts and MFF year'!$A$1:$A$24,$B118,'Merged Trusts and MFF year'!$D$1:$D$24,"2014-15")=0,N118,SUMIFS('Merged Trusts and MFF year'!$C$1:$C$24,'Merged Trusts and MFF year'!$A$1:$A$24,$B118,'Merged Trusts and MFF year'!$D$1:$D$24,"2014-15"))</f>
        <v>1.1964869520247929</v>
      </c>
      <c r="P118" s="504">
        <f t="shared" ca="1" si="18"/>
        <v>0</v>
      </c>
      <c r="Q118" s="498">
        <f ca="1">IF(SUMIFS('Merged Trusts and MFF year'!$C$1:$C$24,'Merged Trusts and MFF year'!$A$1:$A$24,$B118,'Merged Trusts and MFF year'!$D$1:$D$24,"2015-16")=0,O118,SUMIFS('Merged Trusts and MFF year'!$C$1:$C$24,'Merged Trusts and MFF year'!$A$1:$A$24,$B118,'Merged Trusts and MFF year'!$D$1:$D$24,"2015-16"))</f>
        <v>1.1964869520247929</v>
      </c>
      <c r="R118" s="504">
        <f t="shared" ca="1" si="19"/>
        <v>0</v>
      </c>
      <c r="S118" s="498">
        <f ca="1">IF(SUMIFS('Merged Trusts and MFF year'!$C$1:$C$24,'Merged Trusts and MFF year'!$A$1:$A$24,$B118,'Merged Trusts and MFF year'!$D$1:$D$24,"2016-17")=0,Q118,SUMIFS('Merged Trusts and MFF year'!$C$1:$C$24,'Merged Trusts and MFF year'!$A$1:$A$24,$B118,'Merged Trusts and MFF year'!$D$1:$D$24,"2016-17"))</f>
        <v>1.1964869520247929</v>
      </c>
      <c r="T118" s="504">
        <f t="shared" ca="1" si="20"/>
        <v>0</v>
      </c>
      <c r="U118" s="479"/>
    </row>
    <row r="119" spans="1:21" ht="22.5" x14ac:dyDescent="0.2">
      <c r="A119" s="172"/>
      <c r="B119" s="171" t="s">
        <v>3914</v>
      </c>
      <c r="C119" s="174" t="s">
        <v>3913</v>
      </c>
      <c r="D119" s="174"/>
      <c r="E119" s="176"/>
      <c r="F119" s="175"/>
      <c r="G119" s="513"/>
      <c r="H119" s="174"/>
      <c r="I119" s="501"/>
      <c r="J119" s="177"/>
      <c r="K119" s="478"/>
      <c r="L119" s="508"/>
      <c r="M119" s="174"/>
      <c r="N119" s="174"/>
      <c r="O119" s="498"/>
      <c r="P119" s="504" t="str">
        <f t="shared" si="18"/>
        <v>N/A</v>
      </c>
      <c r="Q119" s="498">
        <f ca="1">IF(SUMIFS('Merged Trusts and MFF year'!$C$1:$C$24,'Merged Trusts and MFF year'!$A$1:$A$24,$B119,'Merged Trusts and MFF year'!$D$1:$D$24,"2015-16")=0,O119,SUMIFS('Merged Trusts and MFF year'!$C$1:$C$24,'Merged Trusts and MFF year'!$A$1:$A$24,$B119,'Merged Trusts and MFF year'!$D$1:$D$24,"2015-16"))</f>
        <v>1.1958759999999999</v>
      </c>
      <c r="R119" s="504" t="str">
        <f t="shared" ca="1" si="19"/>
        <v>N/A</v>
      </c>
      <c r="S119" s="498">
        <f ca="1">IF(SUMIFS('Merged Trusts and MFF year'!$C$1:$C$24,'Merged Trusts and MFF year'!$A$1:$A$24,$B119,'Merged Trusts and MFF year'!$D$1:$D$24,"2016-17")=0,Q119,SUMIFS('Merged Trusts and MFF year'!$C$1:$C$24,'Merged Trusts and MFF year'!$A$1:$A$24,$B119,'Merged Trusts and MFF year'!$D$1:$D$24,"2016-17"))</f>
        <v>1.1958759999999999</v>
      </c>
      <c r="T119" s="504">
        <f t="shared" ca="1" si="20"/>
        <v>0</v>
      </c>
      <c r="U119" s="479" t="s">
        <v>4226</v>
      </c>
    </row>
    <row r="120" spans="1:21" ht="12.75" customHeight="1" x14ac:dyDescent="0.2">
      <c r="A120" s="171" t="s">
        <v>1127</v>
      </c>
      <c r="B120" s="172" t="s">
        <v>379</v>
      </c>
      <c r="C120" s="172" t="s">
        <v>380</v>
      </c>
      <c r="D120" s="175">
        <f>INDEX('Base MFF calcs'!$I$7:$I$258,MATCH($B120,'Base MFF calcs'!$B$7:$B$258,0),1)</f>
        <v>1.0377291208339885</v>
      </c>
      <c r="E120" s="176">
        <f ca="1">D120/MIN('Base MFF calcs'!$I$7:$I$258)</f>
        <v>1.1202652104623292</v>
      </c>
      <c r="F120" s="176">
        <v>1.1202650000000001</v>
      </c>
      <c r="G120" s="511">
        <f t="shared" ref="G120:G151" ca="1" si="30">IF(F120="",0,E120/F120-1)</f>
        <v>1.878683428824246E-7</v>
      </c>
      <c r="H120" s="174">
        <f t="shared" ref="H120:H151" ca="1" si="31">IF(ISERR(G120),E120,IF(G120&gt;2%,F120*1.02,IF(G120&lt;-2%,F120*0.98,E120)))</f>
        <v>1.1202652104623292</v>
      </c>
      <c r="I120" s="501">
        <v>1.1202649999999998</v>
      </c>
      <c r="J120" s="177"/>
      <c r="K120" s="173">
        <f t="shared" ref="K120:K151" ca="1" si="32">IF(LEFT(U120,6)="Merged","Merged",E120)</f>
        <v>1.1202652104623292</v>
      </c>
      <c r="L120" s="508">
        <f t="shared" ref="L120:L151" ca="1" si="33">IF(K120="Merged","N/A",K120/H120-1)</f>
        <v>0</v>
      </c>
      <c r="M120" s="174">
        <f t="shared" ref="M120:M151" ca="1" si="34">IF(L120="N/A",K120,IF(L120&gt;2%,1.02*H120,IF(L120&lt;-2%,0.98*H120,K120)))</f>
        <v>1.1202652104623292</v>
      </c>
      <c r="N120" s="174">
        <f ca="1">IF(SUMIFS('Merged Trusts and MFF year'!$C$1:$C$24,'Merged Trusts and MFF year'!$A$1:$A$24,$B120,'Merged Trusts and MFF year'!$D$1:$D$24,"2013-14")=0,M120,SUMIFS('Merged Trusts and MFF year'!$C$1:$C$24,'Merged Trusts and MFF year'!$A$1:$A$24,$B120,'Merged Trusts and MFF year'!$D$1:$D$24,"2013-14"))</f>
        <v>1.1202652104623292</v>
      </c>
      <c r="O120" s="498">
        <f ca="1">IF(SUMIFS('Merged Trusts and MFF year'!$C$1:$C$24,'Merged Trusts and MFF year'!$A$1:$A$24,$B120,'Merged Trusts and MFF year'!$D$1:$D$24,"2014-15")=0,N120,SUMIFS('Merged Trusts and MFF year'!$C$1:$C$24,'Merged Trusts and MFF year'!$A$1:$A$24,$B120,'Merged Trusts and MFF year'!$D$1:$D$24,"2014-15"))</f>
        <v>1.1202652104623292</v>
      </c>
      <c r="P120" s="504">
        <f t="shared" ca="1" si="18"/>
        <v>0</v>
      </c>
      <c r="Q120" s="498">
        <f ca="1">IF(SUMIFS('Merged Trusts and MFF year'!$C$1:$C$24,'Merged Trusts and MFF year'!$A$1:$A$24,$B120,'Merged Trusts and MFF year'!$D$1:$D$24,"2015-16")=0,O120,SUMIFS('Merged Trusts and MFF year'!$C$1:$C$24,'Merged Trusts and MFF year'!$A$1:$A$24,$B120,'Merged Trusts and MFF year'!$D$1:$D$24,"2015-16"))</f>
        <v>1.1202652104623292</v>
      </c>
      <c r="R120" s="504">
        <f t="shared" ca="1" si="19"/>
        <v>0</v>
      </c>
      <c r="S120" s="498">
        <f ca="1">IF(SUMIFS('Merged Trusts and MFF year'!$C$1:$C$24,'Merged Trusts and MFF year'!$A$1:$A$24,$B120,'Merged Trusts and MFF year'!$D$1:$D$24,"2016-17")=0,Q120,SUMIFS('Merged Trusts and MFF year'!$C$1:$C$24,'Merged Trusts and MFF year'!$A$1:$A$24,$B120,'Merged Trusts and MFF year'!$D$1:$D$24,"2016-17"))</f>
        <v>1.1202652104623292</v>
      </c>
      <c r="T120" s="504">
        <f t="shared" ca="1" si="20"/>
        <v>0</v>
      </c>
      <c r="U120" s="459"/>
    </row>
    <row r="121" spans="1:21" ht="12.75" customHeight="1" x14ac:dyDescent="0.2">
      <c r="A121" s="171" t="s">
        <v>3496</v>
      </c>
      <c r="B121" s="172" t="s">
        <v>381</v>
      </c>
      <c r="C121" s="172" t="s">
        <v>382</v>
      </c>
      <c r="D121" s="175">
        <f>INDEX('Base MFF calcs'!$I$7:$I$258,MATCH($B121,'Base MFF calcs'!$B$7:$B$258,0),1)</f>
        <v>1.0277643684711859</v>
      </c>
      <c r="E121" s="176">
        <f ca="1">D121/MIN('Base MFF calcs'!$I$7:$I$258)</f>
        <v>1.1095079086011763</v>
      </c>
      <c r="F121" s="176">
        <v>1.1095079999999999</v>
      </c>
      <c r="G121" s="511">
        <f t="shared" ca="1" si="30"/>
        <v>-8.2377795918020524E-8</v>
      </c>
      <c r="H121" s="174">
        <f t="shared" ca="1" si="31"/>
        <v>1.1095079086011763</v>
      </c>
      <c r="I121" s="501">
        <v>1.1095079999999999</v>
      </c>
      <c r="J121" s="177"/>
      <c r="K121" s="173">
        <f t="shared" ca="1" si="32"/>
        <v>1.1095079086011763</v>
      </c>
      <c r="L121" s="508">
        <f t="shared" ca="1" si="33"/>
        <v>0</v>
      </c>
      <c r="M121" s="174">
        <f t="shared" ca="1" si="34"/>
        <v>1.1095079086011763</v>
      </c>
      <c r="N121" s="174">
        <f ca="1">IF(SUMIFS('Merged Trusts and MFF year'!$C$1:$C$24,'Merged Trusts and MFF year'!$A$1:$A$24,$B121,'Merged Trusts and MFF year'!$D$1:$D$24,"2013-14")=0,M121,SUMIFS('Merged Trusts and MFF year'!$C$1:$C$24,'Merged Trusts and MFF year'!$A$1:$A$24,$B121,'Merged Trusts and MFF year'!$D$1:$D$24,"2013-14"))</f>
        <v>1.1095079086011763</v>
      </c>
      <c r="O121" s="498">
        <f ca="1">IF(SUMIFS('Merged Trusts and MFF year'!$C$1:$C$24,'Merged Trusts and MFF year'!$A$1:$A$24,$B121,'Merged Trusts and MFF year'!$D$1:$D$24,"2014-15")=0,N121,SUMIFS('Merged Trusts and MFF year'!$C$1:$C$24,'Merged Trusts and MFF year'!$A$1:$A$24,$B121,'Merged Trusts and MFF year'!$D$1:$D$24,"2014-15"))</f>
        <v>1.1095079086011763</v>
      </c>
      <c r="P121" s="504">
        <f t="shared" ca="1" si="18"/>
        <v>0</v>
      </c>
      <c r="Q121" s="498">
        <f ca="1">IF(SUMIFS('Merged Trusts and MFF year'!$C$1:$C$24,'Merged Trusts and MFF year'!$A$1:$A$24,$B121,'Merged Trusts and MFF year'!$D$1:$D$24,"2015-16")=0,O121,SUMIFS('Merged Trusts and MFF year'!$C$1:$C$24,'Merged Trusts and MFF year'!$A$1:$A$24,$B121,'Merged Trusts and MFF year'!$D$1:$D$24,"2015-16"))</f>
        <v>1.1095079086011763</v>
      </c>
      <c r="R121" s="504">
        <f t="shared" ca="1" si="19"/>
        <v>0</v>
      </c>
      <c r="S121" s="498">
        <f ca="1">IF(SUMIFS('Merged Trusts and MFF year'!$C$1:$C$24,'Merged Trusts and MFF year'!$A$1:$A$24,$B121,'Merged Trusts and MFF year'!$D$1:$D$24,"2016-17")=0,Q121,SUMIFS('Merged Trusts and MFF year'!$C$1:$C$24,'Merged Trusts and MFF year'!$A$1:$A$24,$B121,'Merged Trusts and MFF year'!$D$1:$D$24,"2016-17"))</f>
        <v>1.1095079086011763</v>
      </c>
      <c r="T121" s="504">
        <f t="shared" ca="1" si="20"/>
        <v>0</v>
      </c>
      <c r="U121" s="459"/>
    </row>
    <row r="122" spans="1:21" ht="12.75" customHeight="1" x14ac:dyDescent="0.2">
      <c r="A122" s="171" t="s">
        <v>2975</v>
      </c>
      <c r="B122" s="172" t="s">
        <v>383</v>
      </c>
      <c r="C122" s="172" t="s">
        <v>384</v>
      </c>
      <c r="D122" s="175">
        <f ca="1">INDEX('Base MFF calcs'!$I$7:$I$258,MATCH($B122,'Base MFF calcs'!$B$7:$B$258,0),1)</f>
        <v>0.97870076393868111</v>
      </c>
      <c r="E122" s="176">
        <f ca="1">D122/MIN('Base MFF calcs'!$I$7:$I$258)</f>
        <v>1.0565420159089927</v>
      </c>
      <c r="F122" s="176">
        <v>1.0565420000000001</v>
      </c>
      <c r="G122" s="511">
        <f t="shared" ca="1" si="30"/>
        <v>1.5057605384782846E-8</v>
      </c>
      <c r="H122" s="174">
        <f t="shared" ca="1" si="31"/>
        <v>1.0565420159089927</v>
      </c>
      <c r="I122" s="501">
        <v>1.0565419999999999</v>
      </c>
      <c r="J122" s="177"/>
      <c r="K122" s="173">
        <f t="shared" ca="1" si="32"/>
        <v>1.0565420159089927</v>
      </c>
      <c r="L122" s="508">
        <f t="shared" ca="1" si="33"/>
        <v>0</v>
      </c>
      <c r="M122" s="174">
        <f t="shared" ca="1" si="34"/>
        <v>1.0565420159089927</v>
      </c>
      <c r="N122" s="174">
        <f ca="1">IF(SUMIFS('Merged Trusts and MFF year'!$C$1:$C$24,'Merged Trusts and MFF year'!$A$1:$A$24,$B122,'Merged Trusts and MFF year'!$D$1:$D$24,"2013-14")=0,M122,SUMIFS('Merged Trusts and MFF year'!$C$1:$C$24,'Merged Trusts and MFF year'!$A$1:$A$24,$B122,'Merged Trusts and MFF year'!$D$1:$D$24,"2013-14"))</f>
        <v>1.0565420159089927</v>
      </c>
      <c r="O122" s="498">
        <f ca="1">IF(SUMIFS('Merged Trusts and MFF year'!$C$1:$C$24,'Merged Trusts and MFF year'!$A$1:$A$24,$B122,'Merged Trusts and MFF year'!$D$1:$D$24,"2014-15")=0,N122,SUMIFS('Merged Trusts and MFF year'!$C$1:$C$24,'Merged Trusts and MFF year'!$A$1:$A$24,$B122,'Merged Trusts and MFF year'!$D$1:$D$24,"2014-15"))</f>
        <v>1.0565420159089927</v>
      </c>
      <c r="P122" s="504">
        <f t="shared" ca="1" si="18"/>
        <v>0</v>
      </c>
      <c r="Q122" s="498">
        <f ca="1">IF(SUMIFS('Merged Trusts and MFF year'!$C$1:$C$24,'Merged Trusts and MFF year'!$A$1:$A$24,$B122,'Merged Trusts and MFF year'!$D$1:$D$24,"2015-16")=0,O122,SUMIFS('Merged Trusts and MFF year'!$C$1:$C$24,'Merged Trusts and MFF year'!$A$1:$A$24,$B122,'Merged Trusts and MFF year'!$D$1:$D$24,"2015-16"))</f>
        <v>1.0565420159089927</v>
      </c>
      <c r="R122" s="504">
        <f t="shared" ca="1" si="19"/>
        <v>0</v>
      </c>
      <c r="S122" s="498">
        <f ca="1">IF(SUMIFS('Merged Trusts and MFF year'!$C$1:$C$24,'Merged Trusts and MFF year'!$A$1:$A$24,$B122,'Merged Trusts and MFF year'!$D$1:$D$24,"2016-17")=0,Q122,SUMIFS('Merged Trusts and MFF year'!$C$1:$C$24,'Merged Trusts and MFF year'!$A$1:$A$24,$B122,'Merged Trusts and MFF year'!$D$1:$D$24,"2016-17"))</f>
        <v>1.0565420159089927</v>
      </c>
      <c r="T122" s="504">
        <f t="shared" ca="1" si="20"/>
        <v>0</v>
      </c>
      <c r="U122" s="459"/>
    </row>
    <row r="123" spans="1:21" ht="12.75" customHeight="1" x14ac:dyDescent="0.2">
      <c r="A123" s="171" t="s">
        <v>3496</v>
      </c>
      <c r="B123" s="172" t="s">
        <v>387</v>
      </c>
      <c r="C123" s="172" t="s">
        <v>388</v>
      </c>
      <c r="D123" s="175">
        <f>INDEX('Base MFF calcs'!$I$7:$I$258,MATCH($B123,'Base MFF calcs'!$B$7:$B$258,0),1)</f>
        <v>1.0204359940909216</v>
      </c>
      <c r="E123" s="176">
        <f ca="1">D123/MIN('Base MFF calcs'!$I$7:$I$258)</f>
        <v>1.10159666981773</v>
      </c>
      <c r="F123" s="176">
        <v>1.1015969999999999</v>
      </c>
      <c r="G123" s="511">
        <f t="shared" ca="1" si="30"/>
        <v>-2.9973054571641455E-7</v>
      </c>
      <c r="H123" s="174">
        <f t="shared" ca="1" si="31"/>
        <v>1.10159666981773</v>
      </c>
      <c r="I123" s="501">
        <v>1.1015969999999999</v>
      </c>
      <c r="J123" s="177"/>
      <c r="K123" s="173">
        <f t="shared" ca="1" si="32"/>
        <v>1.10159666981773</v>
      </c>
      <c r="L123" s="508">
        <f t="shared" ca="1" si="33"/>
        <v>0</v>
      </c>
      <c r="M123" s="174">
        <f t="shared" ca="1" si="34"/>
        <v>1.10159666981773</v>
      </c>
      <c r="N123" s="174">
        <f ca="1">IF(SUMIFS('Merged Trusts and MFF year'!$C$1:$C$24,'Merged Trusts and MFF year'!$A$1:$A$24,$B123,'Merged Trusts and MFF year'!$D$1:$D$24,"2013-14")=0,M123,SUMIFS('Merged Trusts and MFF year'!$C$1:$C$24,'Merged Trusts and MFF year'!$A$1:$A$24,$B123,'Merged Trusts and MFF year'!$D$1:$D$24,"2013-14"))</f>
        <v>1.10159666981773</v>
      </c>
      <c r="O123" s="498">
        <f ca="1">IF(SUMIFS('Merged Trusts and MFF year'!$C$1:$C$24,'Merged Trusts and MFF year'!$A$1:$A$24,$B123,'Merged Trusts and MFF year'!$D$1:$D$24,"2014-15")=0,N123,SUMIFS('Merged Trusts and MFF year'!$C$1:$C$24,'Merged Trusts and MFF year'!$A$1:$A$24,$B123,'Merged Trusts and MFF year'!$D$1:$D$24,"2014-15"))</f>
        <v>1.10159666981773</v>
      </c>
      <c r="P123" s="504">
        <f t="shared" ca="1" si="18"/>
        <v>0</v>
      </c>
      <c r="Q123" s="498">
        <f ca="1">IF(SUMIFS('Merged Trusts and MFF year'!$C$1:$C$24,'Merged Trusts and MFF year'!$A$1:$A$24,$B123,'Merged Trusts and MFF year'!$D$1:$D$24,"2015-16")=0,O123,SUMIFS('Merged Trusts and MFF year'!$C$1:$C$24,'Merged Trusts and MFF year'!$A$1:$A$24,$B123,'Merged Trusts and MFF year'!$D$1:$D$24,"2015-16"))</f>
        <v>1.10159666981773</v>
      </c>
      <c r="R123" s="504">
        <f t="shared" ca="1" si="19"/>
        <v>0</v>
      </c>
      <c r="S123" s="498">
        <f ca="1">IF(SUMIFS('Merged Trusts and MFF year'!$C$1:$C$24,'Merged Trusts and MFF year'!$A$1:$A$24,$B123,'Merged Trusts and MFF year'!$D$1:$D$24,"2016-17")=0,Q123,SUMIFS('Merged Trusts and MFF year'!$C$1:$C$24,'Merged Trusts and MFF year'!$A$1:$A$24,$B123,'Merged Trusts and MFF year'!$D$1:$D$24,"2016-17"))</f>
        <v>1.10159666981773</v>
      </c>
      <c r="T123" s="504">
        <f t="shared" ca="1" si="20"/>
        <v>0</v>
      </c>
      <c r="U123" s="459"/>
    </row>
    <row r="124" spans="1:21" ht="12.75" customHeight="1" x14ac:dyDescent="0.2">
      <c r="A124" s="171" t="s">
        <v>2975</v>
      </c>
      <c r="B124" s="172" t="s">
        <v>389</v>
      </c>
      <c r="C124" s="172" t="s">
        <v>390</v>
      </c>
      <c r="D124" s="175">
        <f>INDEX('Base MFF calcs'!$I$7:$I$258,MATCH($B124,'Base MFF calcs'!$B$7:$B$258,0),1)</f>
        <v>0.9620704038433443</v>
      </c>
      <c r="E124" s="176">
        <f ca="1">D124/MIN('Base MFF calcs'!$I$7:$I$258)</f>
        <v>1.0385889552516083</v>
      </c>
      <c r="F124" s="176">
        <v>1.038589</v>
      </c>
      <c r="G124" s="511">
        <f t="shared" ca="1" si="30"/>
        <v>-4.3085755407901161E-8</v>
      </c>
      <c r="H124" s="174">
        <f t="shared" ca="1" si="31"/>
        <v>1.0385889552516083</v>
      </c>
      <c r="I124" s="501">
        <v>1.038589</v>
      </c>
      <c r="J124" s="177"/>
      <c r="K124" s="173">
        <f t="shared" ca="1" si="32"/>
        <v>1.0385889552516083</v>
      </c>
      <c r="L124" s="508">
        <f t="shared" ca="1" si="33"/>
        <v>0</v>
      </c>
      <c r="M124" s="174">
        <f t="shared" ca="1" si="34"/>
        <v>1.0385889552516083</v>
      </c>
      <c r="N124" s="174">
        <f ca="1">IF(SUMIFS('Merged Trusts and MFF year'!$C$1:$C$24,'Merged Trusts and MFF year'!$A$1:$A$24,$B124,'Merged Trusts and MFF year'!$D$1:$D$24,"2013-14")=0,M124,SUMIFS('Merged Trusts and MFF year'!$C$1:$C$24,'Merged Trusts and MFF year'!$A$1:$A$24,$B124,'Merged Trusts and MFF year'!$D$1:$D$24,"2013-14"))</f>
        <v>1.0385889552516083</v>
      </c>
      <c r="O124" s="498">
        <f ca="1">IF(SUMIFS('Merged Trusts and MFF year'!$C$1:$C$24,'Merged Trusts and MFF year'!$A$1:$A$24,$B124,'Merged Trusts and MFF year'!$D$1:$D$24,"2014-15")=0,N124,SUMIFS('Merged Trusts and MFF year'!$C$1:$C$24,'Merged Trusts and MFF year'!$A$1:$A$24,$B124,'Merged Trusts and MFF year'!$D$1:$D$24,"2014-15"))</f>
        <v>1.0385889552516083</v>
      </c>
      <c r="P124" s="504">
        <f t="shared" ca="1" si="18"/>
        <v>0</v>
      </c>
      <c r="Q124" s="498">
        <f ca="1">IF(SUMIFS('Merged Trusts and MFF year'!$C$1:$C$24,'Merged Trusts and MFF year'!$A$1:$A$24,$B124,'Merged Trusts and MFF year'!$D$1:$D$24,"2015-16")=0,O124,SUMIFS('Merged Trusts and MFF year'!$C$1:$C$24,'Merged Trusts and MFF year'!$A$1:$A$24,$B124,'Merged Trusts and MFF year'!$D$1:$D$24,"2015-16"))</f>
        <v>1.0385889552516083</v>
      </c>
      <c r="R124" s="504">
        <f t="shared" ca="1" si="19"/>
        <v>0</v>
      </c>
      <c r="S124" s="498">
        <f ca="1">IF(SUMIFS('Merged Trusts and MFF year'!$C$1:$C$24,'Merged Trusts and MFF year'!$A$1:$A$24,$B124,'Merged Trusts and MFF year'!$D$1:$D$24,"2016-17")=0,Q124,SUMIFS('Merged Trusts and MFF year'!$C$1:$C$24,'Merged Trusts and MFF year'!$A$1:$A$24,$B124,'Merged Trusts and MFF year'!$D$1:$D$24,"2016-17"))</f>
        <v>1.0385889552516083</v>
      </c>
      <c r="T124" s="504">
        <f t="shared" ca="1" si="20"/>
        <v>0</v>
      </c>
      <c r="U124" s="459"/>
    </row>
    <row r="125" spans="1:21" ht="12.75" customHeight="1" x14ac:dyDescent="0.2">
      <c r="A125" s="171" t="s">
        <v>2975</v>
      </c>
      <c r="B125" s="172" t="s">
        <v>391</v>
      </c>
      <c r="C125" s="172" t="s">
        <v>392</v>
      </c>
      <c r="D125" s="175">
        <f>INDEX('Base MFF calcs'!$I$7:$I$258,MATCH($B125,'Base MFF calcs'!$B$7:$B$258,0),1)</f>
        <v>0.96679821542871136</v>
      </c>
      <c r="E125" s="176">
        <f ca="1">D125/MIN('Base MFF calcs'!$I$7:$I$258)</f>
        <v>1.0436927947164303</v>
      </c>
      <c r="F125" s="176">
        <v>1.043693</v>
      </c>
      <c r="G125" s="511">
        <f t="shared" ca="1" si="30"/>
        <v>-1.9668961059871037E-7</v>
      </c>
      <c r="H125" s="174">
        <f t="shared" ca="1" si="31"/>
        <v>1.0436927947164303</v>
      </c>
      <c r="I125" s="501">
        <v>1.043693</v>
      </c>
      <c r="J125" s="177"/>
      <c r="K125" s="173">
        <f t="shared" ca="1" si="32"/>
        <v>1.0436927947164303</v>
      </c>
      <c r="L125" s="508">
        <f t="shared" ca="1" si="33"/>
        <v>0</v>
      </c>
      <c r="M125" s="174">
        <f t="shared" ca="1" si="34"/>
        <v>1.0436927947164303</v>
      </c>
      <c r="N125" s="174">
        <f ca="1">IF(SUMIFS('Merged Trusts and MFF year'!$C$1:$C$24,'Merged Trusts and MFF year'!$A$1:$A$24,$B125,'Merged Trusts and MFF year'!$D$1:$D$24,"2013-14")=0,M125,SUMIFS('Merged Trusts and MFF year'!$C$1:$C$24,'Merged Trusts and MFF year'!$A$1:$A$24,$B125,'Merged Trusts and MFF year'!$D$1:$D$24,"2013-14"))</f>
        <v>1.0436927947164303</v>
      </c>
      <c r="O125" s="498">
        <f ca="1">IF(SUMIFS('Merged Trusts and MFF year'!$C$1:$C$24,'Merged Trusts and MFF year'!$A$1:$A$24,$B125,'Merged Trusts and MFF year'!$D$1:$D$24,"2014-15")=0,N125,SUMIFS('Merged Trusts and MFF year'!$C$1:$C$24,'Merged Trusts and MFF year'!$A$1:$A$24,$B125,'Merged Trusts and MFF year'!$D$1:$D$24,"2014-15"))</f>
        <v>1.0436927947164303</v>
      </c>
      <c r="P125" s="504">
        <f t="shared" ca="1" si="18"/>
        <v>0</v>
      </c>
      <c r="Q125" s="498">
        <f ca="1">IF(SUMIFS('Merged Trusts and MFF year'!$C$1:$C$24,'Merged Trusts and MFF year'!$A$1:$A$24,$B125,'Merged Trusts and MFF year'!$D$1:$D$24,"2015-16")=0,O125,SUMIFS('Merged Trusts and MFF year'!$C$1:$C$24,'Merged Trusts and MFF year'!$A$1:$A$24,$B125,'Merged Trusts and MFF year'!$D$1:$D$24,"2015-16"))</f>
        <v>1.0436927947164303</v>
      </c>
      <c r="R125" s="504">
        <f t="shared" ca="1" si="19"/>
        <v>0</v>
      </c>
      <c r="S125" s="498">
        <f ca="1">IF(SUMIFS('Merged Trusts and MFF year'!$C$1:$C$24,'Merged Trusts and MFF year'!$A$1:$A$24,$B125,'Merged Trusts and MFF year'!$D$1:$D$24,"2016-17")=0,Q125,SUMIFS('Merged Trusts and MFF year'!$C$1:$C$24,'Merged Trusts and MFF year'!$A$1:$A$24,$B125,'Merged Trusts and MFF year'!$D$1:$D$24,"2016-17"))</f>
        <v>1.0436927947164303</v>
      </c>
      <c r="T125" s="504">
        <f t="shared" ca="1" si="20"/>
        <v>0</v>
      </c>
      <c r="U125" s="459"/>
    </row>
    <row r="126" spans="1:21" ht="12.75" customHeight="1" x14ac:dyDescent="0.2">
      <c r="A126" s="171" t="s">
        <v>1127</v>
      </c>
      <c r="B126" s="172" t="s">
        <v>393</v>
      </c>
      <c r="C126" s="172" t="s">
        <v>394</v>
      </c>
      <c r="D126" s="175">
        <f>INDEX('Base MFF calcs'!$I$7:$I$258,MATCH($B126,'Base MFF calcs'!$B$7:$B$258,0),1)</f>
        <v>1.0182376038925549</v>
      </c>
      <c r="E126" s="176">
        <f ca="1">D126/MIN('Base MFF calcs'!$I$7:$I$258)</f>
        <v>1.0992234300109176</v>
      </c>
      <c r="F126" s="176">
        <v>1.0992230000000001</v>
      </c>
      <c r="G126" s="511">
        <f t="shared" ca="1" si="30"/>
        <v>3.911953421198433E-7</v>
      </c>
      <c r="H126" s="174">
        <f t="shared" ca="1" si="31"/>
        <v>1.0992234300109176</v>
      </c>
      <c r="I126" s="501">
        <v>1.0992230000000001</v>
      </c>
      <c r="J126" s="177"/>
      <c r="K126" s="173">
        <f t="shared" ca="1" si="32"/>
        <v>1.0992234300109176</v>
      </c>
      <c r="L126" s="508">
        <f t="shared" ca="1" si="33"/>
        <v>0</v>
      </c>
      <c r="M126" s="174">
        <f t="shared" ca="1" si="34"/>
        <v>1.0992234300109176</v>
      </c>
      <c r="N126" s="174">
        <f ca="1">IF(SUMIFS('Merged Trusts and MFF year'!$C$1:$C$24,'Merged Trusts and MFF year'!$A$1:$A$24,$B126,'Merged Trusts and MFF year'!$D$1:$D$24,"2013-14")=0,M126,SUMIFS('Merged Trusts and MFF year'!$C$1:$C$24,'Merged Trusts and MFF year'!$A$1:$A$24,$B126,'Merged Trusts and MFF year'!$D$1:$D$24,"2013-14"))</f>
        <v>1.0992234300109176</v>
      </c>
      <c r="O126" s="498">
        <f ca="1">IF(SUMIFS('Merged Trusts and MFF year'!$C$1:$C$24,'Merged Trusts and MFF year'!$A$1:$A$24,$B126,'Merged Trusts and MFF year'!$D$1:$D$24,"2014-15")=0,N126,SUMIFS('Merged Trusts and MFF year'!$C$1:$C$24,'Merged Trusts and MFF year'!$A$1:$A$24,$B126,'Merged Trusts and MFF year'!$D$1:$D$24,"2014-15"))</f>
        <v>1.0992234300109176</v>
      </c>
      <c r="P126" s="504">
        <f t="shared" ca="1" si="18"/>
        <v>0</v>
      </c>
      <c r="Q126" s="498">
        <f ca="1">IF(SUMIFS('Merged Trusts and MFF year'!$C$1:$C$24,'Merged Trusts and MFF year'!$A$1:$A$24,$B126,'Merged Trusts and MFF year'!$D$1:$D$24,"2015-16")=0,O126,SUMIFS('Merged Trusts and MFF year'!$C$1:$C$24,'Merged Trusts and MFF year'!$A$1:$A$24,$B126,'Merged Trusts and MFF year'!$D$1:$D$24,"2015-16"))</f>
        <v>1.0992234300109176</v>
      </c>
      <c r="R126" s="504">
        <f t="shared" ca="1" si="19"/>
        <v>0</v>
      </c>
      <c r="S126" s="498">
        <f ca="1">IF(SUMIFS('Merged Trusts and MFF year'!$C$1:$C$24,'Merged Trusts and MFF year'!$A$1:$A$24,$B126,'Merged Trusts and MFF year'!$D$1:$D$24,"2016-17")=0,Q126,SUMIFS('Merged Trusts and MFF year'!$C$1:$C$24,'Merged Trusts and MFF year'!$A$1:$A$24,$B126,'Merged Trusts and MFF year'!$D$1:$D$24,"2016-17"))</f>
        <v>1.0992234300109176</v>
      </c>
      <c r="T126" s="504">
        <f t="shared" ca="1" si="20"/>
        <v>0</v>
      </c>
      <c r="U126" s="459"/>
    </row>
    <row r="127" spans="1:21" ht="12.75" customHeight="1" x14ac:dyDescent="0.2">
      <c r="A127" s="171" t="s">
        <v>2133</v>
      </c>
      <c r="B127" s="172" t="s">
        <v>395</v>
      </c>
      <c r="C127" s="172" t="s">
        <v>396</v>
      </c>
      <c r="D127" s="175">
        <f>INDEX('Base MFF calcs'!$I$7:$I$258,MATCH($B127,'Base MFF calcs'!$B$7:$B$258,0),1)</f>
        <v>0.95862233925114704</v>
      </c>
      <c r="E127" s="176">
        <f ca="1">D127/MIN('Base MFF calcs'!$I$7:$I$258)</f>
        <v>1.0348666478319599</v>
      </c>
      <c r="F127" s="176">
        <v>1.034867</v>
      </c>
      <c r="G127" s="511">
        <f t="shared" ca="1" si="30"/>
        <v>-3.4030270568141674E-7</v>
      </c>
      <c r="H127" s="174">
        <f t="shared" ca="1" si="31"/>
        <v>1.0348666478319599</v>
      </c>
      <c r="I127" s="501">
        <v>1.034867</v>
      </c>
      <c r="J127" s="177"/>
      <c r="K127" s="173">
        <f t="shared" ca="1" si="32"/>
        <v>1.0348666478319599</v>
      </c>
      <c r="L127" s="508">
        <f t="shared" ca="1" si="33"/>
        <v>0</v>
      </c>
      <c r="M127" s="174">
        <f t="shared" ca="1" si="34"/>
        <v>1.0348666478319599</v>
      </c>
      <c r="N127" s="174">
        <f ca="1">IF(SUMIFS('Merged Trusts and MFF year'!$C$1:$C$24,'Merged Trusts and MFF year'!$A$1:$A$24,$B127,'Merged Trusts and MFF year'!$D$1:$D$24,"2013-14")=0,M127,SUMIFS('Merged Trusts and MFF year'!$C$1:$C$24,'Merged Trusts and MFF year'!$A$1:$A$24,$B127,'Merged Trusts and MFF year'!$D$1:$D$24,"2013-14"))</f>
        <v>1.0348666478319599</v>
      </c>
      <c r="O127" s="498">
        <f ca="1">IF(SUMIFS('Merged Trusts and MFF year'!$C$1:$C$24,'Merged Trusts and MFF year'!$A$1:$A$24,$B127,'Merged Trusts and MFF year'!$D$1:$D$24,"2014-15")=0,N127,SUMIFS('Merged Trusts and MFF year'!$C$1:$C$24,'Merged Trusts and MFF year'!$A$1:$A$24,$B127,'Merged Trusts and MFF year'!$D$1:$D$24,"2014-15"))</f>
        <v>1.0348666478319599</v>
      </c>
      <c r="P127" s="504">
        <f t="shared" ca="1" si="18"/>
        <v>0</v>
      </c>
      <c r="Q127" s="498">
        <f ca="1">IF(SUMIFS('Merged Trusts and MFF year'!$C$1:$C$24,'Merged Trusts and MFF year'!$A$1:$A$24,$B127,'Merged Trusts and MFF year'!$D$1:$D$24,"2015-16")=0,O127,SUMIFS('Merged Trusts and MFF year'!$C$1:$C$24,'Merged Trusts and MFF year'!$A$1:$A$24,$B127,'Merged Trusts and MFF year'!$D$1:$D$24,"2015-16"))</f>
        <v>1.0348666478319599</v>
      </c>
      <c r="R127" s="504">
        <f t="shared" ca="1" si="19"/>
        <v>0</v>
      </c>
      <c r="S127" s="498">
        <f ca="1">IF(SUMIFS('Merged Trusts and MFF year'!$C$1:$C$24,'Merged Trusts and MFF year'!$A$1:$A$24,$B127,'Merged Trusts and MFF year'!$D$1:$D$24,"2016-17")=0,Q127,SUMIFS('Merged Trusts and MFF year'!$C$1:$C$24,'Merged Trusts and MFF year'!$A$1:$A$24,$B127,'Merged Trusts and MFF year'!$D$1:$D$24,"2016-17"))</f>
        <v>1.0348666478319599</v>
      </c>
      <c r="T127" s="504">
        <f t="shared" ca="1" si="20"/>
        <v>0</v>
      </c>
      <c r="U127" s="459" t="s">
        <v>4225</v>
      </c>
    </row>
    <row r="128" spans="1:21" ht="12.75" customHeight="1" x14ac:dyDescent="0.2">
      <c r="A128" s="171" t="s">
        <v>3034</v>
      </c>
      <c r="B128" s="172" t="s">
        <v>397</v>
      </c>
      <c r="C128" s="172" t="s">
        <v>398</v>
      </c>
      <c r="D128" s="175">
        <f>INDEX('Base MFF calcs'!$I$7:$I$258,MATCH($B128,'Base MFF calcs'!$B$7:$B$258,0),1)</f>
        <v>0.9639344971350543</v>
      </c>
      <c r="E128" s="176">
        <f ca="1">D128/MIN('Base MFF calcs'!$I$7:$I$258)</f>
        <v>1.0406013097493607</v>
      </c>
      <c r="F128" s="176">
        <v>1.0406010000000001</v>
      </c>
      <c r="G128" s="511">
        <f t="shared" ca="1" si="30"/>
        <v>2.9766390818863897E-7</v>
      </c>
      <c r="H128" s="174">
        <f t="shared" ca="1" si="31"/>
        <v>1.0406013097493607</v>
      </c>
      <c r="I128" s="501">
        <v>1.0406009999999999</v>
      </c>
      <c r="J128" s="177"/>
      <c r="K128" s="173">
        <f t="shared" ca="1" si="32"/>
        <v>1.0406013097493607</v>
      </c>
      <c r="L128" s="508">
        <f t="shared" ca="1" si="33"/>
        <v>0</v>
      </c>
      <c r="M128" s="174">
        <f t="shared" ca="1" si="34"/>
        <v>1.0406013097493607</v>
      </c>
      <c r="N128" s="174">
        <f ca="1">IF(SUMIFS('Merged Trusts and MFF year'!$C$1:$C$24,'Merged Trusts and MFF year'!$A$1:$A$24,$B128,'Merged Trusts and MFF year'!$D$1:$D$24,"2013-14")=0,M128,SUMIFS('Merged Trusts and MFF year'!$C$1:$C$24,'Merged Trusts and MFF year'!$A$1:$A$24,$B128,'Merged Trusts and MFF year'!$D$1:$D$24,"2013-14"))</f>
        <v>1.0406013097493607</v>
      </c>
      <c r="O128" s="498">
        <f ca="1">IF(SUMIFS('Merged Trusts and MFF year'!$C$1:$C$24,'Merged Trusts and MFF year'!$A$1:$A$24,$B128,'Merged Trusts and MFF year'!$D$1:$D$24,"2014-15")=0,N128,SUMIFS('Merged Trusts and MFF year'!$C$1:$C$24,'Merged Trusts and MFF year'!$A$1:$A$24,$B128,'Merged Trusts and MFF year'!$D$1:$D$24,"2014-15"))</f>
        <v>1.0406013097493607</v>
      </c>
      <c r="P128" s="504">
        <f t="shared" ca="1" si="18"/>
        <v>0</v>
      </c>
      <c r="Q128" s="498">
        <f ca="1">IF(SUMIFS('Merged Trusts and MFF year'!$C$1:$C$24,'Merged Trusts and MFF year'!$A$1:$A$24,$B128,'Merged Trusts and MFF year'!$D$1:$D$24,"2015-16")=0,O128,SUMIFS('Merged Trusts and MFF year'!$C$1:$C$24,'Merged Trusts and MFF year'!$A$1:$A$24,$B128,'Merged Trusts and MFF year'!$D$1:$D$24,"2015-16"))</f>
        <v>1.0406013097493607</v>
      </c>
      <c r="R128" s="504">
        <f t="shared" ca="1" si="19"/>
        <v>0</v>
      </c>
      <c r="S128" s="498">
        <f ca="1">IF(SUMIFS('Merged Trusts and MFF year'!$C$1:$C$24,'Merged Trusts and MFF year'!$A$1:$A$24,$B128,'Merged Trusts and MFF year'!$D$1:$D$24,"2016-17")=0,Q128,SUMIFS('Merged Trusts and MFF year'!$C$1:$C$24,'Merged Trusts and MFF year'!$A$1:$A$24,$B128,'Merged Trusts and MFF year'!$D$1:$D$24,"2016-17"))</f>
        <v>1.0406013097493607</v>
      </c>
      <c r="T128" s="504">
        <f t="shared" ca="1" si="20"/>
        <v>0</v>
      </c>
      <c r="U128" s="459"/>
    </row>
    <row r="129" spans="1:21" ht="12.75" customHeight="1" x14ac:dyDescent="0.2">
      <c r="A129" s="171" t="s">
        <v>191</v>
      </c>
      <c r="B129" s="172" t="s">
        <v>399</v>
      </c>
      <c r="C129" s="172" t="s">
        <v>400</v>
      </c>
      <c r="D129" s="175">
        <f>INDEX('Base MFF calcs'!$I$7:$I$258,MATCH($B129,'Base MFF calcs'!$B$7:$B$258,0),1)</f>
        <v>1.0246154783584538</v>
      </c>
      <c r="E129" s="176">
        <f ca="1">D129/MIN('Base MFF calcs'!$I$7:$I$258)</f>
        <v>1.1061085705908604</v>
      </c>
      <c r="F129" s="176">
        <v>1.106109</v>
      </c>
      <c r="G129" s="511">
        <f t="shared" ca="1" si="30"/>
        <v>-3.8821593495441675E-7</v>
      </c>
      <c r="H129" s="174">
        <f t="shared" ca="1" si="31"/>
        <v>1.1061085705908604</v>
      </c>
      <c r="I129" s="501">
        <v>1.106109</v>
      </c>
      <c r="J129" s="177"/>
      <c r="K129" s="173">
        <f t="shared" ca="1" si="32"/>
        <v>1.1061085705908604</v>
      </c>
      <c r="L129" s="508">
        <f t="shared" ca="1" si="33"/>
        <v>0</v>
      </c>
      <c r="M129" s="174">
        <f t="shared" ca="1" si="34"/>
        <v>1.1061085705908604</v>
      </c>
      <c r="N129" s="174">
        <f ca="1">IF(SUMIFS('Merged Trusts and MFF year'!$C$1:$C$24,'Merged Trusts and MFF year'!$A$1:$A$24,$B129,'Merged Trusts and MFF year'!$D$1:$D$24,"2013-14")=0,M129,SUMIFS('Merged Trusts and MFF year'!$C$1:$C$24,'Merged Trusts and MFF year'!$A$1:$A$24,$B129,'Merged Trusts and MFF year'!$D$1:$D$24,"2013-14"))</f>
        <v>1.1061085705908604</v>
      </c>
      <c r="O129" s="498">
        <f ca="1">IF(SUMIFS('Merged Trusts and MFF year'!$C$1:$C$24,'Merged Trusts and MFF year'!$A$1:$A$24,$B129,'Merged Trusts and MFF year'!$D$1:$D$24,"2014-15")=0,N129,SUMIFS('Merged Trusts and MFF year'!$C$1:$C$24,'Merged Trusts and MFF year'!$A$1:$A$24,$B129,'Merged Trusts and MFF year'!$D$1:$D$24,"2014-15"))</f>
        <v>1.1061085705908604</v>
      </c>
      <c r="P129" s="504">
        <f t="shared" ca="1" si="18"/>
        <v>0</v>
      </c>
      <c r="Q129" s="498">
        <f ca="1">IF(SUMIFS('Merged Trusts and MFF year'!$C$1:$C$24,'Merged Trusts and MFF year'!$A$1:$A$24,$B129,'Merged Trusts and MFF year'!$D$1:$D$24,"2015-16")=0,O129,SUMIFS('Merged Trusts and MFF year'!$C$1:$C$24,'Merged Trusts and MFF year'!$A$1:$A$24,$B129,'Merged Trusts and MFF year'!$D$1:$D$24,"2015-16"))</f>
        <v>1.1061085705908604</v>
      </c>
      <c r="R129" s="504">
        <f t="shared" ca="1" si="19"/>
        <v>0</v>
      </c>
      <c r="S129" s="498">
        <f ca="1">IF(SUMIFS('Merged Trusts and MFF year'!$C$1:$C$24,'Merged Trusts and MFF year'!$A$1:$A$24,$B129,'Merged Trusts and MFF year'!$D$1:$D$24,"2016-17")=0,Q129,SUMIFS('Merged Trusts and MFF year'!$C$1:$C$24,'Merged Trusts and MFF year'!$A$1:$A$24,$B129,'Merged Trusts and MFF year'!$D$1:$D$24,"2016-17"))</f>
        <v>1.1061085705908604</v>
      </c>
      <c r="T129" s="504">
        <f t="shared" ca="1" si="20"/>
        <v>0</v>
      </c>
      <c r="U129" s="459"/>
    </row>
    <row r="130" spans="1:21" ht="12.75" customHeight="1" x14ac:dyDescent="0.2">
      <c r="A130" s="171" t="s">
        <v>1167</v>
      </c>
      <c r="B130" s="172" t="s">
        <v>401</v>
      </c>
      <c r="C130" s="172" t="s">
        <v>402</v>
      </c>
      <c r="D130" s="175">
        <f>INDEX('Base MFF calcs'!$I$7:$I$258,MATCH($B130,'Base MFF calcs'!$B$7:$B$258,0),1)</f>
        <v>1.171467786868623</v>
      </c>
      <c r="E130" s="176">
        <f ca="1">D130/MIN('Base MFF calcs'!$I$7:$I$258)</f>
        <v>1.2646408204787787</v>
      </c>
      <c r="F130" s="176">
        <v>1.288878</v>
      </c>
      <c r="G130" s="511">
        <f t="shared" ca="1" si="30"/>
        <v>-1.8804867117928392E-2</v>
      </c>
      <c r="H130" s="174">
        <f t="shared" ca="1" si="31"/>
        <v>1.2646408204787787</v>
      </c>
      <c r="I130" s="501">
        <v>1.2646409999999999</v>
      </c>
      <c r="J130" s="177"/>
      <c r="K130" s="173">
        <f t="shared" ca="1" si="32"/>
        <v>1.2646408204787787</v>
      </c>
      <c r="L130" s="508">
        <f t="shared" ca="1" si="33"/>
        <v>0</v>
      </c>
      <c r="M130" s="174">
        <f t="shared" ca="1" si="34"/>
        <v>1.2646408204787787</v>
      </c>
      <c r="N130" s="174">
        <f ca="1">IF(SUMIFS('Merged Trusts and MFF year'!$C$1:$C$24,'Merged Trusts and MFF year'!$A$1:$A$24,$B130,'Merged Trusts and MFF year'!$D$1:$D$24,"2013-14")=0,M130,SUMIFS('Merged Trusts and MFF year'!$C$1:$C$24,'Merged Trusts and MFF year'!$A$1:$A$24,$B130,'Merged Trusts and MFF year'!$D$1:$D$24,"2013-14"))</f>
        <v>1.2646408204787787</v>
      </c>
      <c r="O130" s="498">
        <f ca="1">IF(SUMIFS('Merged Trusts and MFF year'!$C$1:$C$24,'Merged Trusts and MFF year'!$A$1:$A$24,$B130,'Merged Trusts and MFF year'!$D$1:$D$24,"2014-15")=0,N130,SUMIFS('Merged Trusts and MFF year'!$C$1:$C$24,'Merged Trusts and MFF year'!$A$1:$A$24,$B130,'Merged Trusts and MFF year'!$D$1:$D$24,"2014-15"))</f>
        <v>1.2646408204787787</v>
      </c>
      <c r="P130" s="504">
        <f t="shared" ca="1" si="18"/>
        <v>0</v>
      </c>
      <c r="Q130" s="498">
        <f ca="1">IF(SUMIFS('Merged Trusts and MFF year'!$C$1:$C$24,'Merged Trusts and MFF year'!$A$1:$A$24,$B130,'Merged Trusts and MFF year'!$D$1:$D$24,"2015-16")=0,O130,SUMIFS('Merged Trusts and MFF year'!$C$1:$C$24,'Merged Trusts and MFF year'!$A$1:$A$24,$B130,'Merged Trusts and MFF year'!$D$1:$D$24,"2015-16"))</f>
        <v>1.2646408204787787</v>
      </c>
      <c r="R130" s="504">
        <f t="shared" ca="1" si="19"/>
        <v>0</v>
      </c>
      <c r="S130" s="498">
        <f ca="1">IF(SUMIFS('Merged Trusts and MFF year'!$C$1:$C$24,'Merged Trusts and MFF year'!$A$1:$A$24,$B130,'Merged Trusts and MFF year'!$D$1:$D$24,"2016-17")=0,Q130,SUMIFS('Merged Trusts and MFF year'!$C$1:$C$24,'Merged Trusts and MFF year'!$A$1:$A$24,$B130,'Merged Trusts and MFF year'!$D$1:$D$24,"2016-17"))</f>
        <v>1.2646408204787787</v>
      </c>
      <c r="T130" s="504">
        <f t="shared" ca="1" si="20"/>
        <v>0</v>
      </c>
      <c r="U130" s="459"/>
    </row>
    <row r="131" spans="1:21" x14ac:dyDescent="0.2">
      <c r="A131" s="171" t="s">
        <v>1167</v>
      </c>
      <c r="B131" s="172" t="s">
        <v>403</v>
      </c>
      <c r="C131" s="172" t="s">
        <v>404</v>
      </c>
      <c r="D131" s="175">
        <f>INDEX('Base MFF calcs'!$I$7:$I$258,MATCH($B131,'Base MFF calcs'!$B$7:$B$258,0),1)</f>
        <v>1.1073811753977889</v>
      </c>
      <c r="E131" s="176">
        <f ca="1">D131/MIN('Base MFF calcs'!$I$7:$I$258)</f>
        <v>1.1954570615904352</v>
      </c>
      <c r="F131" s="176">
        <v>1.195457</v>
      </c>
      <c r="G131" s="511">
        <f t="shared" ca="1" si="30"/>
        <v>5.1520410382366322E-8</v>
      </c>
      <c r="H131" s="174">
        <f t="shared" ca="1" si="31"/>
        <v>1.1954570615904352</v>
      </c>
      <c r="I131" s="501">
        <v>1.195457</v>
      </c>
      <c r="J131" s="177"/>
      <c r="K131" s="173" t="str">
        <f t="shared" si="32"/>
        <v>Merged</v>
      </c>
      <c r="L131" s="508" t="str">
        <f t="shared" si="33"/>
        <v>N/A</v>
      </c>
      <c r="M131" s="174" t="str">
        <f t="shared" si="34"/>
        <v>Merged</v>
      </c>
      <c r="N131" s="174" t="str">
        <f>IF(SUMIFS('Merged Trusts and MFF year'!$C$1:$C$24,'Merged Trusts and MFF year'!$A$1:$A$24,$B131,'Merged Trusts and MFF year'!$D$1:$D$24,"2013-14")=0,M131,SUMIFS('Merged Trusts and MFF year'!$C$1:$C$24,'Merged Trusts and MFF year'!$A$1:$A$24,$B131,'Merged Trusts and MFF year'!$D$1:$D$24,"2013-14"))</f>
        <v>Merged</v>
      </c>
      <c r="O131" s="498" t="str">
        <f>IF(SUMIFS('Merged Trusts and MFF year'!$C$1:$C$24,'Merged Trusts and MFF year'!$A$1:$A$24,$B131,'Merged Trusts and MFF year'!$D$1:$D$24,"2014-15")=0,N131,SUMIFS('Merged Trusts and MFF year'!$C$1:$C$24,'Merged Trusts and MFF year'!$A$1:$A$24,$B131,'Merged Trusts and MFF year'!$D$1:$D$24,"2014-15"))</f>
        <v>Merged</v>
      </c>
      <c r="P131" s="504" t="str">
        <f t="shared" si="18"/>
        <v>N/A</v>
      </c>
      <c r="Q131" s="498" t="str">
        <f>IF(SUMIFS('Merged Trusts and MFF year'!$C$1:$C$24,'Merged Trusts and MFF year'!$A$1:$A$24,$B131,'Merged Trusts and MFF year'!$D$1:$D$24,"2015-16")=0,O131,SUMIFS('Merged Trusts and MFF year'!$C$1:$C$24,'Merged Trusts and MFF year'!$A$1:$A$24,$B131,'Merged Trusts and MFF year'!$D$1:$D$24,"2015-16"))</f>
        <v>Merged</v>
      </c>
      <c r="R131" s="504" t="str">
        <f t="shared" si="19"/>
        <v>N/A</v>
      </c>
      <c r="S131" s="498" t="str">
        <f>IF(SUMIFS('Merged Trusts and MFF year'!$C$1:$C$24,'Merged Trusts and MFF year'!$A$1:$A$24,$B131,'Merged Trusts and MFF year'!$D$1:$D$24,"2016-17")=0,Q131,SUMIFS('Merged Trusts and MFF year'!$C$1:$C$24,'Merged Trusts and MFF year'!$A$1:$A$24,$B131,'Merged Trusts and MFF year'!$D$1:$D$24,"2016-17"))</f>
        <v>Merged</v>
      </c>
      <c r="T131" s="504" t="str">
        <f t="shared" si="20"/>
        <v>N/A</v>
      </c>
      <c r="U131" s="459" t="s">
        <v>4204</v>
      </c>
    </row>
    <row r="132" spans="1:21" ht="12.75" customHeight="1" x14ac:dyDescent="0.2">
      <c r="A132" s="171" t="s">
        <v>1127</v>
      </c>
      <c r="B132" s="172" t="s">
        <v>405</v>
      </c>
      <c r="C132" s="386" t="s">
        <v>406</v>
      </c>
      <c r="D132" s="175">
        <f>INDEX('Base MFF calcs'!$I$7:$I$258,MATCH($B132,'Base MFF calcs'!$B$7:$B$258,0),1)</f>
        <v>0.9404652759357186</v>
      </c>
      <c r="E132" s="176">
        <f ca="1">D132/MIN('Base MFF calcs'!$I$7:$I$258)</f>
        <v>1.015265457166626</v>
      </c>
      <c r="F132" s="176">
        <v>1.0152650000000001</v>
      </c>
      <c r="G132" s="511">
        <f t="shared" ca="1" si="30"/>
        <v>4.5029290474118966E-7</v>
      </c>
      <c r="H132" s="174">
        <f t="shared" ca="1" si="31"/>
        <v>1.015265457166626</v>
      </c>
      <c r="I132" s="501">
        <v>1.0152649999999999</v>
      </c>
      <c r="J132" s="177"/>
      <c r="K132" s="173">
        <f t="shared" ca="1" si="32"/>
        <v>1.015265457166626</v>
      </c>
      <c r="L132" s="508">
        <f t="shared" ca="1" si="33"/>
        <v>0</v>
      </c>
      <c r="M132" s="174">
        <f t="shared" ca="1" si="34"/>
        <v>1.015265457166626</v>
      </c>
      <c r="N132" s="174">
        <f ca="1">IF(SUMIFS('Merged Trusts and MFF year'!$C$1:$C$24,'Merged Trusts and MFF year'!$A$1:$A$24,$B132,'Merged Trusts and MFF year'!$D$1:$D$24,"2013-14")=0,M132,SUMIFS('Merged Trusts and MFF year'!$C$1:$C$24,'Merged Trusts and MFF year'!$A$1:$A$24,$B132,'Merged Trusts and MFF year'!$D$1:$D$24,"2013-14"))</f>
        <v>1.015265457166626</v>
      </c>
      <c r="O132" s="498">
        <f ca="1">IF(SUMIFS('Merged Trusts and MFF year'!$C$1:$C$24,'Merged Trusts and MFF year'!$A$1:$A$24,$B132,'Merged Trusts and MFF year'!$D$1:$D$24,"2014-15")=0,N132,SUMIFS('Merged Trusts and MFF year'!$C$1:$C$24,'Merged Trusts and MFF year'!$A$1:$A$24,$B132,'Merged Trusts and MFF year'!$D$1:$D$24,"2014-15"))</f>
        <v>1.015265457166626</v>
      </c>
      <c r="P132" s="504">
        <f t="shared" ca="1" si="18"/>
        <v>0</v>
      </c>
      <c r="Q132" s="498">
        <f ca="1">IF(SUMIFS('Merged Trusts and MFF year'!$C$1:$C$24,'Merged Trusts and MFF year'!$A$1:$A$24,$B132,'Merged Trusts and MFF year'!$D$1:$D$24,"2015-16")=0,O132,SUMIFS('Merged Trusts and MFF year'!$C$1:$C$24,'Merged Trusts and MFF year'!$A$1:$A$24,$B132,'Merged Trusts and MFF year'!$D$1:$D$24,"2015-16"))</f>
        <v>1.015265457166626</v>
      </c>
      <c r="R132" s="504">
        <f t="shared" ca="1" si="19"/>
        <v>0</v>
      </c>
      <c r="S132" s="498">
        <f ca="1">IF(SUMIFS('Merged Trusts and MFF year'!$C$1:$C$24,'Merged Trusts and MFF year'!$A$1:$A$24,$B132,'Merged Trusts and MFF year'!$D$1:$D$24,"2016-17")=0,Q132,SUMIFS('Merged Trusts and MFF year'!$C$1:$C$24,'Merged Trusts and MFF year'!$A$1:$A$24,$B132,'Merged Trusts and MFF year'!$D$1:$D$24,"2016-17"))</f>
        <v>1.015265457166626</v>
      </c>
      <c r="T132" s="504">
        <f t="shared" ca="1" si="20"/>
        <v>0</v>
      </c>
      <c r="U132" s="459"/>
    </row>
    <row r="133" spans="1:21" ht="12.75" customHeight="1" x14ac:dyDescent="0.2">
      <c r="A133" s="171" t="s">
        <v>1127</v>
      </c>
      <c r="B133" s="172" t="s">
        <v>407</v>
      </c>
      <c r="C133" s="468" t="s">
        <v>1304</v>
      </c>
      <c r="D133" s="175">
        <f>INDEX('Base MFF calcs'!$I$7:$I$258,MATCH($B133,'Base MFF calcs'!$B$7:$B$258,0),1)</f>
        <v>0.9497451740900118</v>
      </c>
      <c r="E133" s="176">
        <f ca="1">D133/MIN('Base MFF calcs'!$I$7:$I$258)</f>
        <v>1.0252834347391677</v>
      </c>
      <c r="F133" s="176" t="s">
        <v>636</v>
      </c>
      <c r="G133" s="511" t="e">
        <f t="shared" ca="1" si="30"/>
        <v>#VALUE!</v>
      </c>
      <c r="H133" s="174">
        <f t="shared" ca="1" si="31"/>
        <v>1.0252834347391677</v>
      </c>
      <c r="I133" s="501">
        <v>1.0252829999999999</v>
      </c>
      <c r="J133" s="177"/>
      <c r="K133" s="173">
        <f t="shared" ca="1" si="32"/>
        <v>1.0252834347391677</v>
      </c>
      <c r="L133" s="508">
        <f t="shared" ca="1" si="33"/>
        <v>0</v>
      </c>
      <c r="M133" s="174">
        <f t="shared" ca="1" si="34"/>
        <v>1.0252834347391677</v>
      </c>
      <c r="N133" s="174">
        <f ca="1">IF(SUMIFS('Merged Trusts and MFF year'!$C$1:$C$24,'Merged Trusts and MFF year'!$A$1:$A$24,$B133,'Merged Trusts and MFF year'!$D$1:$D$24,"2013-14")=0,M133,SUMIFS('Merged Trusts and MFF year'!$C$1:$C$24,'Merged Trusts and MFF year'!$A$1:$A$24,$B133,'Merged Trusts and MFF year'!$D$1:$D$24,"2013-14"))</f>
        <v>1.0252834347391677</v>
      </c>
      <c r="O133" s="498">
        <f ca="1">IF(SUMIFS('Merged Trusts and MFF year'!$C$1:$C$24,'Merged Trusts and MFF year'!$A$1:$A$24,$B133,'Merged Trusts and MFF year'!$D$1:$D$24,"2014-15")=0,N133,SUMIFS('Merged Trusts and MFF year'!$C$1:$C$24,'Merged Trusts and MFF year'!$A$1:$A$24,$B133,'Merged Trusts and MFF year'!$D$1:$D$24,"2014-15"))</f>
        <v>1.0252834347391677</v>
      </c>
      <c r="P133" s="504">
        <f t="shared" ca="1" si="18"/>
        <v>0</v>
      </c>
      <c r="Q133" s="498">
        <f ca="1">IF(SUMIFS('Merged Trusts and MFF year'!$C$1:$C$24,'Merged Trusts and MFF year'!$A$1:$A$24,$B133,'Merged Trusts and MFF year'!$D$1:$D$24,"2015-16")=0,O133,SUMIFS('Merged Trusts and MFF year'!$C$1:$C$24,'Merged Trusts and MFF year'!$A$1:$A$24,$B133,'Merged Trusts and MFF year'!$D$1:$D$24,"2015-16"))</f>
        <v>1.0252834347391677</v>
      </c>
      <c r="R133" s="504">
        <f t="shared" ca="1" si="19"/>
        <v>0</v>
      </c>
      <c r="S133" s="498">
        <f ca="1">IF(SUMIFS('Merged Trusts and MFF year'!$C$1:$C$24,'Merged Trusts and MFF year'!$A$1:$A$24,$B133,'Merged Trusts and MFF year'!$D$1:$D$24,"2016-17")=0,Q133,SUMIFS('Merged Trusts and MFF year'!$C$1:$C$24,'Merged Trusts and MFF year'!$A$1:$A$24,$B133,'Merged Trusts and MFF year'!$D$1:$D$24,"2016-17"))</f>
        <v>1.0252834347391677</v>
      </c>
      <c r="T133" s="504">
        <f t="shared" ca="1" si="20"/>
        <v>0</v>
      </c>
      <c r="U133" s="459"/>
    </row>
    <row r="134" spans="1:21" ht="12.75" customHeight="1" x14ac:dyDescent="0.2">
      <c r="A134" s="468" t="s">
        <v>1127</v>
      </c>
      <c r="B134" s="467" t="s">
        <v>409</v>
      </c>
      <c r="C134" s="468" t="s">
        <v>410</v>
      </c>
      <c r="D134" s="469">
        <f>INDEX('Base MFF calcs'!$I$7:$I$258,MATCH($B134,'Base MFF calcs'!$B$7:$B$258,0),1)</f>
        <v>0.94419090322351029</v>
      </c>
      <c r="E134" s="469">
        <f ca="1">D134/MIN('Base MFF calcs'!$I$7:$I$258)</f>
        <v>1.019287403312175</v>
      </c>
      <c r="F134" s="469"/>
      <c r="G134" s="512">
        <f t="shared" si="30"/>
        <v>0</v>
      </c>
      <c r="H134" s="469">
        <f t="shared" ca="1" si="31"/>
        <v>1.019287403312175</v>
      </c>
      <c r="I134" s="502">
        <v>1.0192870000000001</v>
      </c>
      <c r="J134" s="470"/>
      <c r="K134" s="173">
        <f t="shared" ca="1" si="32"/>
        <v>1.019287403312175</v>
      </c>
      <c r="L134" s="508">
        <f t="shared" ca="1" si="33"/>
        <v>0</v>
      </c>
      <c r="M134" s="174">
        <f t="shared" ca="1" si="34"/>
        <v>1.019287403312175</v>
      </c>
      <c r="N134" s="174">
        <f ca="1">IF(SUMIFS('Merged Trusts and MFF year'!$C$1:$C$24,'Merged Trusts and MFF year'!$A$1:$A$24,$B134,'Merged Trusts and MFF year'!$D$1:$D$24,"2013-14")=0,M134,SUMIFS('Merged Trusts and MFF year'!$C$1:$C$24,'Merged Trusts and MFF year'!$A$1:$A$24,$B134,'Merged Trusts and MFF year'!$D$1:$D$24,"2013-14"))</f>
        <v>1.019287403312175</v>
      </c>
      <c r="O134" s="498">
        <f ca="1">IF(SUMIFS('Merged Trusts and MFF year'!$C$1:$C$24,'Merged Trusts and MFF year'!$A$1:$A$24,$B134,'Merged Trusts and MFF year'!$D$1:$D$24,"2014-15")=0,N134,SUMIFS('Merged Trusts and MFF year'!$C$1:$C$24,'Merged Trusts and MFF year'!$A$1:$A$24,$B134,'Merged Trusts and MFF year'!$D$1:$D$24,"2014-15"))</f>
        <v>1.019287403312175</v>
      </c>
      <c r="P134" s="504">
        <f t="shared" ca="1" si="18"/>
        <v>0</v>
      </c>
      <c r="Q134" s="498">
        <f ca="1">IF(SUMIFS('Merged Trusts and MFF year'!$C$1:$C$24,'Merged Trusts and MFF year'!$A$1:$A$24,$B134,'Merged Trusts and MFF year'!$D$1:$D$24,"2015-16")=0,O134,SUMIFS('Merged Trusts and MFF year'!$C$1:$C$24,'Merged Trusts and MFF year'!$A$1:$A$24,$B134,'Merged Trusts and MFF year'!$D$1:$D$24,"2015-16"))</f>
        <v>1.019287403312175</v>
      </c>
      <c r="R134" s="504">
        <f t="shared" ca="1" si="19"/>
        <v>0</v>
      </c>
      <c r="S134" s="498">
        <f ca="1">IF(SUMIFS('Merged Trusts and MFF year'!$C$1:$C$24,'Merged Trusts and MFF year'!$A$1:$A$24,$B134,'Merged Trusts and MFF year'!$D$1:$D$24,"2016-17")=0,Q134,SUMIFS('Merged Trusts and MFF year'!$C$1:$C$24,'Merged Trusts and MFF year'!$A$1:$A$24,$B134,'Merged Trusts and MFF year'!$D$1:$D$24,"2016-17"))</f>
        <v>1.019287403312175</v>
      </c>
      <c r="T134" s="504">
        <f t="shared" ca="1" si="20"/>
        <v>0</v>
      </c>
      <c r="U134" s="472"/>
    </row>
    <row r="135" spans="1:21" ht="12.75" customHeight="1" x14ac:dyDescent="0.2">
      <c r="A135" s="171" t="s">
        <v>3528</v>
      </c>
      <c r="B135" s="172" t="s">
        <v>411</v>
      </c>
      <c r="C135" s="172" t="s">
        <v>412</v>
      </c>
      <c r="D135" s="175">
        <f>INDEX('Base MFF calcs'!$I$7:$I$258,MATCH($B135,'Base MFF calcs'!$B$7:$B$258,0),1)</f>
        <v>0.99900769314556026</v>
      </c>
      <c r="E135" s="176">
        <f ca="1">D135/MIN('Base MFF calcs'!$I$7:$I$258)</f>
        <v>1.0784640626792572</v>
      </c>
      <c r="F135" s="176">
        <v>1.0784640000000001</v>
      </c>
      <c r="G135" s="511">
        <f t="shared" ca="1" si="30"/>
        <v>5.8119007384505039E-8</v>
      </c>
      <c r="H135" s="174">
        <f t="shared" ca="1" si="31"/>
        <v>1.0784640626792572</v>
      </c>
      <c r="I135" s="501">
        <v>1.0784639999999999</v>
      </c>
      <c r="J135" s="177"/>
      <c r="K135" s="173">
        <f t="shared" ca="1" si="32"/>
        <v>1.0784640626792572</v>
      </c>
      <c r="L135" s="508">
        <f t="shared" ca="1" si="33"/>
        <v>0</v>
      </c>
      <c r="M135" s="174">
        <f t="shared" ca="1" si="34"/>
        <v>1.0784640626792572</v>
      </c>
      <c r="N135" s="174">
        <f ca="1">IF(SUMIFS('Merged Trusts and MFF year'!$C$1:$C$24,'Merged Trusts and MFF year'!$A$1:$A$24,$B135,'Merged Trusts and MFF year'!$D$1:$D$24,"2013-14")=0,M135,SUMIFS('Merged Trusts and MFF year'!$C$1:$C$24,'Merged Trusts and MFF year'!$A$1:$A$24,$B135,'Merged Trusts and MFF year'!$D$1:$D$24,"2013-14"))</f>
        <v>1.0784640626792572</v>
      </c>
      <c r="O135" s="498">
        <f ca="1">IF(SUMIFS('Merged Trusts and MFF year'!$C$1:$C$24,'Merged Trusts and MFF year'!$A$1:$A$24,$B135,'Merged Trusts and MFF year'!$D$1:$D$24,"2014-15")=0,N135,SUMIFS('Merged Trusts and MFF year'!$C$1:$C$24,'Merged Trusts and MFF year'!$A$1:$A$24,$B135,'Merged Trusts and MFF year'!$D$1:$D$24,"2014-15"))</f>
        <v>1.0784640626792572</v>
      </c>
      <c r="P135" s="504">
        <f t="shared" ref="P135:P198" ca="1" si="35">IF(OR(O135="Merged",N135=""),"N/A",O135/N135-1)</f>
        <v>0</v>
      </c>
      <c r="Q135" s="498">
        <f ca="1">IF(SUMIFS('Merged Trusts and MFF year'!$C$1:$C$24,'Merged Trusts and MFF year'!$A$1:$A$24,$B135,'Merged Trusts and MFF year'!$D$1:$D$24,"2015-16")=0,O135,SUMIFS('Merged Trusts and MFF year'!$C$1:$C$24,'Merged Trusts and MFF year'!$A$1:$A$24,$B135,'Merged Trusts and MFF year'!$D$1:$D$24,"2015-16"))</f>
        <v>1.0784640626792572</v>
      </c>
      <c r="R135" s="504">
        <f t="shared" ref="R135:R198" ca="1" si="36">IF(OR(Q135="Merged",O135=""),"N/A",Q135/O135-1)</f>
        <v>0</v>
      </c>
      <c r="S135" s="498">
        <f ca="1">IF(SUMIFS('Merged Trusts and MFF year'!$C$1:$C$24,'Merged Trusts and MFF year'!$A$1:$A$24,$B135,'Merged Trusts and MFF year'!$D$1:$D$24,"2016-17")=0,Q135,SUMIFS('Merged Trusts and MFF year'!$C$1:$C$24,'Merged Trusts and MFF year'!$A$1:$A$24,$B135,'Merged Trusts and MFF year'!$D$1:$D$24,"2016-17"))</f>
        <v>1.0784640626792572</v>
      </c>
      <c r="T135" s="504">
        <f t="shared" ref="T135:T198" ca="1" si="37">IF(OR(S135="Merged",Q135=""),"N/A",S135/Q135-1)</f>
        <v>0</v>
      </c>
      <c r="U135" s="459"/>
    </row>
    <row r="136" spans="1:21" ht="12.75" customHeight="1" x14ac:dyDescent="0.2">
      <c r="A136" s="171" t="s">
        <v>2975</v>
      </c>
      <c r="B136" s="172" t="s">
        <v>413</v>
      </c>
      <c r="C136" s="172" t="s">
        <v>414</v>
      </c>
      <c r="D136" s="175">
        <f>INDEX('Base MFF calcs'!$I$7:$I$258,MATCH($B136,'Base MFF calcs'!$B$7:$B$258,0),1)</f>
        <v>0.95282212404796263</v>
      </c>
      <c r="E136" s="176">
        <f ca="1">D136/MIN('Base MFF calcs'!$I$7:$I$258)</f>
        <v>1.0286051108134169</v>
      </c>
      <c r="F136" s="176">
        <v>1.028605</v>
      </c>
      <c r="G136" s="511">
        <f t="shared" ca="1" si="30"/>
        <v>1.0773175018741199E-7</v>
      </c>
      <c r="H136" s="174">
        <f t="shared" ca="1" si="31"/>
        <v>1.0286051108134169</v>
      </c>
      <c r="I136" s="501">
        <v>1.028605</v>
      </c>
      <c r="J136" s="177"/>
      <c r="K136" s="173">
        <f t="shared" ca="1" si="32"/>
        <v>1.0286051108134169</v>
      </c>
      <c r="L136" s="508">
        <f t="shared" ca="1" si="33"/>
        <v>0</v>
      </c>
      <c r="M136" s="174">
        <f t="shared" ca="1" si="34"/>
        <v>1.0286051108134169</v>
      </c>
      <c r="N136" s="174">
        <f ca="1">IF(SUMIFS('Merged Trusts and MFF year'!$C$1:$C$24,'Merged Trusts and MFF year'!$A$1:$A$24,$B136,'Merged Trusts and MFF year'!$D$1:$D$24,"2013-14")=0,M136,SUMIFS('Merged Trusts and MFF year'!$C$1:$C$24,'Merged Trusts and MFF year'!$A$1:$A$24,$B136,'Merged Trusts and MFF year'!$D$1:$D$24,"2013-14"))</f>
        <v>1.0286051108134169</v>
      </c>
      <c r="O136" s="498">
        <f ca="1">IF(SUMIFS('Merged Trusts and MFF year'!$C$1:$C$24,'Merged Trusts and MFF year'!$A$1:$A$24,$B136,'Merged Trusts and MFF year'!$D$1:$D$24,"2014-15")=0,N136,SUMIFS('Merged Trusts and MFF year'!$C$1:$C$24,'Merged Trusts and MFF year'!$A$1:$A$24,$B136,'Merged Trusts and MFF year'!$D$1:$D$24,"2014-15"))</f>
        <v>1.0286051108134169</v>
      </c>
      <c r="P136" s="504">
        <f t="shared" ca="1" si="35"/>
        <v>0</v>
      </c>
      <c r="Q136" s="498">
        <f ca="1">IF(SUMIFS('Merged Trusts and MFF year'!$C$1:$C$24,'Merged Trusts and MFF year'!$A$1:$A$24,$B136,'Merged Trusts and MFF year'!$D$1:$D$24,"2015-16")=0,O136,SUMIFS('Merged Trusts and MFF year'!$C$1:$C$24,'Merged Trusts and MFF year'!$A$1:$A$24,$B136,'Merged Trusts and MFF year'!$D$1:$D$24,"2015-16"))</f>
        <v>1.0286051108134169</v>
      </c>
      <c r="R136" s="504">
        <f t="shared" ca="1" si="36"/>
        <v>0</v>
      </c>
      <c r="S136" s="498">
        <f ca="1">IF(SUMIFS('Merged Trusts and MFF year'!$C$1:$C$24,'Merged Trusts and MFF year'!$A$1:$A$24,$B136,'Merged Trusts and MFF year'!$D$1:$D$24,"2016-17")=0,Q136,SUMIFS('Merged Trusts and MFF year'!$C$1:$C$24,'Merged Trusts and MFF year'!$A$1:$A$24,$B136,'Merged Trusts and MFF year'!$D$1:$D$24,"2016-17"))</f>
        <v>1.0286051108134169</v>
      </c>
      <c r="T136" s="504">
        <f t="shared" ca="1" si="37"/>
        <v>0</v>
      </c>
      <c r="U136" s="459"/>
    </row>
    <row r="137" spans="1:21" ht="12.75" customHeight="1" x14ac:dyDescent="0.2">
      <c r="A137" s="172" t="s">
        <v>708</v>
      </c>
      <c r="B137" s="171" t="s">
        <v>415</v>
      </c>
      <c r="C137" s="174" t="s">
        <v>653</v>
      </c>
      <c r="D137" s="174">
        <f>INDEX('Base MFF calcs'!$I$7:$I$258,MATCH($B137,'Base MFF calcs'!$B$7:$B$258,0),1)</f>
        <v>0.9541360544836377</v>
      </c>
      <c r="E137" s="176">
        <f ca="1">D137/MIN('Base MFF calcs'!$I$7:$I$258)</f>
        <v>1.0300235450912094</v>
      </c>
      <c r="F137" s="175">
        <v>1.0300240000000001</v>
      </c>
      <c r="G137" s="513">
        <f t="shared" ca="1" si="30"/>
        <v>-4.4164872914365105E-7</v>
      </c>
      <c r="H137" s="174">
        <f t="shared" ca="1" si="31"/>
        <v>1.0300235450912094</v>
      </c>
      <c r="I137" s="501">
        <v>1.0300240000000001</v>
      </c>
      <c r="J137" s="177"/>
      <c r="K137" s="173">
        <f t="shared" ca="1" si="32"/>
        <v>1.0300235450912094</v>
      </c>
      <c r="L137" s="508">
        <f t="shared" ca="1" si="33"/>
        <v>0</v>
      </c>
      <c r="M137" s="174">
        <f t="shared" ca="1" si="34"/>
        <v>1.0300235450912094</v>
      </c>
      <c r="N137" s="174">
        <f ca="1">IF(SUMIFS('Merged Trusts and MFF year'!$C$1:$C$24,'Merged Trusts and MFF year'!$A$1:$A$24,$B137,'Merged Trusts and MFF year'!$D$1:$D$24,"2013-14")=0,M137,SUMIFS('Merged Trusts and MFF year'!$C$1:$C$24,'Merged Trusts and MFF year'!$A$1:$A$24,$B137,'Merged Trusts and MFF year'!$D$1:$D$24,"2013-14"))</f>
        <v>1.0300235450912094</v>
      </c>
      <c r="O137" s="498">
        <f ca="1">IF(SUMIFS('Merged Trusts and MFF year'!$C$1:$C$24,'Merged Trusts and MFF year'!$A$1:$A$24,$B137,'Merged Trusts and MFF year'!$D$1:$D$24,"2014-15")=0,N137,SUMIFS('Merged Trusts and MFF year'!$C$1:$C$24,'Merged Trusts and MFF year'!$A$1:$A$24,$B137,'Merged Trusts and MFF year'!$D$1:$D$24,"2014-15"))</f>
        <v>1.0300235450912094</v>
      </c>
      <c r="P137" s="504">
        <f t="shared" ca="1" si="35"/>
        <v>0</v>
      </c>
      <c r="Q137" s="498">
        <f ca="1">IF(SUMIFS('Merged Trusts and MFF year'!$C$1:$C$24,'Merged Trusts and MFF year'!$A$1:$A$24,$B137,'Merged Trusts and MFF year'!$D$1:$D$24,"2015-16")=0,O137,SUMIFS('Merged Trusts and MFF year'!$C$1:$C$24,'Merged Trusts and MFF year'!$A$1:$A$24,$B137,'Merged Trusts and MFF year'!$D$1:$D$24,"2015-16"))</f>
        <v>1.0300235450912094</v>
      </c>
      <c r="R137" s="504">
        <f t="shared" ca="1" si="36"/>
        <v>0</v>
      </c>
      <c r="S137" s="498">
        <f ca="1">IF(SUMIFS('Merged Trusts and MFF year'!$C$1:$C$24,'Merged Trusts and MFF year'!$A$1:$A$24,$B137,'Merged Trusts and MFF year'!$D$1:$D$24,"2016-17")=0,Q137,SUMIFS('Merged Trusts and MFF year'!$C$1:$C$24,'Merged Trusts and MFF year'!$A$1:$A$24,$B137,'Merged Trusts and MFF year'!$D$1:$D$24,"2016-17"))</f>
        <v>1.0300235450912094</v>
      </c>
      <c r="T137" s="504">
        <f t="shared" ca="1" si="37"/>
        <v>0</v>
      </c>
      <c r="U137" s="479"/>
    </row>
    <row r="138" spans="1:21" ht="12.75" customHeight="1" x14ac:dyDescent="0.2">
      <c r="A138" s="171" t="s">
        <v>1167</v>
      </c>
      <c r="B138" s="172" t="s">
        <v>416</v>
      </c>
      <c r="C138" s="172" t="s">
        <v>417</v>
      </c>
      <c r="D138" s="175">
        <f>INDEX('Base MFF calcs'!$I$7:$I$258,MATCH($B138,'Base MFF calcs'!$B$7:$B$258,0),1)</f>
        <v>1.0864577300681932</v>
      </c>
      <c r="E138" s="176">
        <f ca="1">D138/MIN('Base MFF calcs'!$I$7:$I$258)</f>
        <v>1.1728694639070254</v>
      </c>
      <c r="F138" s="176">
        <v>1.1728689999999999</v>
      </c>
      <c r="G138" s="511">
        <f t="shared" ca="1" si="30"/>
        <v>3.9553183306395567E-7</v>
      </c>
      <c r="H138" s="174">
        <f t="shared" ca="1" si="31"/>
        <v>1.1728694639070254</v>
      </c>
      <c r="I138" s="501">
        <v>1.1728689999999999</v>
      </c>
      <c r="J138" s="177"/>
      <c r="K138" s="173">
        <f t="shared" ca="1" si="32"/>
        <v>1.1728694639070254</v>
      </c>
      <c r="L138" s="508">
        <f t="shared" ca="1" si="33"/>
        <v>0</v>
      </c>
      <c r="M138" s="174">
        <f t="shared" ca="1" si="34"/>
        <v>1.1728694639070254</v>
      </c>
      <c r="N138" s="174">
        <f ca="1">IF(SUMIFS('Merged Trusts and MFF year'!$C$1:$C$24,'Merged Trusts and MFF year'!$A$1:$A$24,$B138,'Merged Trusts and MFF year'!$D$1:$D$24,"2013-14")=0,M138,SUMIFS('Merged Trusts and MFF year'!$C$1:$C$24,'Merged Trusts and MFF year'!$A$1:$A$24,$B138,'Merged Trusts and MFF year'!$D$1:$D$24,"2013-14"))</f>
        <v>1.1728694639070254</v>
      </c>
      <c r="O138" s="498">
        <f ca="1">IF(SUMIFS('Merged Trusts and MFF year'!$C$1:$C$24,'Merged Trusts and MFF year'!$A$1:$A$24,$B138,'Merged Trusts and MFF year'!$D$1:$D$24,"2014-15")=0,N138,SUMIFS('Merged Trusts and MFF year'!$C$1:$C$24,'Merged Trusts and MFF year'!$A$1:$A$24,$B138,'Merged Trusts and MFF year'!$D$1:$D$24,"2014-15"))</f>
        <v>1.1728694639070254</v>
      </c>
      <c r="P138" s="504">
        <f t="shared" ca="1" si="35"/>
        <v>0</v>
      </c>
      <c r="Q138" s="498">
        <f ca="1">IF(SUMIFS('Merged Trusts and MFF year'!$C$1:$C$24,'Merged Trusts and MFF year'!$A$1:$A$24,$B138,'Merged Trusts and MFF year'!$D$1:$D$24,"2015-16")=0,O138,SUMIFS('Merged Trusts and MFF year'!$C$1:$C$24,'Merged Trusts and MFF year'!$A$1:$A$24,$B138,'Merged Trusts and MFF year'!$D$1:$D$24,"2015-16"))</f>
        <v>1.1728694639070254</v>
      </c>
      <c r="R138" s="504">
        <f t="shared" ca="1" si="36"/>
        <v>0</v>
      </c>
      <c r="S138" s="498">
        <f ca="1">IF(SUMIFS('Merged Trusts and MFF year'!$C$1:$C$24,'Merged Trusts and MFF year'!$A$1:$A$24,$B138,'Merged Trusts and MFF year'!$D$1:$D$24,"2016-17")=0,Q138,SUMIFS('Merged Trusts and MFF year'!$C$1:$C$24,'Merged Trusts and MFF year'!$A$1:$A$24,$B138,'Merged Trusts and MFF year'!$D$1:$D$24,"2016-17"))</f>
        <v>1.1728694639070254</v>
      </c>
      <c r="T138" s="504">
        <f t="shared" ca="1" si="37"/>
        <v>0</v>
      </c>
      <c r="U138" s="459"/>
    </row>
    <row r="139" spans="1:21" ht="12.75" customHeight="1" x14ac:dyDescent="0.2">
      <c r="A139" s="171" t="s">
        <v>1127</v>
      </c>
      <c r="B139" s="172" t="s">
        <v>418</v>
      </c>
      <c r="C139" s="172" t="s">
        <v>3655</v>
      </c>
      <c r="D139" s="175">
        <f>INDEX('Base MFF calcs'!$I$7:$I$258,MATCH($B139,'Base MFF calcs'!$B$7:$B$258,0),1)</f>
        <v>1.0064559201244432</v>
      </c>
      <c r="E139" s="176">
        <f ca="1">D139/MIN('Base MFF calcs'!$I$7:$I$258)</f>
        <v>1.086504686572864</v>
      </c>
      <c r="F139" s="176">
        <v>1.0865050000000001</v>
      </c>
      <c r="G139" s="511">
        <f t="shared" ca="1" si="30"/>
        <v>-2.8847279676114113E-7</v>
      </c>
      <c r="H139" s="174">
        <f t="shared" ca="1" si="31"/>
        <v>1.086504686572864</v>
      </c>
      <c r="I139" s="501">
        <v>1.0865050000000001</v>
      </c>
      <c r="J139" s="177"/>
      <c r="K139" s="173">
        <f t="shared" ca="1" si="32"/>
        <v>1.086504686572864</v>
      </c>
      <c r="L139" s="508">
        <f t="shared" ca="1" si="33"/>
        <v>0</v>
      </c>
      <c r="M139" s="174">
        <f t="shared" ca="1" si="34"/>
        <v>1.086504686572864</v>
      </c>
      <c r="N139" s="174">
        <f ca="1">IF(SUMIFS('Merged Trusts and MFF year'!$C$1:$C$24,'Merged Trusts and MFF year'!$A$1:$A$24,$B139,'Merged Trusts and MFF year'!$D$1:$D$24,"2013-14")=0,M139,SUMIFS('Merged Trusts and MFF year'!$C$1:$C$24,'Merged Trusts and MFF year'!$A$1:$A$24,$B139,'Merged Trusts and MFF year'!$D$1:$D$24,"2013-14"))</f>
        <v>1.086504686572864</v>
      </c>
      <c r="O139" s="498">
        <f ca="1">IF(SUMIFS('Merged Trusts and MFF year'!$C$1:$C$24,'Merged Trusts and MFF year'!$A$1:$A$24,$B139,'Merged Trusts and MFF year'!$D$1:$D$24,"2014-15")=0,N139,SUMIFS('Merged Trusts and MFF year'!$C$1:$C$24,'Merged Trusts and MFF year'!$A$1:$A$24,$B139,'Merged Trusts and MFF year'!$D$1:$D$24,"2014-15"))</f>
        <v>1.086504686572864</v>
      </c>
      <c r="P139" s="504">
        <f t="shared" ca="1" si="35"/>
        <v>0</v>
      </c>
      <c r="Q139" s="498">
        <f ca="1">IF(SUMIFS('Merged Trusts and MFF year'!$C$1:$C$24,'Merged Trusts and MFF year'!$A$1:$A$24,$B139,'Merged Trusts and MFF year'!$D$1:$D$24,"2015-16")=0,O139,SUMIFS('Merged Trusts and MFF year'!$C$1:$C$24,'Merged Trusts and MFF year'!$A$1:$A$24,$B139,'Merged Trusts and MFF year'!$D$1:$D$24,"2015-16"))</f>
        <v>1.086504686572864</v>
      </c>
      <c r="R139" s="504">
        <f t="shared" ca="1" si="36"/>
        <v>0</v>
      </c>
      <c r="S139" s="498">
        <f ca="1">IF(SUMIFS('Merged Trusts and MFF year'!$C$1:$C$24,'Merged Trusts and MFF year'!$A$1:$A$24,$B139,'Merged Trusts and MFF year'!$D$1:$D$24,"2016-17")=0,Q139,SUMIFS('Merged Trusts and MFF year'!$C$1:$C$24,'Merged Trusts and MFF year'!$A$1:$A$24,$B139,'Merged Trusts and MFF year'!$D$1:$D$24,"2016-17"))</f>
        <v>1.086504686572864</v>
      </c>
      <c r="T139" s="504">
        <f t="shared" ca="1" si="37"/>
        <v>0</v>
      </c>
      <c r="U139" s="459"/>
    </row>
    <row r="140" spans="1:21" ht="12.75" customHeight="1" x14ac:dyDescent="0.2">
      <c r="A140" s="171" t="s">
        <v>1167</v>
      </c>
      <c r="B140" s="172" t="s">
        <v>3656</v>
      </c>
      <c r="C140" s="172" t="s">
        <v>3657</v>
      </c>
      <c r="D140" s="175">
        <f>INDEX('Base MFF calcs'!$I$7:$I$258,MATCH($B140,'Base MFF calcs'!$B$7:$B$258,0),1)</f>
        <v>1.1127140040618115</v>
      </c>
      <c r="E140" s="176">
        <f ca="1">D140/MIN('Base MFF calcs'!$I$7:$I$258)</f>
        <v>1.2012140383445034</v>
      </c>
      <c r="F140" s="176">
        <v>1.201214</v>
      </c>
      <c r="G140" s="511">
        <f t="shared" ca="1" si="30"/>
        <v>3.1921458809591741E-8</v>
      </c>
      <c r="H140" s="174">
        <f t="shared" ca="1" si="31"/>
        <v>1.2012140383445034</v>
      </c>
      <c r="I140" s="501">
        <v>1.201214</v>
      </c>
      <c r="J140" s="177"/>
      <c r="K140" s="173">
        <f t="shared" ca="1" si="32"/>
        <v>1.2012140383445034</v>
      </c>
      <c r="L140" s="508">
        <f t="shared" ca="1" si="33"/>
        <v>0</v>
      </c>
      <c r="M140" s="174">
        <f t="shared" ca="1" si="34"/>
        <v>1.2012140383445034</v>
      </c>
      <c r="N140" s="174">
        <f ca="1">IF(SUMIFS('Merged Trusts and MFF year'!$C$1:$C$24,'Merged Trusts and MFF year'!$A$1:$A$24,$B140,'Merged Trusts and MFF year'!$D$1:$D$24,"2013-14")=0,M140,SUMIFS('Merged Trusts and MFF year'!$C$1:$C$24,'Merged Trusts and MFF year'!$A$1:$A$24,$B140,'Merged Trusts and MFF year'!$D$1:$D$24,"2013-14"))</f>
        <v>1.2012140383445034</v>
      </c>
      <c r="O140" s="498">
        <f ca="1">IF(SUMIFS('Merged Trusts and MFF year'!$C$1:$C$24,'Merged Trusts and MFF year'!$A$1:$A$24,$B140,'Merged Trusts and MFF year'!$D$1:$D$24,"2014-15")=0,N140,SUMIFS('Merged Trusts and MFF year'!$C$1:$C$24,'Merged Trusts and MFF year'!$A$1:$A$24,$B140,'Merged Trusts and MFF year'!$D$1:$D$24,"2014-15"))</f>
        <v>1.2012140383445034</v>
      </c>
      <c r="P140" s="504">
        <f t="shared" ca="1" si="35"/>
        <v>0</v>
      </c>
      <c r="Q140" s="498">
        <f ca="1">IF(SUMIFS('Merged Trusts and MFF year'!$C$1:$C$24,'Merged Trusts and MFF year'!$A$1:$A$24,$B140,'Merged Trusts and MFF year'!$D$1:$D$24,"2015-16")=0,O140,SUMIFS('Merged Trusts and MFF year'!$C$1:$C$24,'Merged Trusts and MFF year'!$A$1:$A$24,$B140,'Merged Trusts and MFF year'!$D$1:$D$24,"2015-16"))</f>
        <v>1.2012140383445034</v>
      </c>
      <c r="R140" s="504">
        <f t="shared" ca="1" si="36"/>
        <v>0</v>
      </c>
      <c r="S140" s="498">
        <f ca="1">IF(SUMIFS('Merged Trusts and MFF year'!$C$1:$C$24,'Merged Trusts and MFF year'!$A$1:$A$24,$B140,'Merged Trusts and MFF year'!$D$1:$D$24,"2016-17")=0,Q140,SUMIFS('Merged Trusts and MFF year'!$C$1:$C$24,'Merged Trusts and MFF year'!$A$1:$A$24,$B140,'Merged Trusts and MFF year'!$D$1:$D$24,"2016-17"))</f>
        <v>1.2012140383445034</v>
      </c>
      <c r="T140" s="504">
        <f t="shared" ca="1" si="37"/>
        <v>0</v>
      </c>
      <c r="U140" s="459"/>
    </row>
    <row r="141" spans="1:21" ht="12.75" customHeight="1" x14ac:dyDescent="0.2">
      <c r="A141" s="171" t="s">
        <v>2133</v>
      </c>
      <c r="B141" s="172" t="s">
        <v>3658</v>
      </c>
      <c r="C141" s="172" t="s">
        <v>3659</v>
      </c>
      <c r="D141" s="175">
        <f>INDEX('Base MFF calcs'!$I$7:$I$258,MATCH($B141,'Base MFF calcs'!$B$7:$B$258,0),1)</f>
        <v>0.94816920748767464</v>
      </c>
      <c r="E141" s="176">
        <f ca="1">D141/MIN('Base MFF calcs'!$I$7:$I$258)</f>
        <v>1.0235821231714342</v>
      </c>
      <c r="F141" s="176">
        <v>1.023582</v>
      </c>
      <c r="G141" s="511">
        <f t="shared" ca="1" si="30"/>
        <v>1.2033372431830003E-7</v>
      </c>
      <c r="H141" s="174">
        <f t="shared" ca="1" si="31"/>
        <v>1.0235821231714342</v>
      </c>
      <c r="I141" s="501">
        <v>1.023582</v>
      </c>
      <c r="J141" s="177"/>
      <c r="K141" s="173">
        <f t="shared" ca="1" si="32"/>
        <v>1.0235821231714342</v>
      </c>
      <c r="L141" s="508">
        <f t="shared" ca="1" si="33"/>
        <v>0</v>
      </c>
      <c r="M141" s="174">
        <f t="shared" ca="1" si="34"/>
        <v>1.0235821231714342</v>
      </c>
      <c r="N141" s="174">
        <f ca="1">IF(SUMIFS('Merged Trusts and MFF year'!$C$1:$C$24,'Merged Trusts and MFF year'!$A$1:$A$24,$B141,'Merged Trusts and MFF year'!$D$1:$D$24,"2013-14")=0,M141,SUMIFS('Merged Trusts and MFF year'!$C$1:$C$24,'Merged Trusts and MFF year'!$A$1:$A$24,$B141,'Merged Trusts and MFF year'!$D$1:$D$24,"2013-14"))</f>
        <v>1.0235821231714342</v>
      </c>
      <c r="O141" s="498">
        <f ca="1">IF(SUMIFS('Merged Trusts and MFF year'!$C$1:$C$24,'Merged Trusts and MFF year'!$A$1:$A$24,$B141,'Merged Trusts and MFF year'!$D$1:$D$24,"2014-15")=0,N141,SUMIFS('Merged Trusts and MFF year'!$C$1:$C$24,'Merged Trusts and MFF year'!$A$1:$A$24,$B141,'Merged Trusts and MFF year'!$D$1:$D$24,"2014-15"))</f>
        <v>1.0235821231714342</v>
      </c>
      <c r="P141" s="504">
        <f t="shared" ca="1" si="35"/>
        <v>0</v>
      </c>
      <c r="Q141" s="498">
        <f ca="1">IF(SUMIFS('Merged Trusts and MFF year'!$C$1:$C$24,'Merged Trusts and MFF year'!$A$1:$A$24,$B141,'Merged Trusts and MFF year'!$D$1:$D$24,"2015-16")=0,O141,SUMIFS('Merged Trusts and MFF year'!$C$1:$C$24,'Merged Trusts and MFF year'!$A$1:$A$24,$B141,'Merged Trusts and MFF year'!$D$1:$D$24,"2015-16"))</f>
        <v>1.0235821231714342</v>
      </c>
      <c r="R141" s="504">
        <f t="shared" ca="1" si="36"/>
        <v>0</v>
      </c>
      <c r="S141" s="498">
        <f ca="1">IF(SUMIFS('Merged Trusts and MFF year'!$C$1:$C$24,'Merged Trusts and MFF year'!$A$1:$A$24,$B141,'Merged Trusts and MFF year'!$D$1:$D$24,"2016-17")=0,Q141,SUMIFS('Merged Trusts and MFF year'!$C$1:$C$24,'Merged Trusts and MFF year'!$A$1:$A$24,$B141,'Merged Trusts and MFF year'!$D$1:$D$24,"2016-17"))</f>
        <v>1.0235821231714342</v>
      </c>
      <c r="T141" s="504">
        <f t="shared" ca="1" si="37"/>
        <v>0</v>
      </c>
      <c r="U141" s="459"/>
    </row>
    <row r="142" spans="1:21" ht="12.75" customHeight="1" x14ac:dyDescent="0.2">
      <c r="A142" s="171" t="s">
        <v>708</v>
      </c>
      <c r="B142" s="172" t="s">
        <v>3660</v>
      </c>
      <c r="C142" s="172" t="s">
        <v>3661</v>
      </c>
      <c r="D142" s="175">
        <f>INDEX('Base MFF calcs'!$I$7:$I$258,MATCH($B142,'Base MFF calcs'!$B$7:$B$258,0),1)</f>
        <v>0.94926875917263498</v>
      </c>
      <c r="E142" s="176">
        <f ca="1">D142/MIN('Base MFF calcs'!$I$7:$I$258)</f>
        <v>1.0247691280217714</v>
      </c>
      <c r="F142" s="176">
        <v>1.024769</v>
      </c>
      <c r="G142" s="511">
        <f t="shared" ca="1" si="30"/>
        <v>1.2492744350112162E-7</v>
      </c>
      <c r="H142" s="174">
        <f t="shared" ca="1" si="31"/>
        <v>1.0247691280217714</v>
      </c>
      <c r="I142" s="501">
        <v>1.024769</v>
      </c>
      <c r="J142" s="177"/>
      <c r="K142" s="173">
        <f t="shared" ca="1" si="32"/>
        <v>1.0247691280217714</v>
      </c>
      <c r="L142" s="508">
        <f t="shared" ca="1" si="33"/>
        <v>0</v>
      </c>
      <c r="M142" s="174">
        <f t="shared" ca="1" si="34"/>
        <v>1.0247691280217714</v>
      </c>
      <c r="N142" s="174">
        <f ca="1">IF(SUMIFS('Merged Trusts and MFF year'!$C$1:$C$24,'Merged Trusts and MFF year'!$A$1:$A$24,$B142,'Merged Trusts and MFF year'!$D$1:$D$24,"2013-14")=0,M142,SUMIFS('Merged Trusts and MFF year'!$C$1:$C$24,'Merged Trusts and MFF year'!$A$1:$A$24,$B142,'Merged Trusts and MFF year'!$D$1:$D$24,"2013-14"))</f>
        <v>1.0247691280217714</v>
      </c>
      <c r="O142" s="498">
        <f ca="1">IF(SUMIFS('Merged Trusts and MFF year'!$C$1:$C$24,'Merged Trusts and MFF year'!$A$1:$A$24,$B142,'Merged Trusts and MFF year'!$D$1:$D$24,"2014-15")=0,N142,SUMIFS('Merged Trusts and MFF year'!$C$1:$C$24,'Merged Trusts and MFF year'!$A$1:$A$24,$B142,'Merged Trusts and MFF year'!$D$1:$D$24,"2014-15"))</f>
        <v>1.0247691280217714</v>
      </c>
      <c r="P142" s="504">
        <f t="shared" ca="1" si="35"/>
        <v>0</v>
      </c>
      <c r="Q142" s="498">
        <f ca="1">IF(SUMIFS('Merged Trusts and MFF year'!$C$1:$C$24,'Merged Trusts and MFF year'!$A$1:$A$24,$B142,'Merged Trusts and MFF year'!$D$1:$D$24,"2015-16")=0,O142,SUMIFS('Merged Trusts and MFF year'!$C$1:$C$24,'Merged Trusts and MFF year'!$A$1:$A$24,$B142,'Merged Trusts and MFF year'!$D$1:$D$24,"2015-16"))</f>
        <v>1.0247691280217714</v>
      </c>
      <c r="R142" s="504">
        <f t="shared" ca="1" si="36"/>
        <v>0</v>
      </c>
      <c r="S142" s="498">
        <f ca="1">IF(SUMIFS('Merged Trusts and MFF year'!$C$1:$C$24,'Merged Trusts and MFF year'!$A$1:$A$24,$B142,'Merged Trusts and MFF year'!$D$1:$D$24,"2016-17")=0,Q142,SUMIFS('Merged Trusts and MFF year'!$C$1:$C$24,'Merged Trusts and MFF year'!$A$1:$A$24,$B142,'Merged Trusts and MFF year'!$D$1:$D$24,"2016-17"))</f>
        <v>1.0247691280217714</v>
      </c>
      <c r="T142" s="504">
        <f t="shared" ca="1" si="37"/>
        <v>0</v>
      </c>
      <c r="U142" s="459"/>
    </row>
    <row r="143" spans="1:21" ht="12.75" customHeight="1" x14ac:dyDescent="0.2">
      <c r="A143" s="172" t="s">
        <v>2975</v>
      </c>
      <c r="B143" s="171" t="s">
        <v>3662</v>
      </c>
      <c r="C143" s="174" t="s">
        <v>3663</v>
      </c>
      <c r="D143" s="174">
        <f>INDEX('Base MFF calcs'!$I$7:$I$258,MATCH($B143,'Base MFF calcs'!$B$7:$B$258,0),1)</f>
        <v>0.96955355815449629</v>
      </c>
      <c r="E143" s="176">
        <f ca="1">D143/MIN('Base MFF calcs'!$I$7:$I$258)</f>
        <v>1.0466672844330882</v>
      </c>
      <c r="F143" s="175">
        <v>1.046667</v>
      </c>
      <c r="G143" s="513">
        <f t="shared" ca="1" si="30"/>
        <v>2.7175127170764313E-7</v>
      </c>
      <c r="H143" s="174">
        <f t="shared" ca="1" si="31"/>
        <v>1.0466672844330882</v>
      </c>
      <c r="I143" s="501">
        <v>1.046667</v>
      </c>
      <c r="J143" s="177"/>
      <c r="K143" s="173">
        <f t="shared" ca="1" si="32"/>
        <v>1.0466672844330882</v>
      </c>
      <c r="L143" s="508">
        <f t="shared" ca="1" si="33"/>
        <v>0</v>
      </c>
      <c r="M143" s="174">
        <f t="shared" ca="1" si="34"/>
        <v>1.0466672844330882</v>
      </c>
      <c r="N143" s="174">
        <f ca="1">IF(SUMIFS('Merged Trusts and MFF year'!$C$1:$C$24,'Merged Trusts and MFF year'!$A$1:$A$24,$B143,'Merged Trusts and MFF year'!$D$1:$D$24,"2013-14")=0,M143,SUMIFS('Merged Trusts and MFF year'!$C$1:$C$24,'Merged Trusts and MFF year'!$A$1:$A$24,$B143,'Merged Trusts and MFF year'!$D$1:$D$24,"2013-14"))</f>
        <v>1.0466672844330882</v>
      </c>
      <c r="O143" s="498">
        <f ca="1">IF(SUMIFS('Merged Trusts and MFF year'!$C$1:$C$24,'Merged Trusts and MFF year'!$A$1:$A$24,$B143,'Merged Trusts and MFF year'!$D$1:$D$24,"2014-15")=0,N143,SUMIFS('Merged Trusts and MFF year'!$C$1:$C$24,'Merged Trusts and MFF year'!$A$1:$A$24,$B143,'Merged Trusts and MFF year'!$D$1:$D$24,"2014-15"))</f>
        <v>1.0466672844330882</v>
      </c>
      <c r="P143" s="504">
        <f t="shared" ca="1" si="35"/>
        <v>0</v>
      </c>
      <c r="Q143" s="498">
        <f ca="1">IF(SUMIFS('Merged Trusts and MFF year'!$C$1:$C$24,'Merged Trusts and MFF year'!$A$1:$A$24,$B143,'Merged Trusts and MFF year'!$D$1:$D$24,"2015-16")=0,O143,SUMIFS('Merged Trusts and MFF year'!$C$1:$C$24,'Merged Trusts and MFF year'!$A$1:$A$24,$B143,'Merged Trusts and MFF year'!$D$1:$D$24,"2015-16"))</f>
        <v>1.0466672844330882</v>
      </c>
      <c r="R143" s="504">
        <f t="shared" ca="1" si="36"/>
        <v>0</v>
      </c>
      <c r="S143" s="498">
        <f ca="1">IF(SUMIFS('Merged Trusts and MFF year'!$C$1:$C$24,'Merged Trusts and MFF year'!$A$1:$A$24,$B143,'Merged Trusts and MFF year'!$D$1:$D$24,"2016-17")=0,Q143,SUMIFS('Merged Trusts and MFF year'!$C$1:$C$24,'Merged Trusts and MFF year'!$A$1:$A$24,$B143,'Merged Trusts and MFF year'!$D$1:$D$24,"2016-17"))</f>
        <v>1.0466672844330882</v>
      </c>
      <c r="T143" s="504">
        <f t="shared" ca="1" si="37"/>
        <v>0</v>
      </c>
      <c r="U143" s="479"/>
    </row>
    <row r="144" spans="1:21" ht="22.5" x14ac:dyDescent="0.2">
      <c r="A144" s="171" t="s">
        <v>1167</v>
      </c>
      <c r="B144" s="172" t="s">
        <v>3664</v>
      </c>
      <c r="C144" s="386" t="s">
        <v>3665</v>
      </c>
      <c r="D144" s="175">
        <f>INDEX('Base MFF calcs'!$I$7:$I$258,MATCH($B144,'Base MFF calcs'!$B$7:$B$258,0),1)</f>
        <v>1.1073328215704821</v>
      </c>
      <c r="E144" s="176">
        <f ca="1">D144/MIN('Base MFF calcs'!$I$7:$I$258)</f>
        <v>1.1954048619273081</v>
      </c>
      <c r="F144" s="176">
        <v>1.1954050000000001</v>
      </c>
      <c r="G144" s="511">
        <f t="shared" ca="1" si="30"/>
        <v>-1.1550285627937029E-7</v>
      </c>
      <c r="H144" s="174">
        <f t="shared" ca="1" si="31"/>
        <v>1.1954048619273081</v>
      </c>
      <c r="I144" s="501">
        <v>1.1954050000000001</v>
      </c>
      <c r="J144" s="177"/>
      <c r="K144" s="173">
        <f t="shared" ca="1" si="32"/>
        <v>1.1954048619273081</v>
      </c>
      <c r="L144" s="508">
        <f t="shared" ca="1" si="33"/>
        <v>0</v>
      </c>
      <c r="M144" s="174">
        <f t="shared" ca="1" si="34"/>
        <v>1.1954048619273081</v>
      </c>
      <c r="N144" s="174">
        <f ca="1">IF(SUMIFS('Merged Trusts and MFF year'!$C$1:$C$24,'Merged Trusts and MFF year'!$A$1:$A$24,$B144,'Merged Trusts and MFF year'!$D$1:$D$24,"2013-14")=0,M144,SUMIFS('Merged Trusts and MFF year'!$C$1:$C$24,'Merged Trusts and MFF year'!$A$1:$A$24,$B144,'Merged Trusts and MFF year'!$D$1:$D$24,"2013-14"))</f>
        <v>1.1954048619273081</v>
      </c>
      <c r="O144" s="498">
        <f ca="1">IF(SUMIFS('Merged Trusts and MFF year'!$C$1:$C$24,'Merged Trusts and MFF year'!$A$1:$A$24,$B144,'Merged Trusts and MFF year'!$D$1:$D$24,"2014-15")=0,N144,SUMIFS('Merged Trusts and MFF year'!$C$1:$C$24,'Merged Trusts and MFF year'!$A$1:$A$24,$B144,'Merged Trusts and MFF year'!$D$1:$D$24,"2014-15"))</f>
        <v>1.1954048619273081</v>
      </c>
      <c r="P144" s="504">
        <f t="shared" ca="1" si="35"/>
        <v>0</v>
      </c>
      <c r="Q144" s="498">
        <f ca="1">IF(SUMIFS('Merged Trusts and MFF year'!$C$1:$C$24,'Merged Trusts and MFF year'!$A$1:$A$24,$B144,'Merged Trusts and MFF year'!$D$1:$D$24,"2015-16")=0,O144,SUMIFS('Merged Trusts and MFF year'!$C$1:$C$24,'Merged Trusts and MFF year'!$A$1:$A$24,$B144,'Merged Trusts and MFF year'!$D$1:$D$24,"2015-16"))</f>
        <v>1.1954048619273081</v>
      </c>
      <c r="R144" s="504">
        <f t="shared" ca="1" si="36"/>
        <v>0</v>
      </c>
      <c r="S144" s="498">
        <f ca="1">IF(SUMIFS('Merged Trusts and MFF year'!$C$1:$C$24,'Merged Trusts and MFF year'!$A$1:$A$24,$B144,'Merged Trusts and MFF year'!$D$1:$D$24,"2016-17")=0,Q144,SUMIFS('Merged Trusts and MFF year'!$C$1:$C$24,'Merged Trusts and MFF year'!$A$1:$A$24,$B144,'Merged Trusts and MFF year'!$D$1:$D$24,"2016-17"))</f>
        <v>1.1954048619273081</v>
      </c>
      <c r="T144" s="504">
        <f t="shared" ca="1" si="37"/>
        <v>0</v>
      </c>
      <c r="U144" s="459" t="s">
        <v>4227</v>
      </c>
    </row>
    <row r="145" spans="1:21" ht="12.75" customHeight="1" x14ac:dyDescent="0.2">
      <c r="A145" s="171" t="s">
        <v>3069</v>
      </c>
      <c r="B145" s="172" t="s">
        <v>3666</v>
      </c>
      <c r="C145" s="172" t="s">
        <v>3667</v>
      </c>
      <c r="D145" s="175">
        <f>INDEX('Base MFF calcs'!$I$7:$I$258,MATCH($B145,'Base MFF calcs'!$B$7:$B$258,0),1)</f>
        <v>0.98295194178272882</v>
      </c>
      <c r="E145" s="176">
        <f ca="1">D145/MIN('Base MFF calcs'!$I$7:$I$258)</f>
        <v>1.0611313124282495</v>
      </c>
      <c r="F145" s="176">
        <v>1.061131</v>
      </c>
      <c r="G145" s="511">
        <f t="shared" ca="1" si="30"/>
        <v>2.9442948079605458E-7</v>
      </c>
      <c r="H145" s="174">
        <f t="shared" ca="1" si="31"/>
        <v>1.0611313124282495</v>
      </c>
      <c r="I145" s="501">
        <v>1.061131</v>
      </c>
      <c r="J145" s="177"/>
      <c r="K145" s="173">
        <f t="shared" ca="1" si="32"/>
        <v>1.0611313124282495</v>
      </c>
      <c r="L145" s="508">
        <f t="shared" ca="1" si="33"/>
        <v>0</v>
      </c>
      <c r="M145" s="174">
        <f t="shared" ca="1" si="34"/>
        <v>1.0611313124282495</v>
      </c>
      <c r="N145" s="174">
        <f ca="1">IF(SUMIFS('Merged Trusts and MFF year'!$C$1:$C$24,'Merged Trusts and MFF year'!$A$1:$A$24,$B145,'Merged Trusts and MFF year'!$D$1:$D$24,"2013-14")=0,M145,SUMIFS('Merged Trusts and MFF year'!$C$1:$C$24,'Merged Trusts and MFF year'!$A$1:$A$24,$B145,'Merged Trusts and MFF year'!$D$1:$D$24,"2013-14"))</f>
        <v>1.0611313124282495</v>
      </c>
      <c r="O145" s="498">
        <f ca="1">IF(SUMIFS('Merged Trusts and MFF year'!$C$1:$C$24,'Merged Trusts and MFF year'!$A$1:$A$24,$B145,'Merged Trusts and MFF year'!$D$1:$D$24,"2014-15")=0,N145,SUMIFS('Merged Trusts and MFF year'!$C$1:$C$24,'Merged Trusts and MFF year'!$A$1:$A$24,$B145,'Merged Trusts and MFF year'!$D$1:$D$24,"2014-15"))</f>
        <v>1.0611313124282495</v>
      </c>
      <c r="P145" s="504">
        <f t="shared" ca="1" si="35"/>
        <v>0</v>
      </c>
      <c r="Q145" s="498">
        <f ca="1">IF(SUMIFS('Merged Trusts and MFF year'!$C$1:$C$24,'Merged Trusts and MFF year'!$A$1:$A$24,$B145,'Merged Trusts and MFF year'!$D$1:$D$24,"2015-16")=0,O145,SUMIFS('Merged Trusts and MFF year'!$C$1:$C$24,'Merged Trusts and MFF year'!$A$1:$A$24,$B145,'Merged Trusts and MFF year'!$D$1:$D$24,"2015-16"))</f>
        <v>1.0611313124282495</v>
      </c>
      <c r="R145" s="504">
        <f t="shared" ca="1" si="36"/>
        <v>0</v>
      </c>
      <c r="S145" s="498">
        <f ca="1">IF(SUMIFS('Merged Trusts and MFF year'!$C$1:$C$24,'Merged Trusts and MFF year'!$A$1:$A$24,$B145,'Merged Trusts and MFF year'!$D$1:$D$24,"2016-17")=0,Q145,SUMIFS('Merged Trusts and MFF year'!$C$1:$C$24,'Merged Trusts and MFF year'!$A$1:$A$24,$B145,'Merged Trusts and MFF year'!$D$1:$D$24,"2016-17"))</f>
        <v>1.0611313124282495</v>
      </c>
      <c r="T145" s="504">
        <f t="shared" ca="1" si="37"/>
        <v>0</v>
      </c>
      <c r="U145" s="459"/>
    </row>
    <row r="146" spans="1:21" ht="12.75" customHeight="1" x14ac:dyDescent="0.2">
      <c r="A146" s="171" t="s">
        <v>3069</v>
      </c>
      <c r="B146" s="172" t="s">
        <v>3668</v>
      </c>
      <c r="C146" s="386" t="s">
        <v>3669</v>
      </c>
      <c r="D146" s="175">
        <f>INDEX('Base MFF calcs'!$I$7:$I$258,MATCH($B146,'Base MFF calcs'!$B$7:$B$258,0),1)</f>
        <v>0.97961796938601386</v>
      </c>
      <c r="E146" s="176">
        <f ca="1">D146/MIN('Base MFF calcs'!$I$7:$I$258)</f>
        <v>1.0575321715602746</v>
      </c>
      <c r="F146" s="176">
        <v>1.0575319999999999</v>
      </c>
      <c r="G146" s="511">
        <f t="shared" ca="1" si="30"/>
        <v>1.6222702914348019E-7</v>
      </c>
      <c r="H146" s="174">
        <f t="shared" ca="1" si="31"/>
        <v>1.0575321715602746</v>
      </c>
      <c r="I146" s="501">
        <v>1.0575319999999999</v>
      </c>
      <c r="J146" s="177"/>
      <c r="K146" s="173">
        <f t="shared" ca="1" si="32"/>
        <v>1.0575321715602746</v>
      </c>
      <c r="L146" s="508">
        <f t="shared" ca="1" si="33"/>
        <v>0</v>
      </c>
      <c r="M146" s="174">
        <f t="shared" ca="1" si="34"/>
        <v>1.0575321715602746</v>
      </c>
      <c r="N146" s="174">
        <f ca="1">IF(SUMIFS('Merged Trusts and MFF year'!$C$1:$C$24,'Merged Trusts and MFF year'!$A$1:$A$24,$B146,'Merged Trusts and MFF year'!$D$1:$D$24,"2013-14")=0,M146,SUMIFS('Merged Trusts and MFF year'!$C$1:$C$24,'Merged Trusts and MFF year'!$A$1:$A$24,$B146,'Merged Trusts and MFF year'!$D$1:$D$24,"2013-14"))</f>
        <v>1.0575321715602746</v>
      </c>
      <c r="O146" s="498">
        <f ca="1">IF(SUMIFS('Merged Trusts and MFF year'!$C$1:$C$24,'Merged Trusts and MFF year'!$A$1:$A$24,$B146,'Merged Trusts and MFF year'!$D$1:$D$24,"2014-15")=0,N146,SUMIFS('Merged Trusts and MFF year'!$C$1:$C$24,'Merged Trusts and MFF year'!$A$1:$A$24,$B146,'Merged Trusts and MFF year'!$D$1:$D$24,"2014-15"))</f>
        <v>1.0575321715602746</v>
      </c>
      <c r="P146" s="504">
        <f t="shared" ca="1" si="35"/>
        <v>0</v>
      </c>
      <c r="Q146" s="498">
        <f ca="1">IF(SUMIFS('Merged Trusts and MFF year'!$C$1:$C$24,'Merged Trusts and MFF year'!$A$1:$A$24,$B146,'Merged Trusts and MFF year'!$D$1:$D$24,"2015-16")=0,O146,SUMIFS('Merged Trusts and MFF year'!$C$1:$C$24,'Merged Trusts and MFF year'!$A$1:$A$24,$B146,'Merged Trusts and MFF year'!$D$1:$D$24,"2015-16"))</f>
        <v>1.0575321715602746</v>
      </c>
      <c r="R146" s="504">
        <f t="shared" ca="1" si="36"/>
        <v>0</v>
      </c>
      <c r="S146" s="498">
        <f ca="1">IF(SUMIFS('Merged Trusts and MFF year'!$C$1:$C$24,'Merged Trusts and MFF year'!$A$1:$A$24,$B146,'Merged Trusts and MFF year'!$D$1:$D$24,"2016-17")=0,Q146,SUMIFS('Merged Trusts and MFF year'!$C$1:$C$24,'Merged Trusts and MFF year'!$A$1:$A$24,$B146,'Merged Trusts and MFF year'!$D$1:$D$24,"2016-17"))</f>
        <v>1.0575321715602746</v>
      </c>
      <c r="T146" s="504">
        <f t="shared" ca="1" si="37"/>
        <v>0</v>
      </c>
      <c r="U146" s="459"/>
    </row>
    <row r="147" spans="1:21" ht="12.75" customHeight="1" x14ac:dyDescent="0.2">
      <c r="A147" s="171" t="s">
        <v>3528</v>
      </c>
      <c r="B147" s="172" t="s">
        <v>3670</v>
      </c>
      <c r="C147" s="172" t="s">
        <v>3671</v>
      </c>
      <c r="D147" s="175">
        <f>INDEX('Base MFF calcs'!$I$7:$I$258,MATCH($B147,'Base MFF calcs'!$B$7:$B$258,0),1)</f>
        <v>0.94429306669239366</v>
      </c>
      <c r="E147" s="176">
        <f ca="1">D147/MIN('Base MFF calcs'!$I$7:$I$258)</f>
        <v>1.0193976923824848</v>
      </c>
      <c r="F147" s="176">
        <v>1.019398</v>
      </c>
      <c r="G147" s="511">
        <f t="shared" ca="1" si="30"/>
        <v>-3.0176389909097878E-7</v>
      </c>
      <c r="H147" s="174">
        <f t="shared" ca="1" si="31"/>
        <v>1.0193976923824848</v>
      </c>
      <c r="I147" s="501">
        <v>1.019398</v>
      </c>
      <c r="J147" s="177"/>
      <c r="K147" s="173">
        <f t="shared" ca="1" si="32"/>
        <v>1.0193976923824848</v>
      </c>
      <c r="L147" s="508">
        <f t="shared" ca="1" si="33"/>
        <v>0</v>
      </c>
      <c r="M147" s="174">
        <f t="shared" ca="1" si="34"/>
        <v>1.0193976923824848</v>
      </c>
      <c r="N147" s="174">
        <f ca="1">IF(SUMIFS('Merged Trusts and MFF year'!$C$1:$C$24,'Merged Trusts and MFF year'!$A$1:$A$24,$B147,'Merged Trusts and MFF year'!$D$1:$D$24,"2013-14")=0,M147,SUMIFS('Merged Trusts and MFF year'!$C$1:$C$24,'Merged Trusts and MFF year'!$A$1:$A$24,$B147,'Merged Trusts and MFF year'!$D$1:$D$24,"2013-14"))</f>
        <v>1.0193976923824848</v>
      </c>
      <c r="O147" s="498">
        <f ca="1">IF(SUMIFS('Merged Trusts and MFF year'!$C$1:$C$24,'Merged Trusts and MFF year'!$A$1:$A$24,$B147,'Merged Trusts and MFF year'!$D$1:$D$24,"2014-15")=0,N147,SUMIFS('Merged Trusts and MFF year'!$C$1:$C$24,'Merged Trusts and MFF year'!$A$1:$A$24,$B147,'Merged Trusts and MFF year'!$D$1:$D$24,"2014-15"))</f>
        <v>1.0193976923824848</v>
      </c>
      <c r="P147" s="504">
        <f t="shared" ca="1" si="35"/>
        <v>0</v>
      </c>
      <c r="Q147" s="498">
        <f ca="1">IF(SUMIFS('Merged Trusts and MFF year'!$C$1:$C$24,'Merged Trusts and MFF year'!$A$1:$A$24,$B147,'Merged Trusts and MFF year'!$D$1:$D$24,"2015-16")=0,O147,SUMIFS('Merged Trusts and MFF year'!$C$1:$C$24,'Merged Trusts and MFF year'!$A$1:$A$24,$B147,'Merged Trusts and MFF year'!$D$1:$D$24,"2015-16"))</f>
        <v>1.0193976923824848</v>
      </c>
      <c r="R147" s="504">
        <f t="shared" ca="1" si="36"/>
        <v>0</v>
      </c>
      <c r="S147" s="498">
        <f ca="1">IF(SUMIFS('Merged Trusts and MFF year'!$C$1:$C$24,'Merged Trusts and MFF year'!$A$1:$A$24,$B147,'Merged Trusts and MFF year'!$D$1:$D$24,"2016-17")=0,Q147,SUMIFS('Merged Trusts and MFF year'!$C$1:$C$24,'Merged Trusts and MFF year'!$A$1:$A$24,$B147,'Merged Trusts and MFF year'!$D$1:$D$24,"2016-17"))</f>
        <v>1.0193976923824848</v>
      </c>
      <c r="T147" s="504">
        <f t="shared" ca="1" si="37"/>
        <v>0</v>
      </c>
      <c r="U147" s="459"/>
    </row>
    <row r="148" spans="1:21" ht="12.75" customHeight="1" x14ac:dyDescent="0.2">
      <c r="A148" s="171" t="s">
        <v>3034</v>
      </c>
      <c r="B148" s="172" t="s">
        <v>3672</v>
      </c>
      <c r="C148" s="172" t="s">
        <v>3673</v>
      </c>
      <c r="D148" s="175">
        <f>INDEX('Base MFF calcs'!$I$7:$I$258,MATCH($B148,'Base MFF calcs'!$B$7:$B$258,0),1)</f>
        <v>0.94956860925929076</v>
      </c>
      <c r="E148" s="176">
        <f ca="1">D148/MIN('Base MFF calcs'!$I$7:$I$258)</f>
        <v>1.0250928267729107</v>
      </c>
      <c r="F148" s="176">
        <v>1.025093</v>
      </c>
      <c r="G148" s="511">
        <f t="shared" ca="1" si="30"/>
        <v>-1.6898670596177112E-7</v>
      </c>
      <c r="H148" s="174">
        <f t="shared" ca="1" si="31"/>
        <v>1.0250928267729107</v>
      </c>
      <c r="I148" s="501">
        <v>1.025093</v>
      </c>
      <c r="J148" s="177"/>
      <c r="K148" s="173">
        <f t="shared" ca="1" si="32"/>
        <v>1.0250928267729107</v>
      </c>
      <c r="L148" s="508">
        <f t="shared" ca="1" si="33"/>
        <v>0</v>
      </c>
      <c r="M148" s="174">
        <f t="shared" ca="1" si="34"/>
        <v>1.0250928267729107</v>
      </c>
      <c r="N148" s="174">
        <f ca="1">IF(SUMIFS('Merged Trusts and MFF year'!$C$1:$C$24,'Merged Trusts and MFF year'!$A$1:$A$24,$B148,'Merged Trusts and MFF year'!$D$1:$D$24,"2013-14")=0,M148,SUMIFS('Merged Trusts and MFF year'!$C$1:$C$24,'Merged Trusts and MFF year'!$A$1:$A$24,$B148,'Merged Trusts and MFF year'!$D$1:$D$24,"2013-14"))</f>
        <v>1.0250928267729107</v>
      </c>
      <c r="O148" s="498">
        <f ca="1">IF(SUMIFS('Merged Trusts and MFF year'!$C$1:$C$24,'Merged Trusts and MFF year'!$A$1:$A$24,$B148,'Merged Trusts and MFF year'!$D$1:$D$24,"2014-15")=0,N148,SUMIFS('Merged Trusts and MFF year'!$C$1:$C$24,'Merged Trusts and MFF year'!$A$1:$A$24,$B148,'Merged Trusts and MFF year'!$D$1:$D$24,"2014-15"))</f>
        <v>1.0250928267729107</v>
      </c>
      <c r="P148" s="504">
        <f t="shared" ca="1" si="35"/>
        <v>0</v>
      </c>
      <c r="Q148" s="498">
        <f ca="1">IF(SUMIFS('Merged Trusts and MFF year'!$C$1:$C$24,'Merged Trusts and MFF year'!$A$1:$A$24,$B148,'Merged Trusts and MFF year'!$D$1:$D$24,"2015-16")=0,O148,SUMIFS('Merged Trusts and MFF year'!$C$1:$C$24,'Merged Trusts and MFF year'!$A$1:$A$24,$B148,'Merged Trusts and MFF year'!$D$1:$D$24,"2015-16"))</f>
        <v>1.0250928267729107</v>
      </c>
      <c r="R148" s="504">
        <f t="shared" ca="1" si="36"/>
        <v>0</v>
      </c>
      <c r="S148" s="498">
        <f ca="1">IF(SUMIFS('Merged Trusts and MFF year'!$C$1:$C$24,'Merged Trusts and MFF year'!$A$1:$A$24,$B148,'Merged Trusts and MFF year'!$D$1:$D$24,"2016-17")=0,Q148,SUMIFS('Merged Trusts and MFF year'!$C$1:$C$24,'Merged Trusts and MFF year'!$A$1:$A$24,$B148,'Merged Trusts and MFF year'!$D$1:$D$24,"2016-17"))</f>
        <v>1.0250928267729107</v>
      </c>
      <c r="T148" s="504">
        <f t="shared" ca="1" si="37"/>
        <v>0</v>
      </c>
      <c r="U148" s="459"/>
    </row>
    <row r="149" spans="1:21" ht="12.75" customHeight="1" x14ac:dyDescent="0.2">
      <c r="A149" s="171" t="s">
        <v>708</v>
      </c>
      <c r="B149" s="172" t="s">
        <v>3674</v>
      </c>
      <c r="C149" s="172" t="s">
        <v>3675</v>
      </c>
      <c r="D149" s="175">
        <f>INDEX('Base MFF calcs'!$I$7:$I$258,MATCH($B149,'Base MFF calcs'!$B$7:$B$258,0),1)</f>
        <v>0.95354995330846126</v>
      </c>
      <c r="E149" s="176">
        <f ca="1">D149/MIN('Base MFF calcs'!$I$7:$I$258)</f>
        <v>1.0293908281873669</v>
      </c>
      <c r="F149" s="176">
        <v>1.0293909999999999</v>
      </c>
      <c r="G149" s="511">
        <f t="shared" ca="1" si="30"/>
        <v>-1.6690706738931027E-7</v>
      </c>
      <c r="H149" s="174">
        <f t="shared" ca="1" si="31"/>
        <v>1.0293908281873669</v>
      </c>
      <c r="I149" s="501">
        <v>1.0293909999999999</v>
      </c>
      <c r="J149" s="177"/>
      <c r="K149" s="173">
        <f t="shared" ca="1" si="32"/>
        <v>1.0293908281873669</v>
      </c>
      <c r="L149" s="508">
        <f t="shared" ca="1" si="33"/>
        <v>0</v>
      </c>
      <c r="M149" s="174">
        <f t="shared" ca="1" si="34"/>
        <v>1.0293908281873669</v>
      </c>
      <c r="N149" s="174">
        <f ca="1">IF(SUMIFS('Merged Trusts and MFF year'!$C$1:$C$24,'Merged Trusts and MFF year'!$A$1:$A$24,$B149,'Merged Trusts and MFF year'!$D$1:$D$24,"2013-14")=0,M149,SUMIFS('Merged Trusts and MFF year'!$C$1:$C$24,'Merged Trusts and MFF year'!$A$1:$A$24,$B149,'Merged Trusts and MFF year'!$D$1:$D$24,"2013-14"))</f>
        <v>1.0293908281873669</v>
      </c>
      <c r="O149" s="498">
        <f ca="1">IF(SUMIFS('Merged Trusts and MFF year'!$C$1:$C$24,'Merged Trusts and MFF year'!$A$1:$A$24,$B149,'Merged Trusts and MFF year'!$D$1:$D$24,"2014-15")=0,N149,SUMIFS('Merged Trusts and MFF year'!$C$1:$C$24,'Merged Trusts and MFF year'!$A$1:$A$24,$B149,'Merged Trusts and MFF year'!$D$1:$D$24,"2014-15"))</f>
        <v>1.0293908281873669</v>
      </c>
      <c r="P149" s="504">
        <f t="shared" ca="1" si="35"/>
        <v>0</v>
      </c>
      <c r="Q149" s="498">
        <f ca="1">IF(SUMIFS('Merged Trusts and MFF year'!$C$1:$C$24,'Merged Trusts and MFF year'!$A$1:$A$24,$B149,'Merged Trusts and MFF year'!$D$1:$D$24,"2015-16")=0,O149,SUMIFS('Merged Trusts and MFF year'!$C$1:$C$24,'Merged Trusts and MFF year'!$A$1:$A$24,$B149,'Merged Trusts and MFF year'!$D$1:$D$24,"2015-16"))</f>
        <v>1.0293908281873669</v>
      </c>
      <c r="R149" s="504">
        <f t="shared" ca="1" si="36"/>
        <v>0</v>
      </c>
      <c r="S149" s="498">
        <f ca="1">IF(SUMIFS('Merged Trusts and MFF year'!$C$1:$C$24,'Merged Trusts and MFF year'!$A$1:$A$24,$B149,'Merged Trusts and MFF year'!$D$1:$D$24,"2016-17")=0,Q149,SUMIFS('Merged Trusts and MFF year'!$C$1:$C$24,'Merged Trusts and MFF year'!$A$1:$A$24,$B149,'Merged Trusts and MFF year'!$D$1:$D$24,"2016-17"))</f>
        <v>1.0293908281873669</v>
      </c>
      <c r="T149" s="504">
        <f t="shared" ca="1" si="37"/>
        <v>0</v>
      </c>
      <c r="U149" s="459"/>
    </row>
    <row r="150" spans="1:21" ht="12.75" customHeight="1" x14ac:dyDescent="0.2">
      <c r="A150" s="171" t="s">
        <v>708</v>
      </c>
      <c r="B150" s="172" t="s">
        <v>3676</v>
      </c>
      <c r="C150" s="172" t="s">
        <v>3677</v>
      </c>
      <c r="D150" s="175">
        <f>INDEX('Base MFF calcs'!$I$7:$I$258,MATCH($B150,'Base MFF calcs'!$B$7:$B$258,0),1)</f>
        <v>0.95412220496519429</v>
      </c>
      <c r="E150" s="176">
        <f ca="1">D150/MIN('Base MFF calcs'!$I$7:$I$258)</f>
        <v>1.0300085940472592</v>
      </c>
      <c r="F150" s="176">
        <v>1.030009</v>
      </c>
      <c r="G150" s="511">
        <f t="shared" ca="1" si="30"/>
        <v>-3.9412543073602535E-7</v>
      </c>
      <c r="H150" s="174">
        <f t="shared" ca="1" si="31"/>
        <v>1.0300085940472592</v>
      </c>
      <c r="I150" s="501">
        <v>1.030009</v>
      </c>
      <c r="J150" s="177"/>
      <c r="K150" s="173">
        <f t="shared" ca="1" si="32"/>
        <v>1.0300085940472592</v>
      </c>
      <c r="L150" s="508">
        <f t="shared" ca="1" si="33"/>
        <v>0</v>
      </c>
      <c r="M150" s="174">
        <f t="shared" ca="1" si="34"/>
        <v>1.0300085940472592</v>
      </c>
      <c r="N150" s="174">
        <f ca="1">IF(SUMIFS('Merged Trusts and MFF year'!$C$1:$C$24,'Merged Trusts and MFF year'!$A$1:$A$24,$B150,'Merged Trusts and MFF year'!$D$1:$D$24,"2013-14")=0,M150,SUMIFS('Merged Trusts and MFF year'!$C$1:$C$24,'Merged Trusts and MFF year'!$A$1:$A$24,$B150,'Merged Trusts and MFF year'!$D$1:$D$24,"2013-14"))</f>
        <v>1.0300085940472592</v>
      </c>
      <c r="O150" s="498">
        <f ca="1">IF(SUMIFS('Merged Trusts and MFF year'!$C$1:$C$24,'Merged Trusts and MFF year'!$A$1:$A$24,$B150,'Merged Trusts and MFF year'!$D$1:$D$24,"2014-15")=0,N150,SUMIFS('Merged Trusts and MFF year'!$C$1:$C$24,'Merged Trusts and MFF year'!$A$1:$A$24,$B150,'Merged Trusts and MFF year'!$D$1:$D$24,"2014-15"))</f>
        <v>1.0300085940472592</v>
      </c>
      <c r="P150" s="504">
        <f t="shared" ca="1" si="35"/>
        <v>0</v>
      </c>
      <c r="Q150" s="498">
        <f ca="1">IF(SUMIFS('Merged Trusts and MFF year'!$C$1:$C$24,'Merged Trusts and MFF year'!$A$1:$A$24,$B150,'Merged Trusts and MFF year'!$D$1:$D$24,"2015-16")=0,O150,SUMIFS('Merged Trusts and MFF year'!$C$1:$C$24,'Merged Trusts and MFF year'!$A$1:$A$24,$B150,'Merged Trusts and MFF year'!$D$1:$D$24,"2015-16"))</f>
        <v>1.0300085940472592</v>
      </c>
      <c r="R150" s="504">
        <f t="shared" ca="1" si="36"/>
        <v>0</v>
      </c>
      <c r="S150" s="498">
        <f ca="1">IF(SUMIFS('Merged Trusts and MFF year'!$C$1:$C$24,'Merged Trusts and MFF year'!$A$1:$A$24,$B150,'Merged Trusts and MFF year'!$D$1:$D$24,"2016-17")=0,Q150,SUMIFS('Merged Trusts and MFF year'!$C$1:$C$24,'Merged Trusts and MFF year'!$A$1:$A$24,$B150,'Merged Trusts and MFF year'!$D$1:$D$24,"2016-17"))</f>
        <v>1.0300085940472592</v>
      </c>
      <c r="T150" s="504">
        <f t="shared" ca="1" si="37"/>
        <v>0</v>
      </c>
      <c r="U150" s="459"/>
    </row>
    <row r="151" spans="1:21" ht="12.75" customHeight="1" x14ac:dyDescent="0.2">
      <c r="A151" s="171" t="s">
        <v>3069</v>
      </c>
      <c r="B151" s="172" t="s">
        <v>3678</v>
      </c>
      <c r="C151" s="172" t="s">
        <v>3679</v>
      </c>
      <c r="D151" s="175">
        <f>INDEX('Base MFF calcs'!$I$7:$I$258,MATCH($B151,'Base MFF calcs'!$B$7:$B$258,0),1)</f>
        <v>0.96219653949342687</v>
      </c>
      <c r="E151" s="176">
        <f ca="1">D151/MIN('Base MFF calcs'!$I$7:$I$258)</f>
        <v>1.0387251231375716</v>
      </c>
      <c r="F151" s="176">
        <v>1.0387249999999999</v>
      </c>
      <c r="G151" s="511">
        <f t="shared" ca="1" si="30"/>
        <v>1.1854684500711699E-7</v>
      </c>
      <c r="H151" s="174">
        <f t="shared" ca="1" si="31"/>
        <v>1.0387251231375716</v>
      </c>
      <c r="I151" s="501">
        <v>1.0387249999999999</v>
      </c>
      <c r="J151" s="177"/>
      <c r="K151" s="173">
        <f t="shared" ca="1" si="32"/>
        <v>1.0387251231375716</v>
      </c>
      <c r="L151" s="508">
        <f t="shared" ca="1" si="33"/>
        <v>0</v>
      </c>
      <c r="M151" s="174">
        <f t="shared" ca="1" si="34"/>
        <v>1.0387251231375716</v>
      </c>
      <c r="N151" s="174">
        <f ca="1">IF(SUMIFS('Merged Trusts and MFF year'!$C$1:$C$24,'Merged Trusts and MFF year'!$A$1:$A$24,$B151,'Merged Trusts and MFF year'!$D$1:$D$24,"2013-14")=0,M151,SUMIFS('Merged Trusts and MFF year'!$C$1:$C$24,'Merged Trusts and MFF year'!$A$1:$A$24,$B151,'Merged Trusts and MFF year'!$D$1:$D$24,"2013-14"))</f>
        <v>1.0387251231375716</v>
      </c>
      <c r="O151" s="498">
        <f ca="1">IF(SUMIFS('Merged Trusts and MFF year'!$C$1:$C$24,'Merged Trusts and MFF year'!$A$1:$A$24,$B151,'Merged Trusts and MFF year'!$D$1:$D$24,"2014-15")=0,N151,SUMIFS('Merged Trusts and MFF year'!$C$1:$C$24,'Merged Trusts and MFF year'!$A$1:$A$24,$B151,'Merged Trusts and MFF year'!$D$1:$D$24,"2014-15"))</f>
        <v>1.0387251231375716</v>
      </c>
      <c r="P151" s="504">
        <f t="shared" ca="1" si="35"/>
        <v>0</v>
      </c>
      <c r="Q151" s="498">
        <f ca="1">IF(SUMIFS('Merged Trusts and MFF year'!$C$1:$C$24,'Merged Trusts and MFF year'!$A$1:$A$24,$B151,'Merged Trusts and MFF year'!$D$1:$D$24,"2015-16")=0,O151,SUMIFS('Merged Trusts and MFF year'!$C$1:$C$24,'Merged Trusts and MFF year'!$A$1:$A$24,$B151,'Merged Trusts and MFF year'!$D$1:$D$24,"2015-16"))</f>
        <v>1.0387251231375716</v>
      </c>
      <c r="R151" s="504">
        <f t="shared" ca="1" si="36"/>
        <v>0</v>
      </c>
      <c r="S151" s="498">
        <f ca="1">IF(SUMIFS('Merged Trusts and MFF year'!$C$1:$C$24,'Merged Trusts and MFF year'!$A$1:$A$24,$B151,'Merged Trusts and MFF year'!$D$1:$D$24,"2016-17")=0,Q151,SUMIFS('Merged Trusts and MFF year'!$C$1:$C$24,'Merged Trusts and MFF year'!$A$1:$A$24,$B151,'Merged Trusts and MFF year'!$D$1:$D$24,"2016-17"))</f>
        <v>1.0387251231375716</v>
      </c>
      <c r="T151" s="504">
        <f t="shared" ca="1" si="37"/>
        <v>0</v>
      </c>
      <c r="U151" s="459"/>
    </row>
    <row r="152" spans="1:21" ht="12.75" customHeight="1" x14ac:dyDescent="0.2">
      <c r="A152" s="171" t="s">
        <v>3069</v>
      </c>
      <c r="B152" s="172" t="s">
        <v>3680</v>
      </c>
      <c r="C152" s="172" t="s">
        <v>3681</v>
      </c>
      <c r="D152" s="175">
        <f>INDEX('Base MFF calcs'!$I$7:$I$258,MATCH($B152,'Base MFF calcs'!$B$7:$B$258,0),1)</f>
        <v>0.95636608083685104</v>
      </c>
      <c r="E152" s="176">
        <f ca="1">D152/MIN('Base MFF calcs'!$I$7:$I$258)</f>
        <v>1.0324309372437119</v>
      </c>
      <c r="F152" s="176">
        <v>1.0324310000000001</v>
      </c>
      <c r="G152" s="511">
        <f t="shared" ref="G152:G183" ca="1" si="38">IF(F152="",0,E152/F152-1)</f>
        <v>-6.078497072348199E-8</v>
      </c>
      <c r="H152" s="174">
        <f t="shared" ref="H152:H183" ca="1" si="39">IF(ISERR(G152),E152,IF(G152&gt;2%,F152*1.02,IF(G152&lt;-2%,F152*0.98,E152)))</f>
        <v>1.0324309372437119</v>
      </c>
      <c r="I152" s="501">
        <v>1.0324309999999999</v>
      </c>
      <c r="J152" s="177"/>
      <c r="K152" s="173">
        <f t="shared" ref="K152:K183" ca="1" si="40">IF(LEFT(U152,6)="Merged","Merged",E152)</f>
        <v>1.0324309372437119</v>
      </c>
      <c r="L152" s="508">
        <f t="shared" ref="L152:L183" ca="1" si="41">IF(K152="Merged","N/A",K152/H152-1)</f>
        <v>0</v>
      </c>
      <c r="M152" s="174">
        <f t="shared" ref="M152:M183" ca="1" si="42">IF(L152="N/A",K152,IF(L152&gt;2%,1.02*H152,IF(L152&lt;-2%,0.98*H152,K152)))</f>
        <v>1.0324309372437119</v>
      </c>
      <c r="N152" s="174">
        <f ca="1">IF(SUMIFS('Merged Trusts and MFF year'!$C$1:$C$24,'Merged Trusts and MFF year'!$A$1:$A$24,$B152,'Merged Trusts and MFF year'!$D$1:$D$24,"2013-14")=0,M152,SUMIFS('Merged Trusts and MFF year'!$C$1:$C$24,'Merged Trusts and MFF year'!$A$1:$A$24,$B152,'Merged Trusts and MFF year'!$D$1:$D$24,"2013-14"))</f>
        <v>1.0324309372437119</v>
      </c>
      <c r="O152" s="498">
        <f ca="1">IF(SUMIFS('Merged Trusts and MFF year'!$C$1:$C$24,'Merged Trusts and MFF year'!$A$1:$A$24,$B152,'Merged Trusts and MFF year'!$D$1:$D$24,"2014-15")=0,N152,SUMIFS('Merged Trusts and MFF year'!$C$1:$C$24,'Merged Trusts and MFF year'!$A$1:$A$24,$B152,'Merged Trusts and MFF year'!$D$1:$D$24,"2014-15"))</f>
        <v>1.0324309372437119</v>
      </c>
      <c r="P152" s="504">
        <f t="shared" ca="1" si="35"/>
        <v>0</v>
      </c>
      <c r="Q152" s="498">
        <f ca="1">IF(SUMIFS('Merged Trusts and MFF year'!$C$1:$C$24,'Merged Trusts and MFF year'!$A$1:$A$24,$B152,'Merged Trusts and MFF year'!$D$1:$D$24,"2015-16")=0,O152,SUMIFS('Merged Trusts and MFF year'!$C$1:$C$24,'Merged Trusts and MFF year'!$A$1:$A$24,$B152,'Merged Trusts and MFF year'!$D$1:$D$24,"2015-16"))</f>
        <v>1.0324309372437119</v>
      </c>
      <c r="R152" s="504">
        <f t="shared" ca="1" si="36"/>
        <v>0</v>
      </c>
      <c r="S152" s="498">
        <f ca="1">IF(SUMIFS('Merged Trusts and MFF year'!$C$1:$C$24,'Merged Trusts and MFF year'!$A$1:$A$24,$B152,'Merged Trusts and MFF year'!$D$1:$D$24,"2016-17")=0,Q152,SUMIFS('Merged Trusts and MFF year'!$C$1:$C$24,'Merged Trusts and MFF year'!$A$1:$A$24,$B152,'Merged Trusts and MFF year'!$D$1:$D$24,"2016-17"))</f>
        <v>1.0324309372437119</v>
      </c>
      <c r="T152" s="504">
        <f t="shared" ca="1" si="37"/>
        <v>0</v>
      </c>
      <c r="U152" s="459"/>
    </row>
    <row r="153" spans="1:21" ht="12.75" customHeight="1" x14ac:dyDescent="0.2">
      <c r="A153" s="171" t="s">
        <v>191</v>
      </c>
      <c r="B153" s="172" t="s">
        <v>3684</v>
      </c>
      <c r="C153" s="468" t="s">
        <v>1306</v>
      </c>
      <c r="D153" s="175">
        <f>INDEX('Base MFF calcs'!$I$7:$I$258,MATCH($B153,'Base MFF calcs'!$B$7:$B$258,0),1)</f>
        <v>1.0288103438797267</v>
      </c>
      <c r="E153" s="176">
        <f ca="1">D153/MIN('Base MFF calcs'!$I$7:$I$258)</f>
        <v>1.110637075970254</v>
      </c>
      <c r="F153" s="176">
        <v>1.1106370000000001</v>
      </c>
      <c r="G153" s="511">
        <f t="shared" ca="1" si="38"/>
        <v>6.8402415731583233E-8</v>
      </c>
      <c r="H153" s="174">
        <f t="shared" ca="1" si="39"/>
        <v>1.110637075970254</v>
      </c>
      <c r="I153" s="501">
        <v>1.1106369999999999</v>
      </c>
      <c r="J153" s="177"/>
      <c r="K153" s="173">
        <f t="shared" ca="1" si="40"/>
        <v>1.110637075970254</v>
      </c>
      <c r="L153" s="508">
        <f t="shared" ca="1" si="41"/>
        <v>0</v>
      </c>
      <c r="M153" s="174">
        <f t="shared" ca="1" si="42"/>
        <v>1.110637075970254</v>
      </c>
      <c r="N153" s="174">
        <f ca="1">IF(SUMIFS('Merged Trusts and MFF year'!$C$1:$C$24,'Merged Trusts and MFF year'!$A$1:$A$24,$B153,'Merged Trusts and MFF year'!$D$1:$D$24,"2013-14")=0,M153,SUMIFS('Merged Trusts and MFF year'!$C$1:$C$24,'Merged Trusts and MFF year'!$A$1:$A$24,$B153,'Merged Trusts and MFF year'!$D$1:$D$24,"2013-14"))</f>
        <v>1.110637075970254</v>
      </c>
      <c r="O153" s="498">
        <f ca="1">IF(SUMIFS('Merged Trusts and MFF year'!$C$1:$C$24,'Merged Trusts and MFF year'!$A$1:$A$24,$B153,'Merged Trusts and MFF year'!$D$1:$D$24,"2014-15")=0,N153,SUMIFS('Merged Trusts and MFF year'!$C$1:$C$24,'Merged Trusts and MFF year'!$A$1:$A$24,$B153,'Merged Trusts and MFF year'!$D$1:$D$24,"2014-15"))</f>
        <v>1.110637075970254</v>
      </c>
      <c r="P153" s="504">
        <f t="shared" ca="1" si="35"/>
        <v>0</v>
      </c>
      <c r="Q153" s="498">
        <f ca="1">IF(SUMIFS('Merged Trusts and MFF year'!$C$1:$C$24,'Merged Trusts and MFF year'!$A$1:$A$24,$B153,'Merged Trusts and MFF year'!$D$1:$D$24,"2015-16")=0,O153,SUMIFS('Merged Trusts and MFF year'!$C$1:$C$24,'Merged Trusts and MFF year'!$A$1:$A$24,$B153,'Merged Trusts and MFF year'!$D$1:$D$24,"2015-16"))</f>
        <v>1.110637075970254</v>
      </c>
      <c r="R153" s="504">
        <f t="shared" ca="1" si="36"/>
        <v>0</v>
      </c>
      <c r="S153" s="498">
        <f ca="1">IF(SUMIFS('Merged Trusts and MFF year'!$C$1:$C$24,'Merged Trusts and MFF year'!$A$1:$A$24,$B153,'Merged Trusts and MFF year'!$D$1:$D$24,"2016-17")=0,Q153,SUMIFS('Merged Trusts and MFF year'!$C$1:$C$24,'Merged Trusts and MFF year'!$A$1:$A$24,$B153,'Merged Trusts and MFF year'!$D$1:$D$24,"2016-17"))</f>
        <v>1.110637075970254</v>
      </c>
      <c r="T153" s="504">
        <f t="shared" ca="1" si="37"/>
        <v>0</v>
      </c>
      <c r="U153" s="464"/>
    </row>
    <row r="154" spans="1:21" ht="12.75" customHeight="1" x14ac:dyDescent="0.2">
      <c r="A154" s="171" t="s">
        <v>191</v>
      </c>
      <c r="B154" s="172" t="s">
        <v>3682</v>
      </c>
      <c r="C154" s="172" t="s">
        <v>3683</v>
      </c>
      <c r="D154" s="175">
        <f>INDEX('Base MFF calcs'!$I$7:$I$258,MATCH($B154,'Base MFF calcs'!$B$7:$B$258,0),1)</f>
        <v>1.0192582936765897</v>
      </c>
      <c r="E154" s="174">
        <f ca="1">D154/MIN('Base MFF calcs'!$I$7:$I$258)</f>
        <v>1.1003253006559368</v>
      </c>
      <c r="F154" s="174" t="s">
        <v>636</v>
      </c>
      <c r="G154" s="511" t="e">
        <f t="shared" ca="1" si="38"/>
        <v>#VALUE!</v>
      </c>
      <c r="H154" s="174">
        <f t="shared" ca="1" si="39"/>
        <v>1.1003253006559368</v>
      </c>
      <c r="I154" s="501">
        <v>1.100325</v>
      </c>
      <c r="J154" s="177"/>
      <c r="K154" s="173">
        <f t="shared" ca="1" si="40"/>
        <v>1.1003253006559368</v>
      </c>
      <c r="L154" s="508">
        <f t="shared" ca="1" si="41"/>
        <v>0</v>
      </c>
      <c r="M154" s="174">
        <f t="shared" ca="1" si="42"/>
        <v>1.1003253006559368</v>
      </c>
      <c r="N154" s="174">
        <f ca="1">IF(SUMIFS('Merged Trusts and MFF year'!$C$1:$C$24,'Merged Trusts and MFF year'!$A$1:$A$24,$B154,'Merged Trusts and MFF year'!$D$1:$D$24,"2013-14")=0,M154,SUMIFS('Merged Trusts and MFF year'!$C$1:$C$24,'Merged Trusts and MFF year'!$A$1:$A$24,$B154,'Merged Trusts and MFF year'!$D$1:$D$24,"2013-14"))</f>
        <v>1.1003253006559368</v>
      </c>
      <c r="O154" s="498">
        <f ca="1">IF(SUMIFS('Merged Trusts and MFF year'!$C$1:$C$24,'Merged Trusts and MFF year'!$A$1:$A$24,$B154,'Merged Trusts and MFF year'!$D$1:$D$24,"2014-15")=0,N154,SUMIFS('Merged Trusts and MFF year'!$C$1:$C$24,'Merged Trusts and MFF year'!$A$1:$A$24,$B154,'Merged Trusts and MFF year'!$D$1:$D$24,"2014-15"))</f>
        <v>1.1003253006559368</v>
      </c>
      <c r="P154" s="504">
        <f t="shared" ca="1" si="35"/>
        <v>0</v>
      </c>
      <c r="Q154" s="498">
        <f ca="1">IF(SUMIFS('Merged Trusts and MFF year'!$C$1:$C$24,'Merged Trusts and MFF year'!$A$1:$A$24,$B154,'Merged Trusts and MFF year'!$D$1:$D$24,"2015-16")=0,O154,SUMIFS('Merged Trusts and MFF year'!$C$1:$C$24,'Merged Trusts and MFF year'!$A$1:$A$24,$B154,'Merged Trusts and MFF year'!$D$1:$D$24,"2015-16"))</f>
        <v>1.1003253006559368</v>
      </c>
      <c r="R154" s="504">
        <f t="shared" ca="1" si="36"/>
        <v>0</v>
      </c>
      <c r="S154" s="498">
        <f ca="1">IF(SUMIFS('Merged Trusts and MFF year'!$C$1:$C$24,'Merged Trusts and MFF year'!$A$1:$A$24,$B154,'Merged Trusts and MFF year'!$D$1:$D$24,"2016-17")=0,Q154,SUMIFS('Merged Trusts and MFF year'!$C$1:$C$24,'Merged Trusts and MFF year'!$A$1:$A$24,$B154,'Merged Trusts and MFF year'!$D$1:$D$24,"2016-17"))</f>
        <v>1.1003253006559368</v>
      </c>
      <c r="T154" s="504">
        <f t="shared" ca="1" si="37"/>
        <v>0</v>
      </c>
      <c r="U154" s="459"/>
    </row>
    <row r="155" spans="1:21" x14ac:dyDescent="0.2">
      <c r="A155" s="171" t="s">
        <v>191</v>
      </c>
      <c r="B155" s="172" t="s">
        <v>3686</v>
      </c>
      <c r="C155" s="172" t="s">
        <v>3687</v>
      </c>
      <c r="D155" s="175">
        <f>INDEX('Base MFF calcs'!$I$7:$I$258,MATCH($B155,'Base MFF calcs'!$B$7:$B$258,0),1)</f>
        <v>1.0290770121724697</v>
      </c>
      <c r="E155" s="176">
        <f ca="1">D155/MIN('Base MFF calcs'!$I$7:$I$258)</f>
        <v>1.1109249538037806</v>
      </c>
      <c r="F155" s="176">
        <v>1.1109249999999999</v>
      </c>
      <c r="G155" s="511">
        <f t="shared" ca="1" si="38"/>
        <v>-4.1583562593316969E-8</v>
      </c>
      <c r="H155" s="174">
        <f t="shared" ca="1" si="39"/>
        <v>1.1109249538037806</v>
      </c>
      <c r="I155" s="501">
        <v>1.1109249999999999</v>
      </c>
      <c r="J155" s="177"/>
      <c r="K155" s="173" t="str">
        <f t="shared" si="40"/>
        <v>Merged</v>
      </c>
      <c r="L155" s="508" t="str">
        <f t="shared" si="41"/>
        <v>N/A</v>
      </c>
      <c r="M155" s="174" t="str">
        <f t="shared" si="42"/>
        <v>Merged</v>
      </c>
      <c r="N155" s="174" t="str">
        <f>IF(SUMIFS('Merged Trusts and MFF year'!$C$1:$C$24,'Merged Trusts and MFF year'!$A$1:$A$24,$B155,'Merged Trusts and MFF year'!$D$1:$D$24,"2013-14")=0,M155,SUMIFS('Merged Trusts and MFF year'!$C$1:$C$24,'Merged Trusts and MFF year'!$A$1:$A$24,$B155,'Merged Trusts and MFF year'!$D$1:$D$24,"2013-14"))</f>
        <v>Merged</v>
      </c>
      <c r="O155" s="498" t="str">
        <f>IF(SUMIFS('Merged Trusts and MFF year'!$C$1:$C$24,'Merged Trusts and MFF year'!$A$1:$A$24,$B155,'Merged Trusts and MFF year'!$D$1:$D$24,"2014-15")=0,N155,SUMIFS('Merged Trusts and MFF year'!$C$1:$C$24,'Merged Trusts and MFF year'!$A$1:$A$24,$B155,'Merged Trusts and MFF year'!$D$1:$D$24,"2014-15"))</f>
        <v>Merged</v>
      </c>
      <c r="P155" s="504" t="str">
        <f t="shared" si="35"/>
        <v>N/A</v>
      </c>
      <c r="Q155" s="498" t="str">
        <f>IF(SUMIFS('Merged Trusts and MFF year'!$C$1:$C$24,'Merged Trusts and MFF year'!$A$1:$A$24,$B155,'Merged Trusts and MFF year'!$D$1:$D$24,"2015-16")=0,O155,SUMIFS('Merged Trusts and MFF year'!$C$1:$C$24,'Merged Trusts and MFF year'!$A$1:$A$24,$B155,'Merged Trusts and MFF year'!$D$1:$D$24,"2015-16"))</f>
        <v>Merged</v>
      </c>
      <c r="R155" s="504" t="str">
        <f t="shared" si="36"/>
        <v>N/A</v>
      </c>
      <c r="S155" s="498" t="str">
        <f>IF(SUMIFS('Merged Trusts and MFF year'!$C$1:$C$24,'Merged Trusts and MFF year'!$A$1:$A$24,$B155,'Merged Trusts and MFF year'!$D$1:$D$24,"2016-17")=0,Q155,SUMIFS('Merged Trusts and MFF year'!$C$1:$C$24,'Merged Trusts and MFF year'!$A$1:$A$24,$B155,'Merged Trusts and MFF year'!$D$1:$D$24,"2016-17"))</f>
        <v>Merged</v>
      </c>
      <c r="T155" s="504" t="str">
        <f t="shared" si="37"/>
        <v>N/A</v>
      </c>
      <c r="U155" s="459" t="s">
        <v>4206</v>
      </c>
    </row>
    <row r="156" spans="1:21" ht="12.75" customHeight="1" x14ac:dyDescent="0.2">
      <c r="A156" s="171" t="s">
        <v>1167</v>
      </c>
      <c r="B156" s="172" t="s">
        <v>3688</v>
      </c>
      <c r="C156" s="172" t="s">
        <v>3689</v>
      </c>
      <c r="D156" s="175">
        <f>INDEX('Base MFF calcs'!$I$7:$I$258,MATCH($B156,'Base MFF calcs'!$B$7:$B$258,0),1)</f>
        <v>1.0909075151323882</v>
      </c>
      <c r="E156" s="176">
        <f ca="1">D156/MIN('Base MFF calcs'!$I$7:$I$258)</f>
        <v>1.1776731639298659</v>
      </c>
      <c r="F156" s="176">
        <v>1.177673</v>
      </c>
      <c r="G156" s="511">
        <f t="shared" ca="1" si="38"/>
        <v>1.3919811858720266E-7</v>
      </c>
      <c r="H156" s="174">
        <f t="shared" ca="1" si="39"/>
        <v>1.1776731639298659</v>
      </c>
      <c r="I156" s="501">
        <v>1.177673</v>
      </c>
      <c r="J156" s="177"/>
      <c r="K156" s="173">
        <f t="shared" ca="1" si="40"/>
        <v>1.1776731639298659</v>
      </c>
      <c r="L156" s="508">
        <f t="shared" ca="1" si="41"/>
        <v>0</v>
      </c>
      <c r="M156" s="174">
        <f t="shared" ca="1" si="42"/>
        <v>1.1776731639298659</v>
      </c>
      <c r="N156" s="174">
        <f ca="1">IF(SUMIFS('Merged Trusts and MFF year'!$C$1:$C$24,'Merged Trusts and MFF year'!$A$1:$A$24,$B156,'Merged Trusts and MFF year'!$D$1:$D$24,"2013-14")=0,M156,SUMIFS('Merged Trusts and MFF year'!$C$1:$C$24,'Merged Trusts and MFF year'!$A$1:$A$24,$B156,'Merged Trusts and MFF year'!$D$1:$D$24,"2013-14"))</f>
        <v>1.1776731639298659</v>
      </c>
      <c r="O156" s="498">
        <f ca="1">IF(SUMIFS('Merged Trusts and MFF year'!$C$1:$C$24,'Merged Trusts and MFF year'!$A$1:$A$24,$B156,'Merged Trusts and MFF year'!$D$1:$D$24,"2014-15")=0,N156,SUMIFS('Merged Trusts and MFF year'!$C$1:$C$24,'Merged Trusts and MFF year'!$A$1:$A$24,$B156,'Merged Trusts and MFF year'!$D$1:$D$24,"2014-15"))</f>
        <v>1.1776731639298659</v>
      </c>
      <c r="P156" s="504">
        <f t="shared" ca="1" si="35"/>
        <v>0</v>
      </c>
      <c r="Q156" s="498">
        <f ca="1">IF(SUMIFS('Merged Trusts and MFF year'!$C$1:$C$24,'Merged Trusts and MFF year'!$A$1:$A$24,$B156,'Merged Trusts and MFF year'!$D$1:$D$24,"2015-16")=0,O156,SUMIFS('Merged Trusts and MFF year'!$C$1:$C$24,'Merged Trusts and MFF year'!$A$1:$A$24,$B156,'Merged Trusts and MFF year'!$D$1:$D$24,"2015-16"))</f>
        <v>1.1776731639298659</v>
      </c>
      <c r="R156" s="504">
        <f t="shared" ca="1" si="36"/>
        <v>0</v>
      </c>
      <c r="S156" s="498">
        <f ca="1">IF(SUMIFS('Merged Trusts and MFF year'!$C$1:$C$24,'Merged Trusts and MFF year'!$A$1:$A$24,$B156,'Merged Trusts and MFF year'!$D$1:$D$24,"2016-17")=0,Q156,SUMIFS('Merged Trusts and MFF year'!$C$1:$C$24,'Merged Trusts and MFF year'!$A$1:$A$24,$B156,'Merged Trusts and MFF year'!$D$1:$D$24,"2016-17"))</f>
        <v>1.1776731639298659</v>
      </c>
      <c r="T156" s="504">
        <f t="shared" ca="1" si="37"/>
        <v>0</v>
      </c>
      <c r="U156" s="459"/>
    </row>
    <row r="157" spans="1:21" ht="12.75" customHeight="1" x14ac:dyDescent="0.2">
      <c r="A157" s="171" t="s">
        <v>1127</v>
      </c>
      <c r="B157" s="172" t="s">
        <v>3690</v>
      </c>
      <c r="C157" s="172" t="s">
        <v>3691</v>
      </c>
      <c r="D157" s="175">
        <f>INDEX('Base MFF calcs'!$I$7:$I$258,MATCH($B157,'Base MFF calcs'!$B$7:$B$258,0),1)</f>
        <v>1.0005892229238411</v>
      </c>
      <c r="E157" s="176">
        <f ca="1">D157/MIN('Base MFF calcs'!$I$7:$I$258)</f>
        <v>1.0801713798917629</v>
      </c>
      <c r="F157" s="176">
        <v>1.080171</v>
      </c>
      <c r="G157" s="511">
        <f t="shared" ca="1" si="38"/>
        <v>3.5169594725381614E-7</v>
      </c>
      <c r="H157" s="174">
        <f t="shared" ca="1" si="39"/>
        <v>1.0801713798917629</v>
      </c>
      <c r="I157" s="501">
        <v>1.080171</v>
      </c>
      <c r="J157" s="177"/>
      <c r="K157" s="173">
        <f t="shared" ca="1" si="40"/>
        <v>1.0801713798917629</v>
      </c>
      <c r="L157" s="508">
        <f t="shared" ca="1" si="41"/>
        <v>0</v>
      </c>
      <c r="M157" s="174">
        <f t="shared" ca="1" si="42"/>
        <v>1.0801713798917629</v>
      </c>
      <c r="N157" s="174">
        <f ca="1">IF(SUMIFS('Merged Trusts and MFF year'!$C$1:$C$24,'Merged Trusts and MFF year'!$A$1:$A$24,$B157,'Merged Trusts and MFF year'!$D$1:$D$24,"2013-14")=0,M157,SUMIFS('Merged Trusts and MFF year'!$C$1:$C$24,'Merged Trusts and MFF year'!$A$1:$A$24,$B157,'Merged Trusts and MFF year'!$D$1:$D$24,"2013-14"))</f>
        <v>1.0801713798917629</v>
      </c>
      <c r="O157" s="498">
        <f ca="1">IF(SUMIFS('Merged Trusts and MFF year'!$C$1:$C$24,'Merged Trusts and MFF year'!$A$1:$A$24,$B157,'Merged Trusts and MFF year'!$D$1:$D$24,"2014-15")=0,N157,SUMIFS('Merged Trusts and MFF year'!$C$1:$C$24,'Merged Trusts and MFF year'!$A$1:$A$24,$B157,'Merged Trusts and MFF year'!$D$1:$D$24,"2014-15"))</f>
        <v>1.0801713798917629</v>
      </c>
      <c r="P157" s="504">
        <f t="shared" ca="1" si="35"/>
        <v>0</v>
      </c>
      <c r="Q157" s="498">
        <f ca="1">IF(SUMIFS('Merged Trusts and MFF year'!$C$1:$C$24,'Merged Trusts and MFF year'!$A$1:$A$24,$B157,'Merged Trusts and MFF year'!$D$1:$D$24,"2015-16")=0,O157,SUMIFS('Merged Trusts and MFF year'!$C$1:$C$24,'Merged Trusts and MFF year'!$A$1:$A$24,$B157,'Merged Trusts and MFF year'!$D$1:$D$24,"2015-16"))</f>
        <v>1.0801713798917629</v>
      </c>
      <c r="R157" s="504">
        <f t="shared" ca="1" si="36"/>
        <v>0</v>
      </c>
      <c r="S157" s="498">
        <f ca="1">IF(SUMIFS('Merged Trusts and MFF year'!$C$1:$C$24,'Merged Trusts and MFF year'!$A$1:$A$24,$B157,'Merged Trusts and MFF year'!$D$1:$D$24,"2016-17")=0,Q157,SUMIFS('Merged Trusts and MFF year'!$C$1:$C$24,'Merged Trusts and MFF year'!$A$1:$A$24,$B157,'Merged Trusts and MFF year'!$D$1:$D$24,"2016-17"))</f>
        <v>1.0801713798917629</v>
      </c>
      <c r="T157" s="504">
        <f t="shared" ca="1" si="37"/>
        <v>0</v>
      </c>
      <c r="U157" s="459"/>
    </row>
    <row r="158" spans="1:21" ht="12.75" customHeight="1" x14ac:dyDescent="0.2">
      <c r="A158" s="171" t="s">
        <v>2975</v>
      </c>
      <c r="B158" s="172" t="s">
        <v>3692</v>
      </c>
      <c r="C158" s="172" t="s">
        <v>3693</v>
      </c>
      <c r="D158" s="175">
        <f>INDEX('Base MFF calcs'!$I$7:$I$258,MATCH($B158,'Base MFF calcs'!$B$7:$B$258,0),1)</f>
        <v>0.97166437761923974</v>
      </c>
      <c r="E158" s="176">
        <f ca="1">D158/MIN('Base MFF calcs'!$I$7:$I$258)</f>
        <v>1.0489459885423249</v>
      </c>
      <c r="F158" s="176">
        <v>1.0489459999999999</v>
      </c>
      <c r="G158" s="511">
        <f t="shared" ca="1" si="38"/>
        <v>-1.0923036142251874E-8</v>
      </c>
      <c r="H158" s="174">
        <f t="shared" ca="1" si="39"/>
        <v>1.0489459885423249</v>
      </c>
      <c r="I158" s="501">
        <v>1.0489459999999999</v>
      </c>
      <c r="J158" s="177"/>
      <c r="K158" s="173">
        <f t="shared" ca="1" si="40"/>
        <v>1.0489459885423249</v>
      </c>
      <c r="L158" s="508">
        <f t="shared" ca="1" si="41"/>
        <v>0</v>
      </c>
      <c r="M158" s="174">
        <f t="shared" ca="1" si="42"/>
        <v>1.0489459885423249</v>
      </c>
      <c r="N158" s="174">
        <f ca="1">IF(SUMIFS('Merged Trusts and MFF year'!$C$1:$C$24,'Merged Trusts and MFF year'!$A$1:$A$24,$B158,'Merged Trusts and MFF year'!$D$1:$D$24,"2013-14")=0,M158,SUMIFS('Merged Trusts and MFF year'!$C$1:$C$24,'Merged Trusts and MFF year'!$A$1:$A$24,$B158,'Merged Trusts and MFF year'!$D$1:$D$24,"2013-14"))</f>
        <v>1.0489459885423249</v>
      </c>
      <c r="O158" s="498">
        <f ca="1">IF(SUMIFS('Merged Trusts and MFF year'!$C$1:$C$24,'Merged Trusts and MFF year'!$A$1:$A$24,$B158,'Merged Trusts and MFF year'!$D$1:$D$24,"2014-15")=0,N158,SUMIFS('Merged Trusts and MFF year'!$C$1:$C$24,'Merged Trusts and MFF year'!$A$1:$A$24,$B158,'Merged Trusts and MFF year'!$D$1:$D$24,"2014-15"))</f>
        <v>1.0489459885423249</v>
      </c>
      <c r="P158" s="504">
        <f t="shared" ca="1" si="35"/>
        <v>0</v>
      </c>
      <c r="Q158" s="498">
        <f ca="1">IF(SUMIFS('Merged Trusts and MFF year'!$C$1:$C$24,'Merged Trusts and MFF year'!$A$1:$A$24,$B158,'Merged Trusts and MFF year'!$D$1:$D$24,"2015-16")=0,O158,SUMIFS('Merged Trusts and MFF year'!$C$1:$C$24,'Merged Trusts and MFF year'!$A$1:$A$24,$B158,'Merged Trusts and MFF year'!$D$1:$D$24,"2015-16"))</f>
        <v>1.0489459885423249</v>
      </c>
      <c r="R158" s="504">
        <f t="shared" ca="1" si="36"/>
        <v>0</v>
      </c>
      <c r="S158" s="498">
        <f ca="1">IF(SUMIFS('Merged Trusts and MFF year'!$C$1:$C$24,'Merged Trusts and MFF year'!$A$1:$A$24,$B158,'Merged Trusts and MFF year'!$D$1:$D$24,"2016-17")=0,Q158,SUMIFS('Merged Trusts and MFF year'!$C$1:$C$24,'Merged Trusts and MFF year'!$A$1:$A$24,$B158,'Merged Trusts and MFF year'!$D$1:$D$24,"2016-17"))</f>
        <v>1.0489459885423249</v>
      </c>
      <c r="T158" s="504">
        <f t="shared" ca="1" si="37"/>
        <v>0</v>
      </c>
      <c r="U158" s="459"/>
    </row>
    <row r="159" spans="1:21" ht="12.75" customHeight="1" x14ac:dyDescent="0.2">
      <c r="A159" s="171" t="s">
        <v>2975</v>
      </c>
      <c r="B159" s="172" t="s">
        <v>3694</v>
      </c>
      <c r="C159" s="386" t="s">
        <v>3695</v>
      </c>
      <c r="D159" s="175">
        <f>INDEX('Base MFF calcs'!$I$7:$I$258,MATCH($B159,'Base MFF calcs'!$B$7:$B$258,0),1)</f>
        <v>0.97386381921087417</v>
      </c>
      <c r="E159" s="176">
        <f ca="1">D159/MIN('Base MFF calcs'!$I$7:$I$258)</f>
        <v>1.0513203633652763</v>
      </c>
      <c r="F159" s="176">
        <v>1.05132</v>
      </c>
      <c r="G159" s="511">
        <f t="shared" ca="1" si="38"/>
        <v>3.4562766448864579E-7</v>
      </c>
      <c r="H159" s="174">
        <f t="shared" ca="1" si="39"/>
        <v>1.0513203633652763</v>
      </c>
      <c r="I159" s="501">
        <v>1.05132</v>
      </c>
      <c r="J159" s="177"/>
      <c r="K159" s="173">
        <f t="shared" ca="1" si="40"/>
        <v>1.0513203633652763</v>
      </c>
      <c r="L159" s="508">
        <f t="shared" ca="1" si="41"/>
        <v>0</v>
      </c>
      <c r="M159" s="174">
        <f t="shared" ca="1" si="42"/>
        <v>1.0513203633652763</v>
      </c>
      <c r="N159" s="174">
        <f ca="1">IF(SUMIFS('Merged Trusts and MFF year'!$C$1:$C$24,'Merged Trusts and MFF year'!$A$1:$A$24,$B159,'Merged Trusts and MFF year'!$D$1:$D$24,"2013-14")=0,M159,SUMIFS('Merged Trusts and MFF year'!$C$1:$C$24,'Merged Trusts and MFF year'!$A$1:$A$24,$B159,'Merged Trusts and MFF year'!$D$1:$D$24,"2013-14"))</f>
        <v>1.0513203633652763</v>
      </c>
      <c r="O159" s="498">
        <f ca="1">IF(SUMIFS('Merged Trusts and MFF year'!$C$1:$C$24,'Merged Trusts and MFF year'!$A$1:$A$24,$B159,'Merged Trusts and MFF year'!$D$1:$D$24,"2014-15")=0,N159,SUMIFS('Merged Trusts and MFF year'!$C$1:$C$24,'Merged Trusts and MFF year'!$A$1:$A$24,$B159,'Merged Trusts and MFF year'!$D$1:$D$24,"2014-15"))</f>
        <v>1.0513203633652763</v>
      </c>
      <c r="P159" s="504">
        <f t="shared" ca="1" si="35"/>
        <v>0</v>
      </c>
      <c r="Q159" s="498">
        <f ca="1">IF(SUMIFS('Merged Trusts and MFF year'!$C$1:$C$24,'Merged Trusts and MFF year'!$A$1:$A$24,$B159,'Merged Trusts and MFF year'!$D$1:$D$24,"2015-16")=0,O159,SUMIFS('Merged Trusts and MFF year'!$C$1:$C$24,'Merged Trusts and MFF year'!$A$1:$A$24,$B159,'Merged Trusts and MFF year'!$D$1:$D$24,"2015-16"))</f>
        <v>1.0513203633652763</v>
      </c>
      <c r="R159" s="504">
        <f t="shared" ca="1" si="36"/>
        <v>0</v>
      </c>
      <c r="S159" s="498">
        <f ca="1">IF(SUMIFS('Merged Trusts and MFF year'!$C$1:$C$24,'Merged Trusts and MFF year'!$A$1:$A$24,$B159,'Merged Trusts and MFF year'!$D$1:$D$24,"2016-17")=0,Q159,SUMIFS('Merged Trusts and MFF year'!$C$1:$C$24,'Merged Trusts and MFF year'!$A$1:$A$24,$B159,'Merged Trusts and MFF year'!$D$1:$D$24,"2016-17"))</f>
        <v>1.0513203633652763</v>
      </c>
      <c r="T159" s="504">
        <f t="shared" ca="1" si="37"/>
        <v>0</v>
      </c>
      <c r="U159" s="459"/>
    </row>
    <row r="160" spans="1:21" ht="12.75" customHeight="1" x14ac:dyDescent="0.2">
      <c r="A160" s="171" t="s">
        <v>1127</v>
      </c>
      <c r="B160" s="172" t="s">
        <v>3696</v>
      </c>
      <c r="C160" s="172" t="s">
        <v>3697</v>
      </c>
      <c r="D160" s="175">
        <f>INDEX('Base MFF calcs'!$I$7:$I$258,MATCH($B160,'Base MFF calcs'!$B$7:$B$258,0),1)</f>
        <v>0.98212420512108944</v>
      </c>
      <c r="E160" s="176">
        <f ca="1">D160/MIN('Base MFF calcs'!$I$7:$I$258)</f>
        <v>1.0602377414887412</v>
      </c>
      <c r="F160" s="176">
        <v>1.060238</v>
      </c>
      <c r="G160" s="511">
        <f t="shared" ca="1" si="38"/>
        <v>-2.4382380070520071E-7</v>
      </c>
      <c r="H160" s="174">
        <f t="shared" ca="1" si="39"/>
        <v>1.0602377414887412</v>
      </c>
      <c r="I160" s="501">
        <v>1.060238</v>
      </c>
      <c r="J160" s="177"/>
      <c r="K160" s="173">
        <f t="shared" ca="1" si="40"/>
        <v>1.0602377414887412</v>
      </c>
      <c r="L160" s="508">
        <f t="shared" ca="1" si="41"/>
        <v>0</v>
      </c>
      <c r="M160" s="174">
        <f t="shared" ca="1" si="42"/>
        <v>1.0602377414887412</v>
      </c>
      <c r="N160" s="174">
        <f ca="1">IF(SUMIFS('Merged Trusts and MFF year'!$C$1:$C$24,'Merged Trusts and MFF year'!$A$1:$A$24,$B160,'Merged Trusts and MFF year'!$D$1:$D$24,"2013-14")=0,M160,SUMIFS('Merged Trusts and MFF year'!$C$1:$C$24,'Merged Trusts and MFF year'!$A$1:$A$24,$B160,'Merged Trusts and MFF year'!$D$1:$D$24,"2013-14"))</f>
        <v>1.0602377414887412</v>
      </c>
      <c r="O160" s="498">
        <f ca="1">IF(SUMIFS('Merged Trusts and MFF year'!$C$1:$C$24,'Merged Trusts and MFF year'!$A$1:$A$24,$B160,'Merged Trusts and MFF year'!$D$1:$D$24,"2014-15")=0,N160,SUMIFS('Merged Trusts and MFF year'!$C$1:$C$24,'Merged Trusts and MFF year'!$A$1:$A$24,$B160,'Merged Trusts and MFF year'!$D$1:$D$24,"2014-15"))</f>
        <v>1.0602377414887412</v>
      </c>
      <c r="P160" s="504">
        <f t="shared" ca="1" si="35"/>
        <v>0</v>
      </c>
      <c r="Q160" s="498">
        <f ca="1">IF(SUMIFS('Merged Trusts and MFF year'!$C$1:$C$24,'Merged Trusts and MFF year'!$A$1:$A$24,$B160,'Merged Trusts and MFF year'!$D$1:$D$24,"2015-16")=0,O160,SUMIFS('Merged Trusts and MFF year'!$C$1:$C$24,'Merged Trusts and MFF year'!$A$1:$A$24,$B160,'Merged Trusts and MFF year'!$D$1:$D$24,"2015-16"))</f>
        <v>1.0602377414887412</v>
      </c>
      <c r="R160" s="504">
        <f t="shared" ca="1" si="36"/>
        <v>0</v>
      </c>
      <c r="S160" s="498">
        <f ca="1">IF(SUMIFS('Merged Trusts and MFF year'!$C$1:$C$24,'Merged Trusts and MFF year'!$A$1:$A$24,$B160,'Merged Trusts and MFF year'!$D$1:$D$24,"2016-17")=0,Q160,SUMIFS('Merged Trusts and MFF year'!$C$1:$C$24,'Merged Trusts and MFF year'!$A$1:$A$24,$B160,'Merged Trusts and MFF year'!$D$1:$D$24,"2016-17"))</f>
        <v>1.0602377414887412</v>
      </c>
      <c r="T160" s="504">
        <f t="shared" ca="1" si="37"/>
        <v>0</v>
      </c>
      <c r="U160" s="459"/>
    </row>
    <row r="161" spans="1:21" ht="12.75" customHeight="1" x14ac:dyDescent="0.2">
      <c r="A161" s="171" t="s">
        <v>3528</v>
      </c>
      <c r="B161" s="172" t="s">
        <v>3698</v>
      </c>
      <c r="C161" s="386" t="s">
        <v>3699</v>
      </c>
      <c r="D161" s="175">
        <f>INDEX('Base MFF calcs'!$I$7:$I$258,MATCH($B161,'Base MFF calcs'!$B$7:$B$258,0),1)</f>
        <v>0.94097866170433075</v>
      </c>
      <c r="E161" s="176">
        <f ca="1">D161/MIN('Base MFF calcs'!$I$7:$I$258)</f>
        <v>1.0158196752227411</v>
      </c>
      <c r="F161" s="176">
        <v>1.0158199999999999</v>
      </c>
      <c r="G161" s="511">
        <f t="shared" ca="1" si="38"/>
        <v>-3.1971929959073719E-7</v>
      </c>
      <c r="H161" s="174">
        <f t="shared" ca="1" si="39"/>
        <v>1.0158196752227411</v>
      </c>
      <c r="I161" s="501">
        <v>1.0158199999999999</v>
      </c>
      <c r="J161" s="177"/>
      <c r="K161" s="173">
        <f t="shared" ca="1" si="40"/>
        <v>1.0158196752227411</v>
      </c>
      <c r="L161" s="508">
        <f t="shared" ca="1" si="41"/>
        <v>0</v>
      </c>
      <c r="M161" s="174">
        <f t="shared" ca="1" si="42"/>
        <v>1.0158196752227411</v>
      </c>
      <c r="N161" s="174">
        <f ca="1">IF(SUMIFS('Merged Trusts and MFF year'!$C$1:$C$24,'Merged Trusts and MFF year'!$A$1:$A$24,$B161,'Merged Trusts and MFF year'!$D$1:$D$24,"2013-14")=0,M161,SUMIFS('Merged Trusts and MFF year'!$C$1:$C$24,'Merged Trusts and MFF year'!$A$1:$A$24,$B161,'Merged Trusts and MFF year'!$D$1:$D$24,"2013-14"))</f>
        <v>1.0158196752227411</v>
      </c>
      <c r="O161" s="498">
        <f ca="1">IF(SUMIFS('Merged Trusts and MFF year'!$C$1:$C$24,'Merged Trusts and MFF year'!$A$1:$A$24,$B161,'Merged Trusts and MFF year'!$D$1:$D$24,"2014-15")=0,N161,SUMIFS('Merged Trusts and MFF year'!$C$1:$C$24,'Merged Trusts and MFF year'!$A$1:$A$24,$B161,'Merged Trusts and MFF year'!$D$1:$D$24,"2014-15"))</f>
        <v>1.0158196752227411</v>
      </c>
      <c r="P161" s="504">
        <f t="shared" ca="1" si="35"/>
        <v>0</v>
      </c>
      <c r="Q161" s="498">
        <f ca="1">IF(SUMIFS('Merged Trusts and MFF year'!$C$1:$C$24,'Merged Trusts and MFF year'!$A$1:$A$24,$B161,'Merged Trusts and MFF year'!$D$1:$D$24,"2015-16")=0,O161,SUMIFS('Merged Trusts and MFF year'!$C$1:$C$24,'Merged Trusts and MFF year'!$A$1:$A$24,$B161,'Merged Trusts and MFF year'!$D$1:$D$24,"2015-16"))</f>
        <v>1.0158196752227411</v>
      </c>
      <c r="R161" s="504">
        <f t="shared" ca="1" si="36"/>
        <v>0</v>
      </c>
      <c r="S161" s="498">
        <f ca="1">IF(SUMIFS('Merged Trusts and MFF year'!$C$1:$C$24,'Merged Trusts and MFF year'!$A$1:$A$24,$B161,'Merged Trusts and MFF year'!$D$1:$D$24,"2016-17")=0,Q161,SUMIFS('Merged Trusts and MFF year'!$C$1:$C$24,'Merged Trusts and MFF year'!$A$1:$A$24,$B161,'Merged Trusts and MFF year'!$D$1:$D$24,"2016-17"))</f>
        <v>1.0158196752227411</v>
      </c>
      <c r="T161" s="504">
        <f t="shared" ca="1" si="37"/>
        <v>0</v>
      </c>
      <c r="U161" s="459"/>
    </row>
    <row r="162" spans="1:21" ht="12.75" customHeight="1" x14ac:dyDescent="0.2">
      <c r="A162" s="171" t="s">
        <v>3528</v>
      </c>
      <c r="B162" s="172" t="s">
        <v>3700</v>
      </c>
      <c r="C162" s="172" t="s">
        <v>3701</v>
      </c>
      <c r="D162" s="175">
        <f>INDEX('Base MFF calcs'!$I$7:$I$258,MATCH($B162,'Base MFF calcs'!$B$7:$B$258,0),1)</f>
        <v>0.98804625194548001</v>
      </c>
      <c r="E162" s="176">
        <f ca="1">D162/MIN('Base MFF calcs'!$I$7:$I$258)</f>
        <v>1.0666308000421736</v>
      </c>
      <c r="F162" s="176">
        <v>1.0666310000000001</v>
      </c>
      <c r="G162" s="511">
        <f t="shared" ca="1" si="38"/>
        <v>-1.874667308054967E-7</v>
      </c>
      <c r="H162" s="174">
        <f t="shared" ca="1" si="39"/>
        <v>1.0666308000421736</v>
      </c>
      <c r="I162" s="501">
        <v>1.0666309999999999</v>
      </c>
      <c r="J162" s="177"/>
      <c r="K162" s="173">
        <f t="shared" ca="1" si="40"/>
        <v>1.0666308000421736</v>
      </c>
      <c r="L162" s="508">
        <f t="shared" ca="1" si="41"/>
        <v>0</v>
      </c>
      <c r="M162" s="174">
        <f t="shared" ca="1" si="42"/>
        <v>1.0666308000421736</v>
      </c>
      <c r="N162" s="174">
        <f ca="1">IF(SUMIFS('Merged Trusts and MFF year'!$C$1:$C$24,'Merged Trusts and MFF year'!$A$1:$A$24,$B162,'Merged Trusts and MFF year'!$D$1:$D$24,"2013-14")=0,M162,SUMIFS('Merged Trusts and MFF year'!$C$1:$C$24,'Merged Trusts and MFF year'!$A$1:$A$24,$B162,'Merged Trusts and MFF year'!$D$1:$D$24,"2013-14"))</f>
        <v>1.0666308000421736</v>
      </c>
      <c r="O162" s="498">
        <f ca="1">IF(SUMIFS('Merged Trusts and MFF year'!$C$1:$C$24,'Merged Trusts and MFF year'!$A$1:$A$24,$B162,'Merged Trusts and MFF year'!$D$1:$D$24,"2014-15")=0,N162,SUMIFS('Merged Trusts and MFF year'!$C$1:$C$24,'Merged Trusts and MFF year'!$A$1:$A$24,$B162,'Merged Trusts and MFF year'!$D$1:$D$24,"2014-15"))</f>
        <v>1.0666308000421736</v>
      </c>
      <c r="P162" s="504">
        <f t="shared" ca="1" si="35"/>
        <v>0</v>
      </c>
      <c r="Q162" s="498">
        <f ca="1">IF(SUMIFS('Merged Trusts and MFF year'!$C$1:$C$24,'Merged Trusts and MFF year'!$A$1:$A$24,$B162,'Merged Trusts and MFF year'!$D$1:$D$24,"2015-16")=0,O162,SUMIFS('Merged Trusts and MFF year'!$C$1:$C$24,'Merged Trusts and MFF year'!$A$1:$A$24,$B162,'Merged Trusts and MFF year'!$D$1:$D$24,"2015-16"))</f>
        <v>1.0666308000421736</v>
      </c>
      <c r="R162" s="504">
        <f t="shared" ca="1" si="36"/>
        <v>0</v>
      </c>
      <c r="S162" s="498">
        <f ca="1">IF(SUMIFS('Merged Trusts and MFF year'!$C$1:$C$24,'Merged Trusts and MFF year'!$A$1:$A$24,$B162,'Merged Trusts and MFF year'!$D$1:$D$24,"2016-17")=0,Q162,SUMIFS('Merged Trusts and MFF year'!$C$1:$C$24,'Merged Trusts and MFF year'!$A$1:$A$24,$B162,'Merged Trusts and MFF year'!$D$1:$D$24,"2016-17"))</f>
        <v>1.0666308000421736</v>
      </c>
      <c r="T162" s="504">
        <f t="shared" ca="1" si="37"/>
        <v>0</v>
      </c>
      <c r="U162" s="459"/>
    </row>
    <row r="163" spans="1:21" ht="12.75" customHeight="1" x14ac:dyDescent="0.2">
      <c r="A163" s="171" t="s">
        <v>191</v>
      </c>
      <c r="B163" s="172" t="s">
        <v>3702</v>
      </c>
      <c r="C163" s="172" t="s">
        <v>3703</v>
      </c>
      <c r="D163" s="175">
        <f>INDEX('Base MFF calcs'!$I$7:$I$258,MATCH($B163,'Base MFF calcs'!$B$7:$B$258,0),1)</f>
        <v>1.0087459726585919</v>
      </c>
      <c r="E163" s="176">
        <f ca="1">D163/MIN('Base MFF calcs'!$I$7:$I$258)</f>
        <v>1.0889768791061873</v>
      </c>
      <c r="F163" s="176">
        <v>1.0889770000000001</v>
      </c>
      <c r="G163" s="511">
        <f t="shared" ca="1" si="38"/>
        <v>-1.1101594687978888E-7</v>
      </c>
      <c r="H163" s="174">
        <f t="shared" ca="1" si="39"/>
        <v>1.0889768791061873</v>
      </c>
      <c r="I163" s="501">
        <v>1.0889769999999999</v>
      </c>
      <c r="J163" s="177"/>
      <c r="K163" s="173">
        <f t="shared" ca="1" si="40"/>
        <v>1.0889768791061873</v>
      </c>
      <c r="L163" s="508">
        <f t="shared" ca="1" si="41"/>
        <v>0</v>
      </c>
      <c r="M163" s="174">
        <f t="shared" ca="1" si="42"/>
        <v>1.0889768791061873</v>
      </c>
      <c r="N163" s="174">
        <f ca="1">IF(SUMIFS('Merged Trusts and MFF year'!$C$1:$C$24,'Merged Trusts and MFF year'!$A$1:$A$24,$B163,'Merged Trusts and MFF year'!$D$1:$D$24,"2013-14")=0,M163,SUMIFS('Merged Trusts and MFF year'!$C$1:$C$24,'Merged Trusts and MFF year'!$A$1:$A$24,$B163,'Merged Trusts and MFF year'!$D$1:$D$24,"2013-14"))</f>
        <v>1.0889768791061873</v>
      </c>
      <c r="O163" s="498">
        <f ca="1">IF(SUMIFS('Merged Trusts and MFF year'!$C$1:$C$24,'Merged Trusts and MFF year'!$A$1:$A$24,$B163,'Merged Trusts and MFF year'!$D$1:$D$24,"2014-15")=0,N163,SUMIFS('Merged Trusts and MFF year'!$C$1:$C$24,'Merged Trusts and MFF year'!$A$1:$A$24,$B163,'Merged Trusts and MFF year'!$D$1:$D$24,"2014-15"))</f>
        <v>1.0889768791061873</v>
      </c>
      <c r="P163" s="504">
        <f t="shared" ca="1" si="35"/>
        <v>0</v>
      </c>
      <c r="Q163" s="498">
        <f ca="1">IF(SUMIFS('Merged Trusts and MFF year'!$C$1:$C$24,'Merged Trusts and MFF year'!$A$1:$A$24,$B163,'Merged Trusts and MFF year'!$D$1:$D$24,"2015-16")=0,O163,SUMIFS('Merged Trusts and MFF year'!$C$1:$C$24,'Merged Trusts and MFF year'!$A$1:$A$24,$B163,'Merged Trusts and MFF year'!$D$1:$D$24,"2015-16"))</f>
        <v>1.0889768791061873</v>
      </c>
      <c r="R163" s="504">
        <f t="shared" ca="1" si="36"/>
        <v>0</v>
      </c>
      <c r="S163" s="498">
        <f ca="1">IF(SUMIFS('Merged Trusts and MFF year'!$C$1:$C$24,'Merged Trusts and MFF year'!$A$1:$A$24,$B163,'Merged Trusts and MFF year'!$D$1:$D$24,"2016-17")=0,Q163,SUMIFS('Merged Trusts and MFF year'!$C$1:$C$24,'Merged Trusts and MFF year'!$A$1:$A$24,$B163,'Merged Trusts and MFF year'!$D$1:$D$24,"2016-17"))</f>
        <v>1.0889768791061873</v>
      </c>
      <c r="T163" s="504">
        <f t="shared" ca="1" si="37"/>
        <v>0</v>
      </c>
      <c r="U163" s="459"/>
    </row>
    <row r="164" spans="1:21" ht="12.75" customHeight="1" x14ac:dyDescent="0.2">
      <c r="A164" s="171" t="s">
        <v>3496</v>
      </c>
      <c r="B164" s="172" t="s">
        <v>3704</v>
      </c>
      <c r="C164" s="172" t="s">
        <v>3705</v>
      </c>
      <c r="D164" s="175">
        <f>INDEX('Base MFF calcs'!$I$7:$I$258,MATCH($B164,'Base MFF calcs'!$B$7:$B$258,0),1)</f>
        <v>1.0587132985969907</v>
      </c>
      <c r="E164" s="176">
        <f ca="1">D164/MIN('Base MFF calcs'!$I$7:$I$258)</f>
        <v>1.142918370951028</v>
      </c>
      <c r="F164" s="176">
        <v>1.1429180000000001</v>
      </c>
      <c r="G164" s="511">
        <f t="shared" ca="1" si="38"/>
        <v>3.2456486631637915E-7</v>
      </c>
      <c r="H164" s="174">
        <f t="shared" ca="1" si="39"/>
        <v>1.142918370951028</v>
      </c>
      <c r="I164" s="501">
        <v>1.1429179999999999</v>
      </c>
      <c r="J164" s="177"/>
      <c r="K164" s="173">
        <f t="shared" ca="1" si="40"/>
        <v>1.142918370951028</v>
      </c>
      <c r="L164" s="508">
        <f t="shared" ca="1" si="41"/>
        <v>0</v>
      </c>
      <c r="M164" s="174">
        <f t="shared" ca="1" si="42"/>
        <v>1.142918370951028</v>
      </c>
      <c r="N164" s="174">
        <f ca="1">IF(SUMIFS('Merged Trusts and MFF year'!$C$1:$C$24,'Merged Trusts and MFF year'!$A$1:$A$24,$B164,'Merged Trusts and MFF year'!$D$1:$D$24,"2013-14")=0,M164,SUMIFS('Merged Trusts and MFF year'!$C$1:$C$24,'Merged Trusts and MFF year'!$A$1:$A$24,$B164,'Merged Trusts and MFF year'!$D$1:$D$24,"2013-14"))</f>
        <v>1.142918370951028</v>
      </c>
      <c r="O164" s="498">
        <f ca="1">IF(SUMIFS('Merged Trusts and MFF year'!$C$1:$C$24,'Merged Trusts and MFF year'!$A$1:$A$24,$B164,'Merged Trusts and MFF year'!$D$1:$D$24,"2014-15")=0,N164,SUMIFS('Merged Trusts and MFF year'!$C$1:$C$24,'Merged Trusts and MFF year'!$A$1:$A$24,$B164,'Merged Trusts and MFF year'!$D$1:$D$24,"2014-15"))</f>
        <v>1.142918370951028</v>
      </c>
      <c r="P164" s="504">
        <f t="shared" ca="1" si="35"/>
        <v>0</v>
      </c>
      <c r="Q164" s="498">
        <f ca="1">IF(SUMIFS('Merged Trusts and MFF year'!$C$1:$C$24,'Merged Trusts and MFF year'!$A$1:$A$24,$B164,'Merged Trusts and MFF year'!$D$1:$D$24,"2015-16")=0,O164,SUMIFS('Merged Trusts and MFF year'!$C$1:$C$24,'Merged Trusts and MFF year'!$A$1:$A$24,$B164,'Merged Trusts and MFF year'!$D$1:$D$24,"2015-16"))</f>
        <v>1.142918370951028</v>
      </c>
      <c r="R164" s="504">
        <f t="shared" ca="1" si="36"/>
        <v>0</v>
      </c>
      <c r="S164" s="498">
        <f ca="1">IF(SUMIFS('Merged Trusts and MFF year'!$C$1:$C$24,'Merged Trusts and MFF year'!$A$1:$A$24,$B164,'Merged Trusts and MFF year'!$D$1:$D$24,"2016-17")=0,Q164,SUMIFS('Merged Trusts and MFF year'!$C$1:$C$24,'Merged Trusts and MFF year'!$A$1:$A$24,$B164,'Merged Trusts and MFF year'!$D$1:$D$24,"2016-17"))</f>
        <v>1.142918370951028</v>
      </c>
      <c r="T164" s="504">
        <f t="shared" ca="1" si="37"/>
        <v>0</v>
      </c>
      <c r="U164" s="459"/>
    </row>
    <row r="165" spans="1:21" ht="12.75" customHeight="1" x14ac:dyDescent="0.2">
      <c r="A165" s="171" t="s">
        <v>2133</v>
      </c>
      <c r="B165" s="172" t="s">
        <v>3706</v>
      </c>
      <c r="C165" s="468" t="s">
        <v>1302</v>
      </c>
      <c r="D165" s="175">
        <f>INDEX('Base MFF calcs'!$I$7:$I$258,MATCH($B165,'Base MFF calcs'!$B$7:$B$258,0),1)</f>
        <v>0.95561008016282867</v>
      </c>
      <c r="E165" s="176">
        <f ca="1">D165/MIN('Base MFF calcs'!$I$7:$I$258)</f>
        <v>1.0316148078346106</v>
      </c>
      <c r="F165" s="176">
        <v>1.0316149999999999</v>
      </c>
      <c r="G165" s="511">
        <f t="shared" ca="1" si="38"/>
        <v>-1.8627626530154373E-7</v>
      </c>
      <c r="H165" s="174">
        <f t="shared" ca="1" si="39"/>
        <v>1.0316148078346106</v>
      </c>
      <c r="I165" s="501">
        <v>1.0316149999999999</v>
      </c>
      <c r="J165" s="177"/>
      <c r="K165" s="173">
        <f t="shared" ca="1" si="40"/>
        <v>1.0316148078346106</v>
      </c>
      <c r="L165" s="508">
        <f t="shared" ca="1" si="41"/>
        <v>0</v>
      </c>
      <c r="M165" s="174">
        <f t="shared" ca="1" si="42"/>
        <v>1.0316148078346106</v>
      </c>
      <c r="N165" s="174">
        <f ca="1">IF(SUMIFS('Merged Trusts and MFF year'!$C$1:$C$24,'Merged Trusts and MFF year'!$A$1:$A$24,$B165,'Merged Trusts and MFF year'!$D$1:$D$24,"2013-14")=0,M165,SUMIFS('Merged Trusts and MFF year'!$C$1:$C$24,'Merged Trusts and MFF year'!$A$1:$A$24,$B165,'Merged Trusts and MFF year'!$D$1:$D$24,"2013-14"))</f>
        <v>1.0316148078346106</v>
      </c>
      <c r="O165" s="498">
        <f ca="1">IF(SUMIFS('Merged Trusts and MFF year'!$C$1:$C$24,'Merged Trusts and MFF year'!$A$1:$A$24,$B165,'Merged Trusts and MFF year'!$D$1:$D$24,"2014-15")=0,N165,SUMIFS('Merged Trusts and MFF year'!$C$1:$C$24,'Merged Trusts and MFF year'!$A$1:$A$24,$B165,'Merged Trusts and MFF year'!$D$1:$D$24,"2014-15"))</f>
        <v>1.0316148078346106</v>
      </c>
      <c r="P165" s="504">
        <f t="shared" ca="1" si="35"/>
        <v>0</v>
      </c>
      <c r="Q165" s="498">
        <f ca="1">IF(SUMIFS('Merged Trusts and MFF year'!$C$1:$C$24,'Merged Trusts and MFF year'!$A$1:$A$24,$B165,'Merged Trusts and MFF year'!$D$1:$D$24,"2015-16")=0,O165,SUMIFS('Merged Trusts and MFF year'!$C$1:$C$24,'Merged Trusts and MFF year'!$A$1:$A$24,$B165,'Merged Trusts and MFF year'!$D$1:$D$24,"2015-16"))</f>
        <v>1.0316148078346106</v>
      </c>
      <c r="R165" s="504">
        <f t="shared" ca="1" si="36"/>
        <v>0</v>
      </c>
      <c r="S165" s="498">
        <f ca="1">IF(SUMIFS('Merged Trusts and MFF year'!$C$1:$C$24,'Merged Trusts and MFF year'!$A$1:$A$24,$B165,'Merged Trusts and MFF year'!$D$1:$D$24,"2016-17")=0,Q165,SUMIFS('Merged Trusts and MFF year'!$C$1:$C$24,'Merged Trusts and MFF year'!$A$1:$A$24,$B165,'Merged Trusts and MFF year'!$D$1:$D$24,"2016-17"))</f>
        <v>1.0316148078346106</v>
      </c>
      <c r="T165" s="504">
        <f t="shared" ca="1" si="37"/>
        <v>0</v>
      </c>
      <c r="U165" s="464"/>
    </row>
    <row r="166" spans="1:21" ht="12.75" customHeight="1" x14ac:dyDescent="0.2">
      <c r="A166" s="171" t="s">
        <v>3034</v>
      </c>
      <c r="B166" s="172" t="s">
        <v>3708</v>
      </c>
      <c r="C166" s="468" t="s">
        <v>1316</v>
      </c>
      <c r="D166" s="175">
        <f>INDEX('Base MFF calcs'!$I$7:$I$258,MATCH($B166,'Base MFF calcs'!$B$7:$B$258,0),1)</f>
        <v>0.95805399136498637</v>
      </c>
      <c r="E166" s="176">
        <f ca="1">D166/MIN('Base MFF calcs'!$I$7:$I$258)</f>
        <v>1.0342530962301759</v>
      </c>
      <c r="F166" s="176">
        <v>1.0342530000000001</v>
      </c>
      <c r="G166" s="511">
        <f t="shared" ca="1" si="38"/>
        <v>9.3043168281070621E-8</v>
      </c>
      <c r="H166" s="174">
        <f t="shared" ca="1" si="39"/>
        <v>1.0342530962301759</v>
      </c>
      <c r="I166" s="501">
        <v>1.0342529999999999</v>
      </c>
      <c r="J166" s="177"/>
      <c r="K166" s="173">
        <f t="shared" ca="1" si="40"/>
        <v>1.0342530962301759</v>
      </c>
      <c r="L166" s="508">
        <f t="shared" ca="1" si="41"/>
        <v>0</v>
      </c>
      <c r="M166" s="174">
        <f t="shared" ca="1" si="42"/>
        <v>1.0342530962301759</v>
      </c>
      <c r="N166" s="174">
        <f ca="1">IF(SUMIFS('Merged Trusts and MFF year'!$C$1:$C$24,'Merged Trusts and MFF year'!$A$1:$A$24,$B166,'Merged Trusts and MFF year'!$D$1:$D$24,"2013-14")=0,M166,SUMIFS('Merged Trusts and MFF year'!$C$1:$C$24,'Merged Trusts and MFF year'!$A$1:$A$24,$B166,'Merged Trusts and MFF year'!$D$1:$D$24,"2013-14"))</f>
        <v>1.0342530962301759</v>
      </c>
      <c r="O166" s="498">
        <f ca="1">IF(SUMIFS('Merged Trusts and MFF year'!$C$1:$C$24,'Merged Trusts and MFF year'!$A$1:$A$24,$B166,'Merged Trusts and MFF year'!$D$1:$D$24,"2014-15")=0,N166,SUMIFS('Merged Trusts and MFF year'!$C$1:$C$24,'Merged Trusts and MFF year'!$A$1:$A$24,$B166,'Merged Trusts and MFF year'!$D$1:$D$24,"2014-15"))</f>
        <v>1.0342530962301759</v>
      </c>
      <c r="P166" s="504">
        <f t="shared" ca="1" si="35"/>
        <v>0</v>
      </c>
      <c r="Q166" s="498">
        <f ca="1">IF(SUMIFS('Merged Trusts and MFF year'!$C$1:$C$24,'Merged Trusts and MFF year'!$A$1:$A$24,$B166,'Merged Trusts and MFF year'!$D$1:$D$24,"2015-16")=0,O166,SUMIFS('Merged Trusts and MFF year'!$C$1:$C$24,'Merged Trusts and MFF year'!$A$1:$A$24,$B166,'Merged Trusts and MFF year'!$D$1:$D$24,"2015-16"))</f>
        <v>1.0342530962301759</v>
      </c>
      <c r="R166" s="504">
        <f t="shared" ca="1" si="36"/>
        <v>0</v>
      </c>
      <c r="S166" s="498">
        <f ca="1">IF(SUMIFS('Merged Trusts and MFF year'!$C$1:$C$24,'Merged Trusts and MFF year'!$A$1:$A$24,$B166,'Merged Trusts and MFF year'!$D$1:$D$24,"2016-17")=0,Q166,SUMIFS('Merged Trusts and MFF year'!$C$1:$C$24,'Merged Trusts and MFF year'!$A$1:$A$24,$B166,'Merged Trusts and MFF year'!$D$1:$D$24,"2016-17"))</f>
        <v>1.0342530962301759</v>
      </c>
      <c r="T166" s="504">
        <f t="shared" ca="1" si="37"/>
        <v>0</v>
      </c>
      <c r="U166" s="464"/>
    </row>
    <row r="167" spans="1:21" ht="12.75" customHeight="1" x14ac:dyDescent="0.2">
      <c r="A167" s="171" t="s">
        <v>191</v>
      </c>
      <c r="B167" s="172" t="s">
        <v>3710</v>
      </c>
      <c r="C167" s="172" t="s">
        <v>3711</v>
      </c>
      <c r="D167" s="175">
        <f>INDEX('Base MFF calcs'!$I$7:$I$258,MATCH($B167,'Base MFF calcs'!$B$7:$B$258,0),1)</f>
        <v>1.0650500544411026</v>
      </c>
      <c r="E167" s="176">
        <f ca="1">D167/MIN('Base MFF calcs'!$I$7:$I$258)</f>
        <v>1.1497591225275543</v>
      </c>
      <c r="F167" s="176">
        <v>1.149759</v>
      </c>
      <c r="G167" s="511">
        <f t="shared" ca="1" si="38"/>
        <v>1.065680323986129E-7</v>
      </c>
      <c r="H167" s="174">
        <f t="shared" ca="1" si="39"/>
        <v>1.1497591225275543</v>
      </c>
      <c r="I167" s="501">
        <v>1.149759</v>
      </c>
      <c r="J167" s="177"/>
      <c r="K167" s="173">
        <f t="shared" ca="1" si="40"/>
        <v>1.1497591225275543</v>
      </c>
      <c r="L167" s="508">
        <f t="shared" ca="1" si="41"/>
        <v>0</v>
      </c>
      <c r="M167" s="174">
        <f t="shared" ca="1" si="42"/>
        <v>1.1497591225275543</v>
      </c>
      <c r="N167" s="174">
        <f ca="1">IF(SUMIFS('Merged Trusts and MFF year'!$C$1:$C$24,'Merged Trusts and MFF year'!$A$1:$A$24,$B167,'Merged Trusts and MFF year'!$D$1:$D$24,"2013-14")=0,M167,SUMIFS('Merged Trusts and MFF year'!$C$1:$C$24,'Merged Trusts and MFF year'!$A$1:$A$24,$B167,'Merged Trusts and MFF year'!$D$1:$D$24,"2013-14"))</f>
        <v>1.1497591225275543</v>
      </c>
      <c r="O167" s="498">
        <f ca="1">IF(SUMIFS('Merged Trusts and MFF year'!$C$1:$C$24,'Merged Trusts and MFF year'!$A$1:$A$24,$B167,'Merged Trusts and MFF year'!$D$1:$D$24,"2014-15")=0,N167,SUMIFS('Merged Trusts and MFF year'!$C$1:$C$24,'Merged Trusts and MFF year'!$A$1:$A$24,$B167,'Merged Trusts and MFF year'!$D$1:$D$24,"2014-15"))</f>
        <v>1.1497591225275543</v>
      </c>
      <c r="P167" s="504">
        <f t="shared" ca="1" si="35"/>
        <v>0</v>
      </c>
      <c r="Q167" s="498">
        <f ca="1">IF(SUMIFS('Merged Trusts and MFF year'!$C$1:$C$24,'Merged Trusts and MFF year'!$A$1:$A$24,$B167,'Merged Trusts and MFF year'!$D$1:$D$24,"2015-16")=0,O167,SUMIFS('Merged Trusts and MFF year'!$C$1:$C$24,'Merged Trusts and MFF year'!$A$1:$A$24,$B167,'Merged Trusts and MFF year'!$D$1:$D$24,"2015-16"))</f>
        <v>1.1497591225275543</v>
      </c>
      <c r="R167" s="504">
        <f t="shared" ca="1" si="36"/>
        <v>0</v>
      </c>
      <c r="S167" s="498">
        <f ca="1">IF(SUMIFS('Merged Trusts and MFF year'!$C$1:$C$24,'Merged Trusts and MFF year'!$A$1:$A$24,$B167,'Merged Trusts and MFF year'!$D$1:$D$24,"2016-17")=0,Q167,SUMIFS('Merged Trusts and MFF year'!$C$1:$C$24,'Merged Trusts and MFF year'!$A$1:$A$24,$B167,'Merged Trusts and MFF year'!$D$1:$D$24,"2016-17"))</f>
        <v>1.1497591225275543</v>
      </c>
      <c r="T167" s="504">
        <f t="shared" ca="1" si="37"/>
        <v>0</v>
      </c>
      <c r="U167" s="459"/>
    </row>
    <row r="168" spans="1:21" ht="12.75" customHeight="1" x14ac:dyDescent="0.2">
      <c r="A168" s="171" t="s">
        <v>1167</v>
      </c>
      <c r="B168" s="172" t="s">
        <v>3714</v>
      </c>
      <c r="C168" s="172" t="s">
        <v>3715</v>
      </c>
      <c r="D168" s="175">
        <f>INDEX('Base MFF calcs'!$I$7:$I$258,MATCH($B168,'Base MFF calcs'!$B$7:$B$258,0),1)</f>
        <v>1.1608654427647642</v>
      </c>
      <c r="E168" s="176">
        <f ca="1">D168/MIN('Base MFF calcs'!$I$7:$I$258)</f>
        <v>1.2531952158306623</v>
      </c>
      <c r="F168" s="176">
        <v>1.2531950000000001</v>
      </c>
      <c r="G168" s="511">
        <f t="shared" ca="1" si="38"/>
        <v>1.7222432435737289E-7</v>
      </c>
      <c r="H168" s="174">
        <f t="shared" ca="1" si="39"/>
        <v>1.2531952158306623</v>
      </c>
      <c r="I168" s="501">
        <v>1.2531949999999998</v>
      </c>
      <c r="J168" s="177"/>
      <c r="K168" s="173">
        <f t="shared" ca="1" si="40"/>
        <v>1.2531952158306623</v>
      </c>
      <c r="L168" s="508">
        <f t="shared" ca="1" si="41"/>
        <v>0</v>
      </c>
      <c r="M168" s="174">
        <f t="shared" ca="1" si="42"/>
        <v>1.2531952158306623</v>
      </c>
      <c r="N168" s="174">
        <f ca="1">IF(SUMIFS('Merged Trusts and MFF year'!$C$1:$C$24,'Merged Trusts and MFF year'!$A$1:$A$24,$B168,'Merged Trusts and MFF year'!$D$1:$D$24,"2013-14")=0,M168,SUMIFS('Merged Trusts and MFF year'!$C$1:$C$24,'Merged Trusts and MFF year'!$A$1:$A$24,$B168,'Merged Trusts and MFF year'!$D$1:$D$24,"2013-14"))</f>
        <v>1.2531952158306623</v>
      </c>
      <c r="O168" s="498">
        <f ca="1">IF(SUMIFS('Merged Trusts and MFF year'!$C$1:$C$24,'Merged Trusts and MFF year'!$A$1:$A$24,$B168,'Merged Trusts and MFF year'!$D$1:$D$24,"2014-15")=0,N168,SUMIFS('Merged Trusts and MFF year'!$C$1:$C$24,'Merged Trusts and MFF year'!$A$1:$A$24,$B168,'Merged Trusts and MFF year'!$D$1:$D$24,"2014-15"))</f>
        <v>1.2531952158306623</v>
      </c>
      <c r="P168" s="504">
        <f t="shared" ca="1" si="35"/>
        <v>0</v>
      </c>
      <c r="Q168" s="498">
        <f ca="1">IF(SUMIFS('Merged Trusts and MFF year'!$C$1:$C$24,'Merged Trusts and MFF year'!$A$1:$A$24,$B168,'Merged Trusts and MFF year'!$D$1:$D$24,"2015-16")=0,O168,SUMIFS('Merged Trusts and MFF year'!$C$1:$C$24,'Merged Trusts and MFF year'!$A$1:$A$24,$B168,'Merged Trusts and MFF year'!$D$1:$D$24,"2015-16"))</f>
        <v>1.2531952158306623</v>
      </c>
      <c r="R168" s="504">
        <f t="shared" ca="1" si="36"/>
        <v>0</v>
      </c>
      <c r="S168" s="498">
        <f ca="1">IF(SUMIFS('Merged Trusts and MFF year'!$C$1:$C$24,'Merged Trusts and MFF year'!$A$1:$A$24,$B168,'Merged Trusts and MFF year'!$D$1:$D$24,"2016-17")=0,Q168,SUMIFS('Merged Trusts and MFF year'!$C$1:$C$24,'Merged Trusts and MFF year'!$A$1:$A$24,$B168,'Merged Trusts and MFF year'!$D$1:$D$24,"2016-17"))</f>
        <v>1.2531952158306623</v>
      </c>
      <c r="T168" s="504">
        <f t="shared" ca="1" si="37"/>
        <v>0</v>
      </c>
      <c r="U168" s="459"/>
    </row>
    <row r="169" spans="1:21" ht="12.75" customHeight="1" x14ac:dyDescent="0.2">
      <c r="A169" s="171" t="s">
        <v>3528</v>
      </c>
      <c r="B169" s="172" t="s">
        <v>3716</v>
      </c>
      <c r="C169" s="172" t="s">
        <v>3717</v>
      </c>
      <c r="D169" s="483">
        <f>INDEX('Base MFF calcs'!$I$7:$I$258,MATCH($B169,'Base MFF calcs'!$B$7:$B$258,0),1)</f>
        <v>0.92927852277956413</v>
      </c>
      <c r="E169" s="176">
        <f ca="1">D169/MIN('Base MFF calcs'!$I$7:$I$258)</f>
        <v>1.0031889623210368</v>
      </c>
      <c r="F169" s="176">
        <v>1.0031890000000001</v>
      </c>
      <c r="G169" s="511">
        <f t="shared" ca="1" si="38"/>
        <v>-3.7559186982782933E-8</v>
      </c>
      <c r="H169" s="174">
        <f t="shared" ca="1" si="39"/>
        <v>1.0031889623210368</v>
      </c>
      <c r="I169" s="501">
        <v>1.0031889999999999</v>
      </c>
      <c r="J169" s="177"/>
      <c r="K169" s="173">
        <f t="shared" ca="1" si="40"/>
        <v>1.0031889623210368</v>
      </c>
      <c r="L169" s="508">
        <f t="shared" ca="1" si="41"/>
        <v>0</v>
      </c>
      <c r="M169" s="174">
        <f t="shared" ca="1" si="42"/>
        <v>1.0031889623210368</v>
      </c>
      <c r="N169" s="174">
        <f ca="1">IF(SUMIFS('Merged Trusts and MFF year'!$C$1:$C$24,'Merged Trusts and MFF year'!$A$1:$A$24,$B169,'Merged Trusts and MFF year'!$D$1:$D$24,"2013-14")=0,M169,SUMIFS('Merged Trusts and MFF year'!$C$1:$C$24,'Merged Trusts and MFF year'!$A$1:$A$24,$B169,'Merged Trusts and MFF year'!$D$1:$D$24,"2013-14"))</f>
        <v>1.0031889623210368</v>
      </c>
      <c r="O169" s="498">
        <f ca="1">IF(SUMIFS('Merged Trusts and MFF year'!$C$1:$C$24,'Merged Trusts and MFF year'!$A$1:$A$24,$B169,'Merged Trusts and MFF year'!$D$1:$D$24,"2014-15")=0,N169,SUMIFS('Merged Trusts and MFF year'!$C$1:$C$24,'Merged Trusts and MFF year'!$A$1:$A$24,$B169,'Merged Trusts and MFF year'!$D$1:$D$24,"2014-15"))</f>
        <v>1.0031889623210368</v>
      </c>
      <c r="P169" s="504">
        <f t="shared" ca="1" si="35"/>
        <v>0</v>
      </c>
      <c r="Q169" s="498">
        <f ca="1">IF(SUMIFS('Merged Trusts and MFF year'!$C$1:$C$24,'Merged Trusts and MFF year'!$A$1:$A$24,$B169,'Merged Trusts and MFF year'!$D$1:$D$24,"2015-16")=0,O169,SUMIFS('Merged Trusts and MFF year'!$C$1:$C$24,'Merged Trusts and MFF year'!$A$1:$A$24,$B169,'Merged Trusts and MFF year'!$D$1:$D$24,"2015-16"))</f>
        <v>1.0031889623210368</v>
      </c>
      <c r="R169" s="504">
        <f t="shared" ca="1" si="36"/>
        <v>0</v>
      </c>
      <c r="S169" s="498">
        <f ca="1">IF(SUMIFS('Merged Trusts and MFF year'!$C$1:$C$24,'Merged Trusts and MFF year'!$A$1:$A$24,$B169,'Merged Trusts and MFF year'!$D$1:$D$24,"2016-17")=0,Q169,SUMIFS('Merged Trusts and MFF year'!$C$1:$C$24,'Merged Trusts and MFF year'!$A$1:$A$24,$B169,'Merged Trusts and MFF year'!$D$1:$D$24,"2016-17"))</f>
        <v>1.0031889623210368</v>
      </c>
      <c r="T169" s="504">
        <f t="shared" ca="1" si="37"/>
        <v>0</v>
      </c>
      <c r="U169" s="459"/>
    </row>
    <row r="170" spans="1:21" ht="12.75" customHeight="1" x14ac:dyDescent="0.2">
      <c r="A170" s="171" t="s">
        <v>3528</v>
      </c>
      <c r="B170" s="172" t="s">
        <v>3718</v>
      </c>
      <c r="C170" s="172" t="s">
        <v>3719</v>
      </c>
      <c r="D170" s="175">
        <f>INDEX('Base MFF calcs'!$I$7:$I$258,MATCH($B170,'Base MFF calcs'!$B$7:$B$258,0),1)</f>
        <v>0.94591413447854289</v>
      </c>
      <c r="E170" s="176">
        <f ca="1">D170/MIN('Base MFF calcs'!$I$7:$I$258)</f>
        <v>1.0211476922698974</v>
      </c>
      <c r="F170" s="176">
        <v>1.0211479999999999</v>
      </c>
      <c r="G170" s="511">
        <f t="shared" ca="1" si="38"/>
        <v>-3.0135700457289971E-7</v>
      </c>
      <c r="H170" s="174">
        <f t="shared" ca="1" si="39"/>
        <v>1.0211476922698974</v>
      </c>
      <c r="I170" s="501">
        <v>1.0211479999999999</v>
      </c>
      <c r="J170" s="177"/>
      <c r="K170" s="173">
        <f t="shared" ca="1" si="40"/>
        <v>1.0211476922698974</v>
      </c>
      <c r="L170" s="508">
        <f t="shared" ca="1" si="41"/>
        <v>0</v>
      </c>
      <c r="M170" s="174">
        <f t="shared" ca="1" si="42"/>
        <v>1.0211476922698974</v>
      </c>
      <c r="N170" s="174">
        <f ca="1">IF(SUMIFS('Merged Trusts and MFF year'!$C$1:$C$24,'Merged Trusts and MFF year'!$A$1:$A$24,$B170,'Merged Trusts and MFF year'!$D$1:$D$24,"2013-14")=0,M170,SUMIFS('Merged Trusts and MFF year'!$C$1:$C$24,'Merged Trusts and MFF year'!$A$1:$A$24,$B170,'Merged Trusts and MFF year'!$D$1:$D$24,"2013-14"))</f>
        <v>1.0211476922698974</v>
      </c>
      <c r="O170" s="498">
        <f ca="1">IF(SUMIFS('Merged Trusts and MFF year'!$C$1:$C$24,'Merged Trusts and MFF year'!$A$1:$A$24,$B170,'Merged Trusts and MFF year'!$D$1:$D$24,"2014-15")=0,N170,SUMIFS('Merged Trusts and MFF year'!$C$1:$C$24,'Merged Trusts and MFF year'!$A$1:$A$24,$B170,'Merged Trusts and MFF year'!$D$1:$D$24,"2014-15"))</f>
        <v>1.0211476922698974</v>
      </c>
      <c r="P170" s="504">
        <f t="shared" ca="1" si="35"/>
        <v>0</v>
      </c>
      <c r="Q170" s="498">
        <f ca="1">IF(SUMIFS('Merged Trusts and MFF year'!$C$1:$C$24,'Merged Trusts and MFF year'!$A$1:$A$24,$B170,'Merged Trusts and MFF year'!$D$1:$D$24,"2015-16")=0,O170,SUMIFS('Merged Trusts and MFF year'!$C$1:$C$24,'Merged Trusts and MFF year'!$A$1:$A$24,$B170,'Merged Trusts and MFF year'!$D$1:$D$24,"2015-16"))</f>
        <v>1.0211476922698974</v>
      </c>
      <c r="R170" s="504">
        <f t="shared" ca="1" si="36"/>
        <v>0</v>
      </c>
      <c r="S170" s="498">
        <f ca="1">IF(SUMIFS('Merged Trusts and MFF year'!$C$1:$C$24,'Merged Trusts and MFF year'!$A$1:$A$24,$B170,'Merged Trusts and MFF year'!$D$1:$D$24,"2016-17")=0,Q170,SUMIFS('Merged Trusts and MFF year'!$C$1:$C$24,'Merged Trusts and MFF year'!$A$1:$A$24,$B170,'Merged Trusts and MFF year'!$D$1:$D$24,"2016-17"))</f>
        <v>1.0211476922698974</v>
      </c>
      <c r="T170" s="504">
        <f t="shared" ca="1" si="37"/>
        <v>0</v>
      </c>
      <c r="U170" s="459"/>
    </row>
    <row r="171" spans="1:21" ht="67.5" x14ac:dyDescent="0.2">
      <c r="A171" s="171" t="s">
        <v>1167</v>
      </c>
      <c r="B171" s="172" t="s">
        <v>3720</v>
      </c>
      <c r="C171" s="172" t="s">
        <v>3521</v>
      </c>
      <c r="D171" s="175">
        <f>INDEX('Base MFF calcs'!$I$7:$I$258,MATCH($B171,'Base MFF calcs'!$B$7:$B$258,0),1)</f>
        <v>1.1546409780417339</v>
      </c>
      <c r="E171" s="176">
        <f ca="1">D171/MIN('Base MFF calcs'!$I$7:$I$258)</f>
        <v>1.2464756864824285</v>
      </c>
      <c r="F171" s="176">
        <v>1.2518009999999999</v>
      </c>
      <c r="G171" s="511">
        <f t="shared" ca="1" si="38"/>
        <v>-4.2541214758348156E-3</v>
      </c>
      <c r="H171" s="174">
        <f t="shared" ca="1" si="39"/>
        <v>1.2464756864824285</v>
      </c>
      <c r="I171" s="501">
        <v>1.2464759999999999</v>
      </c>
      <c r="J171" s="177"/>
      <c r="K171" s="173">
        <f t="shared" ca="1" si="40"/>
        <v>1.2464756864824285</v>
      </c>
      <c r="L171" s="508">
        <f t="shared" ca="1" si="41"/>
        <v>0</v>
      </c>
      <c r="M171" s="174">
        <f t="shared" ca="1" si="42"/>
        <v>1.2464756864824285</v>
      </c>
      <c r="N171" s="174">
        <f ca="1">IF(SUMIFS('Merged Trusts and MFF year'!$C$1:$C$24,'Merged Trusts and MFF year'!$A$1:$A$24,$B171,'Merged Trusts and MFF year'!$D$1:$D$24,"2013-14")=0,M171,SUMIFS('Merged Trusts and MFF year'!$C$1:$C$24,'Merged Trusts and MFF year'!$A$1:$A$24,$B171,'Merged Trusts and MFF year'!$D$1:$D$24,"2013-14"))</f>
        <v>1.2464756864824285</v>
      </c>
      <c r="O171" s="498">
        <f ca="1">IF(SUMIFS('Merged Trusts and MFF year'!$C$1:$C$24,'Merged Trusts and MFF year'!$A$1:$A$24,$B171,'Merged Trusts and MFF year'!$D$1:$D$24,"2014-15")=0,N171,SUMIFS('Merged Trusts and MFF year'!$C$1:$C$24,'Merged Trusts and MFF year'!$A$1:$A$24,$B171,'Merged Trusts and MFF year'!$D$1:$D$24,"2014-15"))</f>
        <v>1.2464756864824285</v>
      </c>
      <c r="P171" s="504">
        <f t="shared" ca="1" si="35"/>
        <v>0</v>
      </c>
      <c r="Q171" s="498">
        <f ca="1">IF(SUMIFS('Merged Trusts and MFF year'!$C$1:$C$24,'Merged Trusts and MFF year'!$A$1:$A$24,$B171,'Merged Trusts and MFF year'!$D$1:$D$24,"2015-16")=0,O171,SUMIFS('Merged Trusts and MFF year'!$C$1:$C$24,'Merged Trusts and MFF year'!$A$1:$A$24,$B171,'Merged Trusts and MFF year'!$D$1:$D$24,"2015-16"))</f>
        <v>1.2196238749024033</v>
      </c>
      <c r="R171" s="504">
        <f t="shared" ca="1" si="36"/>
        <v>-2.1542186398999297E-2</v>
      </c>
      <c r="S171" s="498">
        <f ca="1">IF(SUMIFS('Merged Trusts and MFF year'!$C$1:$C$24,'Merged Trusts and MFF year'!$A$1:$A$24,$B171,'Merged Trusts and MFF year'!$D$1:$D$24,"2016-17")=0,Q171,SUMIFS('Merged Trusts and MFF year'!$C$1:$C$24,'Merged Trusts and MFF year'!$A$1:$A$24,$B171,'Merged Trusts and MFF year'!$D$1:$D$24,"2016-17"))</f>
        <v>1.2196238749024033</v>
      </c>
      <c r="T171" s="504">
        <f t="shared" ca="1" si="37"/>
        <v>0</v>
      </c>
      <c r="U171" s="459" t="s">
        <v>4235</v>
      </c>
    </row>
    <row r="172" spans="1:21" ht="12.75" customHeight="1" x14ac:dyDescent="0.2">
      <c r="A172" s="171" t="s">
        <v>2975</v>
      </c>
      <c r="B172" s="172" t="s">
        <v>3722</v>
      </c>
      <c r="C172" s="172" t="s">
        <v>3723</v>
      </c>
      <c r="D172" s="175">
        <f>INDEX('Base MFF calcs'!$I$7:$I$258,MATCH($B172,'Base MFF calcs'!$B$7:$B$258,0),1)</f>
        <v>0.96545556889640882</v>
      </c>
      <c r="E172" s="176">
        <f ca="1">D172/MIN('Base MFF calcs'!$I$7:$I$258)</f>
        <v>1.0422433603988526</v>
      </c>
      <c r="F172" s="176">
        <v>1.042243</v>
      </c>
      <c r="G172" s="511">
        <f t="shared" ca="1" si="38"/>
        <v>3.4579157892622447E-7</v>
      </c>
      <c r="H172" s="174">
        <f t="shared" ca="1" si="39"/>
        <v>1.0422433603988526</v>
      </c>
      <c r="I172" s="501">
        <v>1.042243</v>
      </c>
      <c r="J172" s="177"/>
      <c r="K172" s="173">
        <f t="shared" ca="1" si="40"/>
        <v>1.0422433603988526</v>
      </c>
      <c r="L172" s="508">
        <f t="shared" ca="1" si="41"/>
        <v>0</v>
      </c>
      <c r="M172" s="174">
        <f t="shared" ca="1" si="42"/>
        <v>1.0422433603988526</v>
      </c>
      <c r="N172" s="174">
        <f ca="1">IF(SUMIFS('Merged Trusts and MFF year'!$C$1:$C$24,'Merged Trusts and MFF year'!$A$1:$A$24,$B172,'Merged Trusts and MFF year'!$D$1:$D$24,"2013-14")=0,M172,SUMIFS('Merged Trusts and MFF year'!$C$1:$C$24,'Merged Trusts and MFF year'!$A$1:$A$24,$B172,'Merged Trusts and MFF year'!$D$1:$D$24,"2013-14"))</f>
        <v>1.0422433603988526</v>
      </c>
      <c r="O172" s="498">
        <f ca="1">IF(SUMIFS('Merged Trusts and MFF year'!$C$1:$C$24,'Merged Trusts and MFF year'!$A$1:$A$24,$B172,'Merged Trusts and MFF year'!$D$1:$D$24,"2014-15")=0,N172,SUMIFS('Merged Trusts and MFF year'!$C$1:$C$24,'Merged Trusts and MFF year'!$A$1:$A$24,$B172,'Merged Trusts and MFF year'!$D$1:$D$24,"2014-15"))</f>
        <v>1.0422433603988526</v>
      </c>
      <c r="P172" s="504">
        <f t="shared" ca="1" si="35"/>
        <v>0</v>
      </c>
      <c r="Q172" s="498">
        <f ca="1">IF(SUMIFS('Merged Trusts and MFF year'!$C$1:$C$24,'Merged Trusts and MFF year'!$A$1:$A$24,$B172,'Merged Trusts and MFF year'!$D$1:$D$24,"2015-16")=0,O172,SUMIFS('Merged Trusts and MFF year'!$C$1:$C$24,'Merged Trusts and MFF year'!$A$1:$A$24,$B172,'Merged Trusts and MFF year'!$D$1:$D$24,"2015-16"))</f>
        <v>1.0422433603988526</v>
      </c>
      <c r="R172" s="504">
        <f t="shared" ca="1" si="36"/>
        <v>0</v>
      </c>
      <c r="S172" s="498">
        <f ca="1">IF(SUMIFS('Merged Trusts and MFF year'!$C$1:$C$24,'Merged Trusts and MFF year'!$A$1:$A$24,$B172,'Merged Trusts and MFF year'!$D$1:$D$24,"2016-17")=0,Q172,SUMIFS('Merged Trusts and MFF year'!$C$1:$C$24,'Merged Trusts and MFF year'!$A$1:$A$24,$B172,'Merged Trusts and MFF year'!$D$1:$D$24,"2016-17"))</f>
        <v>1.0422433603988526</v>
      </c>
      <c r="T172" s="504">
        <f t="shared" ca="1" si="37"/>
        <v>0</v>
      </c>
      <c r="U172" s="459"/>
    </row>
    <row r="173" spans="1:21" ht="12.75" customHeight="1" x14ac:dyDescent="0.2">
      <c r="A173" s="171" t="s">
        <v>3528</v>
      </c>
      <c r="B173" s="172" t="s">
        <v>3724</v>
      </c>
      <c r="C173" s="172" t="s">
        <v>3725</v>
      </c>
      <c r="D173" s="175">
        <f>INDEX('Base MFF calcs'!$I$7:$I$258,MATCH($B173,'Base MFF calcs'!$B$7:$B$258,0),1)</f>
        <v>1.0193314486527596</v>
      </c>
      <c r="E173" s="176">
        <f ca="1">D173/MIN('Base MFF calcs'!$I$7:$I$258)</f>
        <v>1.100404274034567</v>
      </c>
      <c r="F173" s="176">
        <v>1.1004039999999999</v>
      </c>
      <c r="G173" s="511">
        <f t="shared" ca="1" si="38"/>
        <v>2.4903087147976066E-7</v>
      </c>
      <c r="H173" s="174">
        <f t="shared" ca="1" si="39"/>
        <v>1.100404274034567</v>
      </c>
      <c r="I173" s="501">
        <v>1.1004039999999999</v>
      </c>
      <c r="J173" s="177"/>
      <c r="K173" s="173">
        <f t="shared" ca="1" si="40"/>
        <v>1.100404274034567</v>
      </c>
      <c r="L173" s="508">
        <f t="shared" ca="1" si="41"/>
        <v>0</v>
      </c>
      <c r="M173" s="174">
        <f t="shared" ca="1" si="42"/>
        <v>1.100404274034567</v>
      </c>
      <c r="N173" s="174">
        <f ca="1">IF(SUMIFS('Merged Trusts and MFF year'!$C$1:$C$24,'Merged Trusts and MFF year'!$A$1:$A$24,$B173,'Merged Trusts and MFF year'!$D$1:$D$24,"2013-14")=0,M173,SUMIFS('Merged Trusts and MFF year'!$C$1:$C$24,'Merged Trusts and MFF year'!$A$1:$A$24,$B173,'Merged Trusts and MFF year'!$D$1:$D$24,"2013-14"))</f>
        <v>1.100404274034567</v>
      </c>
      <c r="O173" s="498">
        <f ca="1">IF(SUMIFS('Merged Trusts and MFF year'!$C$1:$C$24,'Merged Trusts and MFF year'!$A$1:$A$24,$B173,'Merged Trusts and MFF year'!$D$1:$D$24,"2014-15")=0,N173,SUMIFS('Merged Trusts and MFF year'!$C$1:$C$24,'Merged Trusts and MFF year'!$A$1:$A$24,$B173,'Merged Trusts and MFF year'!$D$1:$D$24,"2014-15"))</f>
        <v>1.100404274034567</v>
      </c>
      <c r="P173" s="504">
        <f t="shared" ca="1" si="35"/>
        <v>0</v>
      </c>
      <c r="Q173" s="498">
        <f ca="1">IF(SUMIFS('Merged Trusts and MFF year'!$C$1:$C$24,'Merged Trusts and MFF year'!$A$1:$A$24,$B173,'Merged Trusts and MFF year'!$D$1:$D$24,"2015-16")=0,O173,SUMIFS('Merged Trusts and MFF year'!$C$1:$C$24,'Merged Trusts and MFF year'!$A$1:$A$24,$B173,'Merged Trusts and MFF year'!$D$1:$D$24,"2015-16"))</f>
        <v>1.100404274034567</v>
      </c>
      <c r="R173" s="504">
        <f t="shared" ca="1" si="36"/>
        <v>0</v>
      </c>
      <c r="S173" s="498">
        <f ca="1">IF(SUMIFS('Merged Trusts and MFF year'!$C$1:$C$24,'Merged Trusts and MFF year'!$A$1:$A$24,$B173,'Merged Trusts and MFF year'!$D$1:$D$24,"2016-17")=0,Q173,SUMIFS('Merged Trusts and MFF year'!$C$1:$C$24,'Merged Trusts and MFF year'!$A$1:$A$24,$B173,'Merged Trusts and MFF year'!$D$1:$D$24,"2016-17"))</f>
        <v>1.100404274034567</v>
      </c>
      <c r="T173" s="504">
        <f t="shared" ca="1" si="37"/>
        <v>0</v>
      </c>
      <c r="U173" s="459" t="s">
        <v>4228</v>
      </c>
    </row>
    <row r="174" spans="1:21" ht="12.75" customHeight="1" x14ac:dyDescent="0.2">
      <c r="A174" s="171" t="s">
        <v>1167</v>
      </c>
      <c r="B174" s="172" t="s">
        <v>3726</v>
      </c>
      <c r="C174" s="172" t="s">
        <v>3727</v>
      </c>
      <c r="D174" s="175">
        <f>INDEX('Base MFF calcs'!$I$7:$I$258,MATCH($B174,'Base MFF calcs'!$B$7:$B$258,0),1)</f>
        <v>1.0930178967535167</v>
      </c>
      <c r="E174" s="176">
        <f ca="1">D174/MIN('Base MFF calcs'!$I$7:$I$258)</f>
        <v>1.1799513953714673</v>
      </c>
      <c r="F174" s="176">
        <v>1.179951</v>
      </c>
      <c r="G174" s="511">
        <f t="shared" ca="1" si="38"/>
        <v>3.3507447971814486E-7</v>
      </c>
      <c r="H174" s="174">
        <f t="shared" ca="1" si="39"/>
        <v>1.1799513953714673</v>
      </c>
      <c r="I174" s="501">
        <v>1.179951</v>
      </c>
      <c r="J174" s="177"/>
      <c r="K174" s="173">
        <f t="shared" ca="1" si="40"/>
        <v>1.1799513953714673</v>
      </c>
      <c r="L174" s="508">
        <f t="shared" ca="1" si="41"/>
        <v>0</v>
      </c>
      <c r="M174" s="174">
        <f t="shared" ca="1" si="42"/>
        <v>1.1799513953714673</v>
      </c>
      <c r="N174" s="174">
        <f ca="1">IF(SUMIFS('Merged Trusts and MFF year'!$C$1:$C$24,'Merged Trusts and MFF year'!$A$1:$A$24,$B174,'Merged Trusts and MFF year'!$D$1:$D$24,"2013-14")=0,M174,SUMIFS('Merged Trusts and MFF year'!$C$1:$C$24,'Merged Trusts and MFF year'!$A$1:$A$24,$B174,'Merged Trusts and MFF year'!$D$1:$D$24,"2013-14"))</f>
        <v>1.1799513953714673</v>
      </c>
      <c r="O174" s="498">
        <f ca="1">IF(SUMIFS('Merged Trusts and MFF year'!$C$1:$C$24,'Merged Trusts and MFF year'!$A$1:$A$24,$B174,'Merged Trusts and MFF year'!$D$1:$D$24,"2014-15")=0,N174,SUMIFS('Merged Trusts and MFF year'!$C$1:$C$24,'Merged Trusts and MFF year'!$A$1:$A$24,$B174,'Merged Trusts and MFF year'!$D$1:$D$24,"2014-15"))</f>
        <v>1.1799513953714673</v>
      </c>
      <c r="P174" s="504">
        <f t="shared" ca="1" si="35"/>
        <v>0</v>
      </c>
      <c r="Q174" s="498">
        <f ca="1">IF(SUMIFS('Merged Trusts and MFF year'!$C$1:$C$24,'Merged Trusts and MFF year'!$A$1:$A$24,$B174,'Merged Trusts and MFF year'!$D$1:$D$24,"2015-16")=0,O174,SUMIFS('Merged Trusts and MFF year'!$C$1:$C$24,'Merged Trusts and MFF year'!$A$1:$A$24,$B174,'Merged Trusts and MFF year'!$D$1:$D$24,"2015-16"))</f>
        <v>1.1799513953714673</v>
      </c>
      <c r="R174" s="504">
        <f t="shared" ca="1" si="36"/>
        <v>0</v>
      </c>
      <c r="S174" s="498">
        <f ca="1">IF(SUMIFS('Merged Trusts and MFF year'!$C$1:$C$24,'Merged Trusts and MFF year'!$A$1:$A$24,$B174,'Merged Trusts and MFF year'!$D$1:$D$24,"2016-17")=0,Q174,SUMIFS('Merged Trusts and MFF year'!$C$1:$C$24,'Merged Trusts and MFF year'!$A$1:$A$24,$B174,'Merged Trusts and MFF year'!$D$1:$D$24,"2016-17"))</f>
        <v>1.1799513953714673</v>
      </c>
      <c r="T174" s="504">
        <f t="shared" ca="1" si="37"/>
        <v>0</v>
      </c>
      <c r="U174" s="459"/>
    </row>
    <row r="175" spans="1:21" ht="12.75" customHeight="1" x14ac:dyDescent="0.2">
      <c r="A175" s="171" t="s">
        <v>3496</v>
      </c>
      <c r="B175" s="172" t="s">
        <v>3728</v>
      </c>
      <c r="C175" s="386" t="s">
        <v>3729</v>
      </c>
      <c r="D175" s="175">
        <f>INDEX('Base MFF calcs'!$I$7:$I$258,MATCH($B175,'Base MFF calcs'!$B$7:$B$258,0),1)</f>
        <v>1.0745198460419412</v>
      </c>
      <c r="E175" s="176">
        <f ca="1">D175/MIN('Base MFF calcs'!$I$7:$I$258)</f>
        <v>1.1599820967775416</v>
      </c>
      <c r="F175" s="176">
        <v>1.1599820000000001</v>
      </c>
      <c r="G175" s="511">
        <f t="shared" ca="1" si="38"/>
        <v>8.3430209629753449E-8</v>
      </c>
      <c r="H175" s="174">
        <f t="shared" ca="1" si="39"/>
        <v>1.1599820967775416</v>
      </c>
      <c r="I175" s="501">
        <v>1.1599819999999998</v>
      </c>
      <c r="J175" s="177"/>
      <c r="K175" s="173">
        <f t="shared" ca="1" si="40"/>
        <v>1.1599820967775416</v>
      </c>
      <c r="L175" s="508">
        <f t="shared" ca="1" si="41"/>
        <v>0</v>
      </c>
      <c r="M175" s="174">
        <f t="shared" ca="1" si="42"/>
        <v>1.1599820967775416</v>
      </c>
      <c r="N175" s="174">
        <f ca="1">IF(SUMIFS('Merged Trusts and MFF year'!$C$1:$C$24,'Merged Trusts and MFF year'!$A$1:$A$24,$B175,'Merged Trusts and MFF year'!$D$1:$D$24,"2013-14")=0,M175,SUMIFS('Merged Trusts and MFF year'!$C$1:$C$24,'Merged Trusts and MFF year'!$A$1:$A$24,$B175,'Merged Trusts and MFF year'!$D$1:$D$24,"2013-14"))</f>
        <v>1.1599820967775416</v>
      </c>
      <c r="O175" s="498">
        <f ca="1">IF(SUMIFS('Merged Trusts and MFF year'!$C$1:$C$24,'Merged Trusts and MFF year'!$A$1:$A$24,$B175,'Merged Trusts and MFF year'!$D$1:$D$24,"2014-15")=0,N175,SUMIFS('Merged Trusts and MFF year'!$C$1:$C$24,'Merged Trusts and MFF year'!$A$1:$A$24,$B175,'Merged Trusts and MFF year'!$D$1:$D$24,"2014-15"))</f>
        <v>1.1599820967775416</v>
      </c>
      <c r="P175" s="504">
        <f t="shared" ca="1" si="35"/>
        <v>0</v>
      </c>
      <c r="Q175" s="498">
        <f ca="1">IF(SUMIFS('Merged Trusts and MFF year'!$C$1:$C$24,'Merged Trusts and MFF year'!$A$1:$A$24,$B175,'Merged Trusts and MFF year'!$D$1:$D$24,"2015-16")=0,O175,SUMIFS('Merged Trusts and MFF year'!$C$1:$C$24,'Merged Trusts and MFF year'!$A$1:$A$24,$B175,'Merged Trusts and MFF year'!$D$1:$D$24,"2015-16"))</f>
        <v>1.1599820967775416</v>
      </c>
      <c r="R175" s="504">
        <f t="shared" ca="1" si="36"/>
        <v>0</v>
      </c>
      <c r="S175" s="498">
        <f ca="1">IF(SUMIFS('Merged Trusts and MFF year'!$C$1:$C$24,'Merged Trusts and MFF year'!$A$1:$A$24,$B175,'Merged Trusts and MFF year'!$D$1:$D$24,"2016-17")=0,Q175,SUMIFS('Merged Trusts and MFF year'!$C$1:$C$24,'Merged Trusts and MFF year'!$A$1:$A$24,$B175,'Merged Trusts and MFF year'!$D$1:$D$24,"2016-17"))</f>
        <v>1.1599820967775416</v>
      </c>
      <c r="T175" s="504">
        <f t="shared" ca="1" si="37"/>
        <v>0</v>
      </c>
      <c r="U175" s="459"/>
    </row>
    <row r="176" spans="1:21" ht="12.75" customHeight="1" x14ac:dyDescent="0.2">
      <c r="A176" s="171" t="s">
        <v>3528</v>
      </c>
      <c r="B176" s="172" t="s">
        <v>3730</v>
      </c>
      <c r="C176" s="172" t="s">
        <v>3731</v>
      </c>
      <c r="D176" s="175">
        <f>INDEX('Base MFF calcs'!$I$7:$I$258,MATCH($B176,'Base MFF calcs'!$B$7:$B$258,0),1)</f>
        <v>1.000870961604936</v>
      </c>
      <c r="E176" s="176">
        <f ca="1">D176/MIN('Base MFF calcs'!$I$7:$I$258)</f>
        <v>1.0804755267413941</v>
      </c>
      <c r="F176" s="176">
        <v>1.080476</v>
      </c>
      <c r="G176" s="511">
        <f t="shared" ca="1" si="38"/>
        <v>-4.380093642231131E-7</v>
      </c>
      <c r="H176" s="174">
        <f t="shared" ca="1" si="39"/>
        <v>1.0804755267413941</v>
      </c>
      <c r="I176" s="501">
        <v>1.080476</v>
      </c>
      <c r="J176" s="177"/>
      <c r="K176" s="173">
        <f t="shared" ca="1" si="40"/>
        <v>1.0804755267413941</v>
      </c>
      <c r="L176" s="508">
        <f t="shared" ca="1" si="41"/>
        <v>0</v>
      </c>
      <c r="M176" s="174">
        <f t="shared" ca="1" si="42"/>
        <v>1.0804755267413941</v>
      </c>
      <c r="N176" s="174">
        <f ca="1">IF(SUMIFS('Merged Trusts and MFF year'!$C$1:$C$24,'Merged Trusts and MFF year'!$A$1:$A$24,$B176,'Merged Trusts and MFF year'!$D$1:$D$24,"2013-14")=0,M176,SUMIFS('Merged Trusts and MFF year'!$C$1:$C$24,'Merged Trusts and MFF year'!$A$1:$A$24,$B176,'Merged Trusts and MFF year'!$D$1:$D$24,"2013-14"))</f>
        <v>1.0804755267413941</v>
      </c>
      <c r="O176" s="498">
        <f ca="1">IF(SUMIFS('Merged Trusts and MFF year'!$C$1:$C$24,'Merged Trusts and MFF year'!$A$1:$A$24,$B176,'Merged Trusts and MFF year'!$D$1:$D$24,"2014-15")=0,N176,SUMIFS('Merged Trusts and MFF year'!$C$1:$C$24,'Merged Trusts and MFF year'!$A$1:$A$24,$B176,'Merged Trusts and MFF year'!$D$1:$D$24,"2014-15"))</f>
        <v>1.0804755267413941</v>
      </c>
      <c r="P176" s="504">
        <f t="shared" ca="1" si="35"/>
        <v>0</v>
      </c>
      <c r="Q176" s="498">
        <f ca="1">IF(SUMIFS('Merged Trusts and MFF year'!$C$1:$C$24,'Merged Trusts and MFF year'!$A$1:$A$24,$B176,'Merged Trusts and MFF year'!$D$1:$D$24,"2015-16")=0,O176,SUMIFS('Merged Trusts and MFF year'!$C$1:$C$24,'Merged Trusts and MFF year'!$A$1:$A$24,$B176,'Merged Trusts and MFF year'!$D$1:$D$24,"2015-16"))</f>
        <v>1.0807203664060818</v>
      </c>
      <c r="R176" s="504">
        <f t="shared" ca="1" si="36"/>
        <v>2.2660361908055648E-4</v>
      </c>
      <c r="S176" s="498">
        <f ca="1">IF(SUMIFS('Merged Trusts and MFF year'!$C$1:$C$24,'Merged Trusts and MFF year'!$A$1:$A$24,$B176,'Merged Trusts and MFF year'!$D$1:$D$24,"2016-17")=0,Q176,SUMIFS('Merged Trusts and MFF year'!$C$1:$C$24,'Merged Trusts and MFF year'!$A$1:$A$24,$B176,'Merged Trusts and MFF year'!$D$1:$D$24,"2016-17"))</f>
        <v>1.0807203664060818</v>
      </c>
      <c r="T176" s="504">
        <f t="shared" ca="1" si="37"/>
        <v>0</v>
      </c>
      <c r="U176" s="459" t="s">
        <v>4229</v>
      </c>
    </row>
    <row r="177" spans="1:21" ht="12.75" customHeight="1" x14ac:dyDescent="0.2">
      <c r="A177" s="171" t="s">
        <v>2975</v>
      </c>
      <c r="B177" s="172" t="s">
        <v>3732</v>
      </c>
      <c r="C177" s="172" t="s">
        <v>3733</v>
      </c>
      <c r="D177" s="175">
        <f>INDEX('Base MFF calcs'!$I$7:$I$258,MATCH($B177,'Base MFF calcs'!$B$7:$B$258,0),1)</f>
        <v>0.97817522723949746</v>
      </c>
      <c r="E177" s="176">
        <f ca="1">D177/MIN('Base MFF calcs'!$I$7:$I$258)</f>
        <v>1.0559746804944836</v>
      </c>
      <c r="F177" s="176">
        <v>1.0559750000000001</v>
      </c>
      <c r="G177" s="511">
        <f t="shared" ca="1" si="38"/>
        <v>-3.0256920524607267E-7</v>
      </c>
      <c r="H177" s="174">
        <f t="shared" ca="1" si="39"/>
        <v>1.0559746804944836</v>
      </c>
      <c r="I177" s="501">
        <v>1.0559749999999999</v>
      </c>
      <c r="J177" s="177"/>
      <c r="K177" s="173">
        <f t="shared" ca="1" si="40"/>
        <v>1.0559746804944836</v>
      </c>
      <c r="L177" s="508">
        <f t="shared" ca="1" si="41"/>
        <v>0</v>
      </c>
      <c r="M177" s="174">
        <f t="shared" ca="1" si="42"/>
        <v>1.0559746804944836</v>
      </c>
      <c r="N177" s="174">
        <f ca="1">IF(SUMIFS('Merged Trusts and MFF year'!$C$1:$C$24,'Merged Trusts and MFF year'!$A$1:$A$24,$B177,'Merged Trusts and MFF year'!$D$1:$D$24,"2013-14")=0,M177,SUMIFS('Merged Trusts and MFF year'!$C$1:$C$24,'Merged Trusts and MFF year'!$A$1:$A$24,$B177,'Merged Trusts and MFF year'!$D$1:$D$24,"2013-14"))</f>
        <v>1.0559746804944836</v>
      </c>
      <c r="O177" s="498">
        <f ca="1">IF(SUMIFS('Merged Trusts and MFF year'!$C$1:$C$24,'Merged Trusts and MFF year'!$A$1:$A$24,$B177,'Merged Trusts and MFF year'!$D$1:$D$24,"2014-15")=0,N177,SUMIFS('Merged Trusts and MFF year'!$C$1:$C$24,'Merged Trusts and MFF year'!$A$1:$A$24,$B177,'Merged Trusts and MFF year'!$D$1:$D$24,"2014-15"))</f>
        <v>1.0559746804944836</v>
      </c>
      <c r="P177" s="504">
        <f t="shared" ca="1" si="35"/>
        <v>0</v>
      </c>
      <c r="Q177" s="498">
        <f ca="1">IF(SUMIFS('Merged Trusts and MFF year'!$C$1:$C$24,'Merged Trusts and MFF year'!$A$1:$A$24,$B177,'Merged Trusts and MFF year'!$D$1:$D$24,"2015-16")=0,O177,SUMIFS('Merged Trusts and MFF year'!$C$1:$C$24,'Merged Trusts and MFF year'!$A$1:$A$24,$B177,'Merged Trusts and MFF year'!$D$1:$D$24,"2015-16"))</f>
        <v>1.0559746804944836</v>
      </c>
      <c r="R177" s="504">
        <f t="shared" ca="1" si="36"/>
        <v>0</v>
      </c>
      <c r="S177" s="498">
        <f ca="1">IF(SUMIFS('Merged Trusts and MFF year'!$C$1:$C$24,'Merged Trusts and MFF year'!$A$1:$A$24,$B177,'Merged Trusts and MFF year'!$D$1:$D$24,"2016-17")=0,Q177,SUMIFS('Merged Trusts and MFF year'!$C$1:$C$24,'Merged Trusts and MFF year'!$A$1:$A$24,$B177,'Merged Trusts and MFF year'!$D$1:$D$24,"2016-17"))</f>
        <v>1.0559746804944836</v>
      </c>
      <c r="T177" s="504">
        <f t="shared" ca="1" si="37"/>
        <v>0</v>
      </c>
      <c r="U177" s="459"/>
    </row>
    <row r="178" spans="1:21" ht="12.75" customHeight="1" x14ac:dyDescent="0.2">
      <c r="A178" s="171" t="s">
        <v>3528</v>
      </c>
      <c r="B178" s="172" t="s">
        <v>3734</v>
      </c>
      <c r="C178" s="386" t="s">
        <v>3735</v>
      </c>
      <c r="D178" s="175">
        <f>INDEX('Base MFF calcs'!$I$7:$I$258,MATCH($B178,'Base MFF calcs'!$B$7:$B$258,0),1)</f>
        <v>0.99147729116142536</v>
      </c>
      <c r="E178" s="176">
        <f ca="1">D178/MIN('Base MFF calcs'!$I$7:$I$258)</f>
        <v>1.0703347279672824</v>
      </c>
      <c r="F178" s="176">
        <v>1.070335</v>
      </c>
      <c r="G178" s="511">
        <f t="shared" ca="1" si="38"/>
        <v>-2.5415661231154019E-7</v>
      </c>
      <c r="H178" s="174">
        <f t="shared" ca="1" si="39"/>
        <v>1.0703347279672824</v>
      </c>
      <c r="I178" s="501">
        <v>1.070335</v>
      </c>
      <c r="J178" s="177"/>
      <c r="K178" s="173">
        <f t="shared" ca="1" si="40"/>
        <v>1.0703347279672824</v>
      </c>
      <c r="L178" s="508">
        <f t="shared" ca="1" si="41"/>
        <v>0</v>
      </c>
      <c r="M178" s="174">
        <f t="shared" ca="1" si="42"/>
        <v>1.0703347279672824</v>
      </c>
      <c r="N178" s="174">
        <f ca="1">IF(SUMIFS('Merged Trusts and MFF year'!$C$1:$C$24,'Merged Trusts and MFF year'!$A$1:$A$24,$B178,'Merged Trusts and MFF year'!$D$1:$D$24,"2013-14")=0,M178,SUMIFS('Merged Trusts and MFF year'!$C$1:$C$24,'Merged Trusts and MFF year'!$A$1:$A$24,$B178,'Merged Trusts and MFF year'!$D$1:$D$24,"2013-14"))</f>
        <v>1.0703347279672824</v>
      </c>
      <c r="O178" s="498">
        <f ca="1">IF(SUMIFS('Merged Trusts and MFF year'!$C$1:$C$24,'Merged Trusts and MFF year'!$A$1:$A$24,$B178,'Merged Trusts and MFF year'!$D$1:$D$24,"2014-15")=0,N178,SUMIFS('Merged Trusts and MFF year'!$C$1:$C$24,'Merged Trusts and MFF year'!$A$1:$A$24,$B178,'Merged Trusts and MFF year'!$D$1:$D$24,"2014-15"))</f>
        <v>1.0703347279672824</v>
      </c>
      <c r="P178" s="504">
        <f t="shared" ca="1" si="35"/>
        <v>0</v>
      </c>
      <c r="Q178" s="498">
        <f ca="1">IF(SUMIFS('Merged Trusts and MFF year'!$C$1:$C$24,'Merged Trusts and MFF year'!$A$1:$A$24,$B178,'Merged Trusts and MFF year'!$D$1:$D$24,"2015-16")=0,O178,SUMIFS('Merged Trusts and MFF year'!$C$1:$C$24,'Merged Trusts and MFF year'!$A$1:$A$24,$B178,'Merged Trusts and MFF year'!$D$1:$D$24,"2015-16"))</f>
        <v>1.0703347279672824</v>
      </c>
      <c r="R178" s="504">
        <f t="shared" ca="1" si="36"/>
        <v>0</v>
      </c>
      <c r="S178" s="498">
        <f ca="1">IF(SUMIFS('Merged Trusts and MFF year'!$C$1:$C$24,'Merged Trusts and MFF year'!$A$1:$A$24,$B178,'Merged Trusts and MFF year'!$D$1:$D$24,"2016-17")=0,Q178,SUMIFS('Merged Trusts and MFF year'!$C$1:$C$24,'Merged Trusts and MFF year'!$A$1:$A$24,$B178,'Merged Trusts and MFF year'!$D$1:$D$24,"2016-17"))</f>
        <v>1.0703347279672824</v>
      </c>
      <c r="T178" s="504">
        <f t="shared" ca="1" si="37"/>
        <v>0</v>
      </c>
      <c r="U178" s="459"/>
    </row>
    <row r="179" spans="1:21" ht="12.75" customHeight="1" x14ac:dyDescent="0.2">
      <c r="A179" s="171" t="s">
        <v>2133</v>
      </c>
      <c r="B179" s="172" t="s">
        <v>3736</v>
      </c>
      <c r="C179" s="172" t="s">
        <v>2769</v>
      </c>
      <c r="D179" s="175">
        <f>INDEX('Base MFF calcs'!$I$7:$I$258,MATCH($B179,'Base MFF calcs'!$B$7:$B$258,0),1)</f>
        <v>0.96390087583161499</v>
      </c>
      <c r="E179" s="176">
        <f ca="1">D179/MIN('Base MFF calcs'!$I$7:$I$258)</f>
        <v>1.040565014365703</v>
      </c>
      <c r="F179" s="176">
        <v>1.040565</v>
      </c>
      <c r="G179" s="511">
        <f t="shared" ca="1" si="38"/>
        <v>1.3805675935785189E-8</v>
      </c>
      <c r="H179" s="174">
        <f t="shared" ca="1" si="39"/>
        <v>1.040565014365703</v>
      </c>
      <c r="I179" s="501">
        <v>1.040565</v>
      </c>
      <c r="J179" s="177"/>
      <c r="K179" s="173">
        <f t="shared" ca="1" si="40"/>
        <v>1.040565014365703</v>
      </c>
      <c r="L179" s="508">
        <f t="shared" ca="1" si="41"/>
        <v>0</v>
      </c>
      <c r="M179" s="174">
        <f t="shared" ca="1" si="42"/>
        <v>1.040565014365703</v>
      </c>
      <c r="N179" s="174">
        <f ca="1">IF(SUMIFS('Merged Trusts and MFF year'!$C$1:$C$24,'Merged Trusts and MFF year'!$A$1:$A$24,$B179,'Merged Trusts and MFF year'!$D$1:$D$24,"2013-14")=0,M179,SUMIFS('Merged Trusts and MFF year'!$C$1:$C$24,'Merged Trusts and MFF year'!$A$1:$A$24,$B179,'Merged Trusts and MFF year'!$D$1:$D$24,"2013-14"))</f>
        <v>1.040565014365703</v>
      </c>
      <c r="O179" s="498">
        <f ca="1">IF(SUMIFS('Merged Trusts and MFF year'!$C$1:$C$24,'Merged Trusts and MFF year'!$A$1:$A$24,$B179,'Merged Trusts and MFF year'!$D$1:$D$24,"2014-15")=0,N179,SUMIFS('Merged Trusts and MFF year'!$C$1:$C$24,'Merged Trusts and MFF year'!$A$1:$A$24,$B179,'Merged Trusts and MFF year'!$D$1:$D$24,"2014-15"))</f>
        <v>1.040565014365703</v>
      </c>
      <c r="P179" s="504">
        <f t="shared" ca="1" si="35"/>
        <v>0</v>
      </c>
      <c r="Q179" s="498">
        <f ca="1">IF(SUMIFS('Merged Trusts and MFF year'!$C$1:$C$24,'Merged Trusts and MFF year'!$A$1:$A$24,$B179,'Merged Trusts and MFF year'!$D$1:$D$24,"2015-16")=0,O179,SUMIFS('Merged Trusts and MFF year'!$C$1:$C$24,'Merged Trusts and MFF year'!$A$1:$A$24,$B179,'Merged Trusts and MFF year'!$D$1:$D$24,"2015-16"))</f>
        <v>1.040565014365703</v>
      </c>
      <c r="R179" s="504">
        <f t="shared" ca="1" si="36"/>
        <v>0</v>
      </c>
      <c r="S179" s="498">
        <f ca="1">IF(SUMIFS('Merged Trusts and MFF year'!$C$1:$C$24,'Merged Trusts and MFF year'!$A$1:$A$24,$B179,'Merged Trusts and MFF year'!$D$1:$D$24,"2016-17")=0,Q179,SUMIFS('Merged Trusts and MFF year'!$C$1:$C$24,'Merged Trusts and MFF year'!$A$1:$A$24,$B179,'Merged Trusts and MFF year'!$D$1:$D$24,"2016-17"))</f>
        <v>1.040565014365703</v>
      </c>
      <c r="T179" s="504">
        <f t="shared" ca="1" si="37"/>
        <v>0</v>
      </c>
      <c r="U179" s="459"/>
    </row>
    <row r="180" spans="1:21" ht="22.5" x14ac:dyDescent="0.2">
      <c r="A180" s="171" t="s">
        <v>3034</v>
      </c>
      <c r="B180" s="172" t="s">
        <v>2772</v>
      </c>
      <c r="C180" s="172" t="s">
        <v>2773</v>
      </c>
      <c r="D180" s="175">
        <f>INDEX('Base MFF calcs'!$I$7:$I$258,MATCH($B180,'Base MFF calcs'!$B$7:$B$258,0),1)</f>
        <v>0.95035377046855429</v>
      </c>
      <c r="E180" s="176">
        <f ca="1">D180/MIN('Base MFF calcs'!$I$7:$I$258)</f>
        <v>1.0259404360089659</v>
      </c>
      <c r="F180" s="176">
        <v>1.0259400000000001</v>
      </c>
      <c r="G180" s="511">
        <f t="shared" ca="1" si="38"/>
        <v>4.2498485863795565E-7</v>
      </c>
      <c r="H180" s="174">
        <f t="shared" ca="1" si="39"/>
        <v>1.0259404360089659</v>
      </c>
      <c r="I180" s="501">
        <v>1.0259399999999999</v>
      </c>
      <c r="J180" s="177"/>
      <c r="K180" s="173" t="str">
        <f t="shared" si="40"/>
        <v>Merged</v>
      </c>
      <c r="L180" s="508" t="str">
        <f t="shared" si="41"/>
        <v>N/A</v>
      </c>
      <c r="M180" s="174" t="str">
        <f t="shared" si="42"/>
        <v>Merged</v>
      </c>
      <c r="N180" s="174" t="str">
        <f>IF(SUMIFS('Merged Trusts and MFF year'!$C$1:$C$24,'Merged Trusts and MFF year'!$A$1:$A$24,$B180,'Merged Trusts and MFF year'!$D$1:$D$24,"2013-14")=0,M180,SUMIFS('Merged Trusts and MFF year'!$C$1:$C$24,'Merged Trusts and MFF year'!$A$1:$A$24,$B180,'Merged Trusts and MFF year'!$D$1:$D$24,"2013-14"))</f>
        <v>Merged</v>
      </c>
      <c r="O180" s="498" t="str">
        <f>IF(SUMIFS('Merged Trusts and MFF year'!$C$1:$C$24,'Merged Trusts and MFF year'!$A$1:$A$24,$B180,'Merged Trusts and MFF year'!$D$1:$D$24,"2014-15")=0,N180,SUMIFS('Merged Trusts and MFF year'!$C$1:$C$24,'Merged Trusts and MFF year'!$A$1:$A$24,$B180,'Merged Trusts and MFF year'!$D$1:$D$24,"2014-15"))</f>
        <v>Merged</v>
      </c>
      <c r="P180" s="504" t="str">
        <f t="shared" si="35"/>
        <v>N/A</v>
      </c>
      <c r="Q180" s="498" t="str">
        <f>IF(SUMIFS('Merged Trusts and MFF year'!$C$1:$C$24,'Merged Trusts and MFF year'!$A$1:$A$24,$B180,'Merged Trusts and MFF year'!$D$1:$D$24,"2015-16")=0,O180,SUMIFS('Merged Trusts and MFF year'!$C$1:$C$24,'Merged Trusts and MFF year'!$A$1:$A$24,$B180,'Merged Trusts and MFF year'!$D$1:$D$24,"2015-16"))</f>
        <v>Merged</v>
      </c>
      <c r="R180" s="504" t="str">
        <f t="shared" si="36"/>
        <v>N/A</v>
      </c>
      <c r="S180" s="498" t="str">
        <f>IF(SUMIFS('Merged Trusts and MFF year'!$C$1:$C$24,'Merged Trusts and MFF year'!$A$1:$A$24,$B180,'Merged Trusts and MFF year'!$D$1:$D$24,"2016-17")=0,Q180,SUMIFS('Merged Trusts and MFF year'!$C$1:$C$24,'Merged Trusts and MFF year'!$A$1:$A$24,$B180,'Merged Trusts and MFF year'!$D$1:$D$24,"2016-17"))</f>
        <v>Merged</v>
      </c>
      <c r="T180" s="504" t="str">
        <f t="shared" si="37"/>
        <v>N/A</v>
      </c>
      <c r="U180" s="459" t="s">
        <v>4211</v>
      </c>
    </row>
    <row r="181" spans="1:21" ht="12.75" customHeight="1" x14ac:dyDescent="0.2">
      <c r="A181" s="171" t="s">
        <v>3034</v>
      </c>
      <c r="B181" s="172" t="s">
        <v>2776</v>
      </c>
      <c r="C181" s="172" t="s">
        <v>2777</v>
      </c>
      <c r="D181" s="175">
        <f>INDEX('Base MFF calcs'!$I$7:$I$258,MATCH($B181,'Base MFF calcs'!$B$7:$B$258,0),1)</f>
        <v>0.9566289353591575</v>
      </c>
      <c r="E181" s="176">
        <f ca="1">D181/MIN('Base MFF calcs'!$I$7:$I$258)</f>
        <v>1.0327146979774533</v>
      </c>
      <c r="F181" s="176">
        <v>1.032715</v>
      </c>
      <c r="G181" s="511">
        <f t="shared" ca="1" si="38"/>
        <v>-2.9245488519791252E-7</v>
      </c>
      <c r="H181" s="174">
        <f t="shared" ca="1" si="39"/>
        <v>1.0327146979774533</v>
      </c>
      <c r="I181" s="501">
        <v>1.032715</v>
      </c>
      <c r="J181" s="177"/>
      <c r="K181" s="173">
        <f t="shared" ca="1" si="40"/>
        <v>1.0327146979774533</v>
      </c>
      <c r="L181" s="508">
        <f t="shared" ca="1" si="41"/>
        <v>0</v>
      </c>
      <c r="M181" s="174">
        <f t="shared" ca="1" si="42"/>
        <v>1.0327146979774533</v>
      </c>
      <c r="N181" s="174">
        <f ca="1">IF(SUMIFS('Merged Trusts and MFF year'!$C$1:$C$24,'Merged Trusts and MFF year'!$A$1:$A$24,$B181,'Merged Trusts and MFF year'!$D$1:$D$24,"2013-14")=0,M181,SUMIFS('Merged Trusts and MFF year'!$C$1:$C$24,'Merged Trusts and MFF year'!$A$1:$A$24,$B181,'Merged Trusts and MFF year'!$D$1:$D$24,"2013-14"))</f>
        <v>1.0327146979774533</v>
      </c>
      <c r="O181" s="498">
        <f ca="1">IF(SUMIFS('Merged Trusts and MFF year'!$C$1:$C$24,'Merged Trusts and MFF year'!$A$1:$A$24,$B181,'Merged Trusts and MFF year'!$D$1:$D$24,"2014-15")=0,N181,SUMIFS('Merged Trusts and MFF year'!$C$1:$C$24,'Merged Trusts and MFF year'!$A$1:$A$24,$B181,'Merged Trusts and MFF year'!$D$1:$D$24,"2014-15"))</f>
        <v>1.0327146979774533</v>
      </c>
      <c r="P181" s="504">
        <f t="shared" ca="1" si="35"/>
        <v>0</v>
      </c>
      <c r="Q181" s="498">
        <f ca="1">IF(SUMIFS('Merged Trusts and MFF year'!$C$1:$C$24,'Merged Trusts and MFF year'!$A$1:$A$24,$B181,'Merged Trusts and MFF year'!$D$1:$D$24,"2015-16")=0,O181,SUMIFS('Merged Trusts and MFF year'!$C$1:$C$24,'Merged Trusts and MFF year'!$A$1:$A$24,$B181,'Merged Trusts and MFF year'!$D$1:$D$24,"2015-16"))</f>
        <v>1.0327146979774533</v>
      </c>
      <c r="R181" s="504">
        <f t="shared" ca="1" si="36"/>
        <v>0</v>
      </c>
      <c r="S181" s="498">
        <f ca="1">IF(SUMIFS('Merged Trusts and MFF year'!$C$1:$C$24,'Merged Trusts and MFF year'!$A$1:$A$24,$B181,'Merged Trusts and MFF year'!$D$1:$D$24,"2016-17")=0,Q181,SUMIFS('Merged Trusts and MFF year'!$C$1:$C$24,'Merged Trusts and MFF year'!$A$1:$A$24,$B181,'Merged Trusts and MFF year'!$D$1:$D$24,"2016-17"))</f>
        <v>1.0327146979774533</v>
      </c>
      <c r="T181" s="504">
        <f t="shared" ca="1" si="37"/>
        <v>0</v>
      </c>
      <c r="U181" s="459"/>
    </row>
    <row r="182" spans="1:21" ht="12.75" customHeight="1" x14ac:dyDescent="0.2">
      <c r="A182" s="171" t="s">
        <v>3034</v>
      </c>
      <c r="B182" s="172" t="s">
        <v>2774</v>
      </c>
      <c r="C182" s="171" t="s">
        <v>2395</v>
      </c>
      <c r="D182" s="175">
        <f>INDEX('Base MFF calcs'!$I$7:$I$258,MATCH($B182,'Base MFF calcs'!$B$7:$B$258,0),1)</f>
        <v>0.95457749157257821</v>
      </c>
      <c r="E182" s="176">
        <f ca="1">D182/MIN('Base MFF calcs'!$I$7:$I$258)</f>
        <v>1.0305000920083378</v>
      </c>
      <c r="F182" s="176">
        <v>1.0305</v>
      </c>
      <c r="G182" s="511">
        <f t="shared" ca="1" si="38"/>
        <v>8.928514105832619E-8</v>
      </c>
      <c r="H182" s="174">
        <f t="shared" ca="1" si="39"/>
        <v>1.0305000920083378</v>
      </c>
      <c r="I182" s="501">
        <v>1.0305</v>
      </c>
      <c r="J182" s="177"/>
      <c r="K182" s="173">
        <f t="shared" ca="1" si="40"/>
        <v>1.0305000920083378</v>
      </c>
      <c r="L182" s="508">
        <f t="shared" ca="1" si="41"/>
        <v>0</v>
      </c>
      <c r="M182" s="174">
        <f t="shared" ca="1" si="42"/>
        <v>1.0305000920083378</v>
      </c>
      <c r="N182" s="174">
        <f ca="1">IF(SUMIFS('Merged Trusts and MFF year'!$C$1:$C$24,'Merged Trusts and MFF year'!$A$1:$A$24,$B182,'Merged Trusts and MFF year'!$D$1:$D$24,"2013-14")=0,M182,SUMIFS('Merged Trusts and MFF year'!$C$1:$C$24,'Merged Trusts and MFF year'!$A$1:$A$24,$B182,'Merged Trusts and MFF year'!$D$1:$D$24,"2013-14"))</f>
        <v>1.0305000920083378</v>
      </c>
      <c r="O182" s="498">
        <f ca="1">IF(SUMIFS('Merged Trusts and MFF year'!$C$1:$C$24,'Merged Trusts and MFF year'!$A$1:$A$24,$B182,'Merged Trusts and MFF year'!$D$1:$D$24,"2014-15")=0,N182,SUMIFS('Merged Trusts and MFF year'!$C$1:$C$24,'Merged Trusts and MFF year'!$A$1:$A$24,$B182,'Merged Trusts and MFF year'!$D$1:$D$24,"2014-15"))</f>
        <v>1.0305000920083378</v>
      </c>
      <c r="P182" s="504">
        <f t="shared" ca="1" si="35"/>
        <v>0</v>
      </c>
      <c r="Q182" s="498">
        <f ca="1">IF(SUMIFS('Merged Trusts and MFF year'!$C$1:$C$24,'Merged Trusts and MFF year'!$A$1:$A$24,$B182,'Merged Trusts and MFF year'!$D$1:$D$24,"2015-16")=0,O182,SUMIFS('Merged Trusts and MFF year'!$C$1:$C$24,'Merged Trusts and MFF year'!$A$1:$A$24,$B182,'Merged Trusts and MFF year'!$D$1:$D$24,"2015-16"))</f>
        <v>1.0305000920083378</v>
      </c>
      <c r="R182" s="504">
        <f t="shared" ca="1" si="36"/>
        <v>0</v>
      </c>
      <c r="S182" s="498">
        <f ca="1">IF(SUMIFS('Merged Trusts and MFF year'!$C$1:$C$24,'Merged Trusts and MFF year'!$A$1:$A$24,$B182,'Merged Trusts and MFF year'!$D$1:$D$24,"2016-17")=0,Q182,SUMIFS('Merged Trusts and MFF year'!$C$1:$C$24,'Merged Trusts and MFF year'!$A$1:$A$24,$B182,'Merged Trusts and MFF year'!$D$1:$D$24,"2016-17"))</f>
        <v>1.0305000920083378</v>
      </c>
      <c r="T182" s="504">
        <f t="shared" ca="1" si="37"/>
        <v>0</v>
      </c>
      <c r="U182" s="459"/>
    </row>
    <row r="183" spans="1:21" ht="12.75" customHeight="1" x14ac:dyDescent="0.2">
      <c r="A183" s="171" t="s">
        <v>3034</v>
      </c>
      <c r="B183" s="172" t="s">
        <v>2778</v>
      </c>
      <c r="C183" s="172" t="s">
        <v>2779</v>
      </c>
      <c r="D183" s="175">
        <f>INDEX('Base MFF calcs'!$I$7:$I$258,MATCH($B183,'Base MFF calcs'!$B$7:$B$258,0),1)</f>
        <v>0.95357914963469814</v>
      </c>
      <c r="E183" s="176">
        <f ca="1">D183/MIN('Base MFF calcs'!$I$7:$I$258)</f>
        <v>1.0294223466519641</v>
      </c>
      <c r="F183" s="176">
        <v>1.0294220000000001</v>
      </c>
      <c r="G183" s="511">
        <f t="shared" ca="1" si="38"/>
        <v>3.3674427402097251E-7</v>
      </c>
      <c r="H183" s="174">
        <f t="shared" ca="1" si="39"/>
        <v>1.0294223466519641</v>
      </c>
      <c r="I183" s="501">
        <v>1.0294220000000001</v>
      </c>
      <c r="J183" s="177"/>
      <c r="K183" s="173">
        <f t="shared" ca="1" si="40"/>
        <v>1.0294223466519641</v>
      </c>
      <c r="L183" s="508">
        <f t="shared" ca="1" si="41"/>
        <v>0</v>
      </c>
      <c r="M183" s="174">
        <f t="shared" ca="1" si="42"/>
        <v>1.0294223466519641</v>
      </c>
      <c r="N183" s="174">
        <f ca="1">IF(SUMIFS('Merged Trusts and MFF year'!$C$1:$C$24,'Merged Trusts and MFF year'!$A$1:$A$24,$B183,'Merged Trusts and MFF year'!$D$1:$D$24,"2013-14")=0,M183,SUMIFS('Merged Trusts and MFF year'!$C$1:$C$24,'Merged Trusts and MFF year'!$A$1:$A$24,$B183,'Merged Trusts and MFF year'!$D$1:$D$24,"2013-14"))</f>
        <v>1.0294223466519641</v>
      </c>
      <c r="O183" s="498">
        <f ca="1">IF(SUMIFS('Merged Trusts and MFF year'!$C$1:$C$24,'Merged Trusts and MFF year'!$A$1:$A$24,$B183,'Merged Trusts and MFF year'!$D$1:$D$24,"2014-15")=0,N183,SUMIFS('Merged Trusts and MFF year'!$C$1:$C$24,'Merged Trusts and MFF year'!$A$1:$A$24,$B183,'Merged Trusts and MFF year'!$D$1:$D$24,"2014-15"))</f>
        <v>1.0294223466519641</v>
      </c>
      <c r="P183" s="504">
        <f t="shared" ca="1" si="35"/>
        <v>0</v>
      </c>
      <c r="Q183" s="498">
        <f ca="1">IF(SUMIFS('Merged Trusts and MFF year'!$C$1:$C$24,'Merged Trusts and MFF year'!$A$1:$A$24,$B183,'Merged Trusts and MFF year'!$D$1:$D$24,"2015-16")=0,O183,SUMIFS('Merged Trusts and MFF year'!$C$1:$C$24,'Merged Trusts and MFF year'!$A$1:$A$24,$B183,'Merged Trusts and MFF year'!$D$1:$D$24,"2015-16"))</f>
        <v>1.0294223466519641</v>
      </c>
      <c r="R183" s="504">
        <f t="shared" ca="1" si="36"/>
        <v>0</v>
      </c>
      <c r="S183" s="498">
        <f ca="1">IF(SUMIFS('Merged Trusts and MFF year'!$C$1:$C$24,'Merged Trusts and MFF year'!$A$1:$A$24,$B183,'Merged Trusts and MFF year'!$D$1:$D$24,"2016-17")=0,Q183,SUMIFS('Merged Trusts and MFF year'!$C$1:$C$24,'Merged Trusts and MFF year'!$A$1:$A$24,$B183,'Merged Trusts and MFF year'!$D$1:$D$24,"2016-17"))</f>
        <v>1.0294223466519641</v>
      </c>
      <c r="T183" s="504">
        <f t="shared" ca="1" si="37"/>
        <v>0</v>
      </c>
      <c r="U183" s="459"/>
    </row>
    <row r="184" spans="1:21" ht="12.75" customHeight="1" x14ac:dyDescent="0.2">
      <c r="A184" s="171" t="s">
        <v>3069</v>
      </c>
      <c r="B184" s="172" t="s">
        <v>2780</v>
      </c>
      <c r="C184" s="172" t="s">
        <v>2781</v>
      </c>
      <c r="D184" s="175">
        <f>INDEX('Base MFF calcs'!$I$7:$I$258,MATCH($B184,'Base MFF calcs'!$B$7:$B$258,0),1)</f>
        <v>0.95544478497158813</v>
      </c>
      <c r="E184" s="176">
        <f ca="1">D184/MIN('Base MFF calcs'!$I$7:$I$258)</f>
        <v>1.0314363658419117</v>
      </c>
      <c r="F184" s="176">
        <v>1.031436</v>
      </c>
      <c r="G184" s="511">
        <f t="shared" ref="G184:G215" ca="1" si="43">IF(F184="",0,E184/F184-1)</f>
        <v>3.546918196928317E-7</v>
      </c>
      <c r="H184" s="174">
        <f t="shared" ref="H184:H215" ca="1" si="44">IF(ISERR(G184),E184,IF(G184&gt;2%,F184*1.02,IF(G184&lt;-2%,F184*0.98,E184)))</f>
        <v>1.0314363658419117</v>
      </c>
      <c r="I184" s="501">
        <v>1.031436</v>
      </c>
      <c r="J184" s="177"/>
      <c r="K184" s="173">
        <f t="shared" ref="K184:K215" ca="1" si="45">IF(LEFT(U184,6)="Merged","Merged",E184)</f>
        <v>1.0314363658419117</v>
      </c>
      <c r="L184" s="508">
        <f t="shared" ref="L184:L215" ca="1" si="46">IF(K184="Merged","N/A",K184/H184-1)</f>
        <v>0</v>
      </c>
      <c r="M184" s="174">
        <f t="shared" ref="M184:M215" ca="1" si="47">IF(L184="N/A",K184,IF(L184&gt;2%,1.02*H184,IF(L184&lt;-2%,0.98*H184,K184)))</f>
        <v>1.0314363658419117</v>
      </c>
      <c r="N184" s="174">
        <f ca="1">IF(SUMIFS('Merged Trusts and MFF year'!$C$1:$C$24,'Merged Trusts and MFF year'!$A$1:$A$24,$B184,'Merged Trusts and MFF year'!$D$1:$D$24,"2013-14")=0,M184,SUMIFS('Merged Trusts and MFF year'!$C$1:$C$24,'Merged Trusts and MFF year'!$A$1:$A$24,$B184,'Merged Trusts and MFF year'!$D$1:$D$24,"2013-14"))</f>
        <v>1.0314363658419117</v>
      </c>
      <c r="O184" s="498">
        <f ca="1">IF(SUMIFS('Merged Trusts and MFF year'!$C$1:$C$24,'Merged Trusts and MFF year'!$A$1:$A$24,$B184,'Merged Trusts and MFF year'!$D$1:$D$24,"2014-15")=0,N184,SUMIFS('Merged Trusts and MFF year'!$C$1:$C$24,'Merged Trusts and MFF year'!$A$1:$A$24,$B184,'Merged Trusts and MFF year'!$D$1:$D$24,"2014-15"))</f>
        <v>1.0314363658419117</v>
      </c>
      <c r="P184" s="504">
        <f t="shared" ca="1" si="35"/>
        <v>0</v>
      </c>
      <c r="Q184" s="498">
        <f ca="1">IF(SUMIFS('Merged Trusts and MFF year'!$C$1:$C$24,'Merged Trusts and MFF year'!$A$1:$A$24,$B184,'Merged Trusts and MFF year'!$D$1:$D$24,"2015-16")=0,O184,SUMIFS('Merged Trusts and MFF year'!$C$1:$C$24,'Merged Trusts and MFF year'!$A$1:$A$24,$B184,'Merged Trusts and MFF year'!$D$1:$D$24,"2015-16"))</f>
        <v>1.0314363658419117</v>
      </c>
      <c r="R184" s="504">
        <f t="shared" ca="1" si="36"/>
        <v>0</v>
      </c>
      <c r="S184" s="498">
        <f ca="1">IF(SUMIFS('Merged Trusts and MFF year'!$C$1:$C$24,'Merged Trusts and MFF year'!$A$1:$A$24,$B184,'Merged Trusts and MFF year'!$D$1:$D$24,"2016-17")=0,Q184,SUMIFS('Merged Trusts and MFF year'!$C$1:$C$24,'Merged Trusts and MFF year'!$A$1:$A$24,$B184,'Merged Trusts and MFF year'!$D$1:$D$24,"2016-17"))</f>
        <v>1.0314363658419117</v>
      </c>
      <c r="T184" s="504">
        <f t="shared" ca="1" si="37"/>
        <v>0</v>
      </c>
      <c r="U184" s="459"/>
    </row>
    <row r="185" spans="1:21" ht="12.75" customHeight="1" x14ac:dyDescent="0.2">
      <c r="A185" s="171" t="s">
        <v>2133</v>
      </c>
      <c r="B185" s="172" t="s">
        <v>2782</v>
      </c>
      <c r="C185" s="172" t="s">
        <v>2783</v>
      </c>
      <c r="D185" s="175">
        <f>INDEX('Base MFF calcs'!$I$7:$I$258,MATCH($B185,'Base MFF calcs'!$B$7:$B$258,0),1)</f>
        <v>0.95064086610629017</v>
      </c>
      <c r="E185" s="176">
        <f ca="1">D185/MIN('Base MFF calcs'!$I$7:$I$258)</f>
        <v>1.0262503658823539</v>
      </c>
      <c r="F185" s="176">
        <v>1.0262500000000001</v>
      </c>
      <c r="G185" s="511">
        <f t="shared" ca="1" si="43"/>
        <v>3.5652360907967307E-7</v>
      </c>
      <c r="H185" s="174">
        <f t="shared" ca="1" si="44"/>
        <v>1.0262503658823539</v>
      </c>
      <c r="I185" s="501">
        <v>1.0262500000000001</v>
      </c>
      <c r="J185" s="177"/>
      <c r="K185" s="173">
        <f t="shared" ca="1" si="45"/>
        <v>1.0262503658823539</v>
      </c>
      <c r="L185" s="508">
        <f t="shared" ca="1" si="46"/>
        <v>0</v>
      </c>
      <c r="M185" s="174">
        <f t="shared" ca="1" si="47"/>
        <v>1.0262503658823539</v>
      </c>
      <c r="N185" s="174">
        <f ca="1">IF(SUMIFS('Merged Trusts and MFF year'!$C$1:$C$24,'Merged Trusts and MFF year'!$A$1:$A$24,$B185,'Merged Trusts and MFF year'!$D$1:$D$24,"2013-14")=0,M185,SUMIFS('Merged Trusts and MFF year'!$C$1:$C$24,'Merged Trusts and MFF year'!$A$1:$A$24,$B185,'Merged Trusts and MFF year'!$D$1:$D$24,"2013-14"))</f>
        <v>1.0262503658823539</v>
      </c>
      <c r="O185" s="498">
        <f ca="1">IF(SUMIFS('Merged Trusts and MFF year'!$C$1:$C$24,'Merged Trusts and MFF year'!$A$1:$A$24,$B185,'Merged Trusts and MFF year'!$D$1:$D$24,"2014-15")=0,N185,SUMIFS('Merged Trusts and MFF year'!$C$1:$C$24,'Merged Trusts and MFF year'!$A$1:$A$24,$B185,'Merged Trusts and MFF year'!$D$1:$D$24,"2014-15"))</f>
        <v>1.0262503658823539</v>
      </c>
      <c r="P185" s="504">
        <f t="shared" ca="1" si="35"/>
        <v>0</v>
      </c>
      <c r="Q185" s="498">
        <f ca="1">IF(SUMIFS('Merged Trusts and MFF year'!$C$1:$C$24,'Merged Trusts and MFF year'!$A$1:$A$24,$B185,'Merged Trusts and MFF year'!$D$1:$D$24,"2015-16")=0,O185,SUMIFS('Merged Trusts and MFF year'!$C$1:$C$24,'Merged Trusts and MFF year'!$A$1:$A$24,$B185,'Merged Trusts and MFF year'!$D$1:$D$24,"2015-16"))</f>
        <v>1.0262503658823539</v>
      </c>
      <c r="R185" s="504">
        <f t="shared" ca="1" si="36"/>
        <v>0</v>
      </c>
      <c r="S185" s="498">
        <f ca="1">IF(SUMIFS('Merged Trusts and MFF year'!$C$1:$C$24,'Merged Trusts and MFF year'!$A$1:$A$24,$B185,'Merged Trusts and MFF year'!$D$1:$D$24,"2016-17")=0,Q185,SUMIFS('Merged Trusts and MFF year'!$C$1:$C$24,'Merged Trusts and MFF year'!$A$1:$A$24,$B185,'Merged Trusts and MFF year'!$D$1:$D$24,"2016-17"))</f>
        <v>1.0262503658823539</v>
      </c>
      <c r="T185" s="504">
        <f t="shared" ca="1" si="37"/>
        <v>0</v>
      </c>
      <c r="U185" s="459"/>
    </row>
    <row r="186" spans="1:21" ht="12.75" customHeight="1" x14ac:dyDescent="0.2">
      <c r="A186" s="468" t="s">
        <v>2133</v>
      </c>
      <c r="B186" s="467" t="s">
        <v>2784</v>
      </c>
      <c r="C186" s="171" t="s">
        <v>650</v>
      </c>
      <c r="D186" s="469">
        <f>INDEX('Base MFF calcs'!$I$7:$I$258,MATCH($B186,'Base MFF calcs'!$B$7:$B$258,0),1)</f>
        <v>0.95642219629721659</v>
      </c>
      <c r="E186" s="469">
        <f ca="1">D186/MIN('Base MFF calcs'!$I$7:$I$258)</f>
        <v>1.0324915158636565</v>
      </c>
      <c r="F186" s="469"/>
      <c r="G186" s="512">
        <f t="shared" si="43"/>
        <v>0</v>
      </c>
      <c r="H186" s="469">
        <f t="shared" ca="1" si="44"/>
        <v>1.0324915158636565</v>
      </c>
      <c r="I186" s="502">
        <v>1.032492</v>
      </c>
      <c r="J186" s="470"/>
      <c r="K186" s="173">
        <f t="shared" ca="1" si="45"/>
        <v>1.0324915158636565</v>
      </c>
      <c r="L186" s="508">
        <f t="shared" ca="1" si="46"/>
        <v>0</v>
      </c>
      <c r="M186" s="174">
        <f t="shared" ca="1" si="47"/>
        <v>1.0324915158636565</v>
      </c>
      <c r="N186" s="174">
        <f ca="1">IF(SUMIFS('Merged Trusts and MFF year'!$C$1:$C$24,'Merged Trusts and MFF year'!$A$1:$A$24,$B186,'Merged Trusts and MFF year'!$D$1:$D$24,"2013-14")=0,M186,SUMIFS('Merged Trusts and MFF year'!$C$1:$C$24,'Merged Trusts and MFF year'!$A$1:$A$24,$B186,'Merged Trusts and MFF year'!$D$1:$D$24,"2013-14"))</f>
        <v>1.0324915158636565</v>
      </c>
      <c r="O186" s="498">
        <f ca="1">IF(SUMIFS('Merged Trusts and MFF year'!$C$1:$C$24,'Merged Trusts and MFF year'!$A$1:$A$24,$B186,'Merged Trusts and MFF year'!$D$1:$D$24,"2014-15")=0,N186,SUMIFS('Merged Trusts and MFF year'!$C$1:$C$24,'Merged Trusts and MFF year'!$A$1:$A$24,$B186,'Merged Trusts and MFF year'!$D$1:$D$24,"2014-15"))</f>
        <v>1.0324915158636565</v>
      </c>
      <c r="P186" s="504">
        <f t="shared" ca="1" si="35"/>
        <v>0</v>
      </c>
      <c r="Q186" s="498">
        <f ca="1">IF(SUMIFS('Merged Trusts and MFF year'!$C$1:$C$24,'Merged Trusts and MFF year'!$A$1:$A$24,$B186,'Merged Trusts and MFF year'!$D$1:$D$24,"2015-16")=0,O186,SUMIFS('Merged Trusts and MFF year'!$C$1:$C$24,'Merged Trusts and MFF year'!$A$1:$A$24,$B186,'Merged Trusts and MFF year'!$D$1:$D$24,"2015-16"))</f>
        <v>1.0324915158636565</v>
      </c>
      <c r="R186" s="504">
        <f t="shared" ca="1" si="36"/>
        <v>0</v>
      </c>
      <c r="S186" s="498">
        <f ca="1">IF(SUMIFS('Merged Trusts and MFF year'!$C$1:$C$24,'Merged Trusts and MFF year'!$A$1:$A$24,$B186,'Merged Trusts and MFF year'!$D$1:$D$24,"2016-17")=0,Q186,SUMIFS('Merged Trusts and MFF year'!$C$1:$C$24,'Merged Trusts and MFF year'!$A$1:$A$24,$B186,'Merged Trusts and MFF year'!$D$1:$D$24,"2016-17"))</f>
        <v>1.0324915158636565</v>
      </c>
      <c r="T186" s="504">
        <f t="shared" ca="1" si="37"/>
        <v>0</v>
      </c>
      <c r="U186" s="472"/>
    </row>
    <row r="187" spans="1:21" ht="12.75" customHeight="1" x14ac:dyDescent="0.2">
      <c r="A187" s="468" t="s">
        <v>191</v>
      </c>
      <c r="B187" s="467" t="s">
        <v>2785</v>
      </c>
      <c r="C187" s="467" t="s">
        <v>2786</v>
      </c>
      <c r="D187" s="469">
        <f>INDEX('Base MFF calcs'!$I$7:$I$258,MATCH($B187,'Base MFF calcs'!$B$7:$B$258,0),1)</f>
        <v>1.0116995338799022</v>
      </c>
      <c r="E187" s="469">
        <f ca="1">D187/MIN('Base MFF calcs'!$I$7:$I$258)</f>
        <v>1.0921653526844806</v>
      </c>
      <c r="F187" s="469"/>
      <c r="G187" s="512">
        <f t="shared" si="43"/>
        <v>0</v>
      </c>
      <c r="H187" s="469">
        <f t="shared" ca="1" si="44"/>
        <v>1.0921653526844806</v>
      </c>
      <c r="I187" s="502">
        <v>1.0921650000000001</v>
      </c>
      <c r="J187" s="470"/>
      <c r="K187" s="173">
        <f t="shared" ca="1" si="45"/>
        <v>1.0921653526844806</v>
      </c>
      <c r="L187" s="508">
        <f t="shared" ca="1" si="46"/>
        <v>0</v>
      </c>
      <c r="M187" s="174">
        <f t="shared" ca="1" si="47"/>
        <v>1.0921653526844806</v>
      </c>
      <c r="N187" s="174">
        <f ca="1">IF(SUMIFS('Merged Trusts and MFF year'!$C$1:$C$24,'Merged Trusts and MFF year'!$A$1:$A$24,$B187,'Merged Trusts and MFF year'!$D$1:$D$24,"2013-14")=0,M187,SUMIFS('Merged Trusts and MFF year'!$C$1:$C$24,'Merged Trusts and MFF year'!$A$1:$A$24,$B187,'Merged Trusts and MFF year'!$D$1:$D$24,"2013-14"))</f>
        <v>1.0921653526844806</v>
      </c>
      <c r="O187" s="498">
        <f ca="1">IF(SUMIFS('Merged Trusts and MFF year'!$C$1:$C$24,'Merged Trusts and MFF year'!$A$1:$A$24,$B187,'Merged Trusts and MFF year'!$D$1:$D$24,"2014-15")=0,N187,SUMIFS('Merged Trusts and MFF year'!$C$1:$C$24,'Merged Trusts and MFF year'!$A$1:$A$24,$B187,'Merged Trusts and MFF year'!$D$1:$D$24,"2014-15"))</f>
        <v>1.0921653526844806</v>
      </c>
      <c r="P187" s="504">
        <f t="shared" ca="1" si="35"/>
        <v>0</v>
      </c>
      <c r="Q187" s="498">
        <f ca="1">IF(SUMIFS('Merged Trusts and MFF year'!$C$1:$C$24,'Merged Trusts and MFF year'!$A$1:$A$24,$B187,'Merged Trusts and MFF year'!$D$1:$D$24,"2015-16")=0,O187,SUMIFS('Merged Trusts and MFF year'!$C$1:$C$24,'Merged Trusts and MFF year'!$A$1:$A$24,$B187,'Merged Trusts and MFF year'!$D$1:$D$24,"2015-16"))</f>
        <v>1.0921653526844806</v>
      </c>
      <c r="R187" s="504">
        <f t="shared" ca="1" si="36"/>
        <v>0</v>
      </c>
      <c r="S187" s="498">
        <f ca="1">IF(SUMIFS('Merged Trusts and MFF year'!$C$1:$C$24,'Merged Trusts and MFF year'!$A$1:$A$24,$B187,'Merged Trusts and MFF year'!$D$1:$D$24,"2016-17")=0,Q187,SUMIFS('Merged Trusts and MFF year'!$C$1:$C$24,'Merged Trusts and MFF year'!$A$1:$A$24,$B187,'Merged Trusts and MFF year'!$D$1:$D$24,"2016-17"))</f>
        <v>1.0921653526844806</v>
      </c>
      <c r="T187" s="504">
        <f t="shared" ca="1" si="37"/>
        <v>0</v>
      </c>
      <c r="U187" s="472"/>
    </row>
    <row r="188" spans="1:21" ht="12.75" customHeight="1" x14ac:dyDescent="0.2">
      <c r="A188" s="171" t="s">
        <v>3528</v>
      </c>
      <c r="B188" s="172" t="s">
        <v>2787</v>
      </c>
      <c r="C188" s="172" t="s">
        <v>2788</v>
      </c>
      <c r="D188" s="175">
        <f>INDEX('Base MFF calcs'!$I$7:$I$258,MATCH($B188,'Base MFF calcs'!$B$7:$B$258,0),1)</f>
        <v>0.95936325353378815</v>
      </c>
      <c r="E188" s="176">
        <f ca="1">D188/MIN('Base MFF calcs'!$I$7:$I$258)</f>
        <v>1.0356664909491218</v>
      </c>
      <c r="F188" s="176">
        <v>1.035666</v>
      </c>
      <c r="G188" s="511">
        <f t="shared" ca="1" si="43"/>
        <v>4.7404194192246507E-7</v>
      </c>
      <c r="H188" s="174">
        <f t="shared" ca="1" si="44"/>
        <v>1.0356664909491218</v>
      </c>
      <c r="I188" s="501">
        <v>1.035666</v>
      </c>
      <c r="J188" s="177"/>
      <c r="K188" s="173">
        <f t="shared" ca="1" si="45"/>
        <v>1.0356664909491218</v>
      </c>
      <c r="L188" s="508">
        <f t="shared" ca="1" si="46"/>
        <v>0</v>
      </c>
      <c r="M188" s="174">
        <f t="shared" ca="1" si="47"/>
        <v>1.0356664909491218</v>
      </c>
      <c r="N188" s="174">
        <f ca="1">IF(SUMIFS('Merged Trusts and MFF year'!$C$1:$C$24,'Merged Trusts and MFF year'!$A$1:$A$24,$B188,'Merged Trusts and MFF year'!$D$1:$D$24,"2013-14")=0,M188,SUMIFS('Merged Trusts and MFF year'!$C$1:$C$24,'Merged Trusts and MFF year'!$A$1:$A$24,$B188,'Merged Trusts and MFF year'!$D$1:$D$24,"2013-14"))</f>
        <v>1.0356664909491218</v>
      </c>
      <c r="O188" s="498">
        <f ca="1">IF(SUMIFS('Merged Trusts and MFF year'!$C$1:$C$24,'Merged Trusts and MFF year'!$A$1:$A$24,$B188,'Merged Trusts and MFF year'!$D$1:$D$24,"2014-15")=0,N188,SUMIFS('Merged Trusts and MFF year'!$C$1:$C$24,'Merged Trusts and MFF year'!$A$1:$A$24,$B188,'Merged Trusts and MFF year'!$D$1:$D$24,"2014-15"))</f>
        <v>1.0356664909491218</v>
      </c>
      <c r="P188" s="504">
        <f t="shared" ca="1" si="35"/>
        <v>0</v>
      </c>
      <c r="Q188" s="498">
        <f ca="1">IF(SUMIFS('Merged Trusts and MFF year'!$C$1:$C$24,'Merged Trusts and MFF year'!$A$1:$A$24,$B188,'Merged Trusts and MFF year'!$D$1:$D$24,"2015-16")=0,O188,SUMIFS('Merged Trusts and MFF year'!$C$1:$C$24,'Merged Trusts and MFF year'!$A$1:$A$24,$B188,'Merged Trusts and MFF year'!$D$1:$D$24,"2015-16"))</f>
        <v>1.0356664909491218</v>
      </c>
      <c r="R188" s="504">
        <f t="shared" ca="1" si="36"/>
        <v>0</v>
      </c>
      <c r="S188" s="498">
        <f ca="1">IF(SUMIFS('Merged Trusts and MFF year'!$C$1:$C$24,'Merged Trusts and MFF year'!$A$1:$A$24,$B188,'Merged Trusts and MFF year'!$D$1:$D$24,"2016-17")=0,Q188,SUMIFS('Merged Trusts and MFF year'!$C$1:$C$24,'Merged Trusts and MFF year'!$A$1:$A$24,$B188,'Merged Trusts and MFF year'!$D$1:$D$24,"2016-17"))</f>
        <v>1.0356664909491218</v>
      </c>
      <c r="T188" s="504">
        <f t="shared" ca="1" si="37"/>
        <v>0</v>
      </c>
      <c r="U188" s="459"/>
    </row>
    <row r="189" spans="1:21" ht="12.75" customHeight="1" x14ac:dyDescent="0.2">
      <c r="A189" s="172" t="s">
        <v>191</v>
      </c>
      <c r="B189" s="171" t="s">
        <v>2789</v>
      </c>
      <c r="C189" s="174" t="s">
        <v>655</v>
      </c>
      <c r="D189" s="174">
        <f>INDEX('Base MFF calcs'!$I$7:$I$258,MATCH($B189,'Base MFF calcs'!$B$7:$B$258,0),1)</f>
        <v>1.0359078400741493</v>
      </c>
      <c r="E189" s="176">
        <f ca="1">D189/MIN('Base MFF calcs'!$I$7:$I$258)</f>
        <v>1.1182990736037117</v>
      </c>
      <c r="F189" s="175">
        <v>1.1182989999999999</v>
      </c>
      <c r="G189" s="513">
        <f t="shared" ca="1" si="43"/>
        <v>6.5817560290781785E-8</v>
      </c>
      <c r="H189" s="174">
        <f t="shared" ca="1" si="44"/>
        <v>1.1182990736037117</v>
      </c>
      <c r="I189" s="501">
        <v>1.1182989999999999</v>
      </c>
      <c r="J189" s="177"/>
      <c r="K189" s="173">
        <f t="shared" ca="1" si="45"/>
        <v>1.1182990736037117</v>
      </c>
      <c r="L189" s="508">
        <f t="shared" ca="1" si="46"/>
        <v>0</v>
      </c>
      <c r="M189" s="174">
        <f t="shared" ca="1" si="47"/>
        <v>1.1182990736037117</v>
      </c>
      <c r="N189" s="174">
        <f ca="1">IF(SUMIFS('Merged Trusts and MFF year'!$C$1:$C$24,'Merged Trusts and MFF year'!$A$1:$A$24,$B189,'Merged Trusts and MFF year'!$D$1:$D$24,"2013-14")=0,M189,SUMIFS('Merged Trusts and MFF year'!$C$1:$C$24,'Merged Trusts and MFF year'!$A$1:$A$24,$B189,'Merged Trusts and MFF year'!$D$1:$D$24,"2013-14"))</f>
        <v>1.1182990736037117</v>
      </c>
      <c r="O189" s="498">
        <f ca="1">IF(SUMIFS('Merged Trusts and MFF year'!$C$1:$C$24,'Merged Trusts and MFF year'!$A$1:$A$24,$B189,'Merged Trusts and MFF year'!$D$1:$D$24,"2014-15")=0,N189,SUMIFS('Merged Trusts and MFF year'!$C$1:$C$24,'Merged Trusts and MFF year'!$A$1:$A$24,$B189,'Merged Trusts and MFF year'!$D$1:$D$24,"2014-15"))</f>
        <v>1.1182990736037117</v>
      </c>
      <c r="P189" s="504">
        <f t="shared" ca="1" si="35"/>
        <v>0</v>
      </c>
      <c r="Q189" s="498">
        <f ca="1">IF(SUMIFS('Merged Trusts and MFF year'!$C$1:$C$24,'Merged Trusts and MFF year'!$A$1:$A$24,$B189,'Merged Trusts and MFF year'!$D$1:$D$24,"2015-16")=0,O189,SUMIFS('Merged Trusts and MFF year'!$C$1:$C$24,'Merged Trusts and MFF year'!$A$1:$A$24,$B189,'Merged Trusts and MFF year'!$D$1:$D$24,"2015-16"))</f>
        <v>1.1182990736037117</v>
      </c>
      <c r="R189" s="504">
        <f t="shared" ca="1" si="36"/>
        <v>0</v>
      </c>
      <c r="S189" s="498">
        <f ca="1">IF(SUMIFS('Merged Trusts and MFF year'!$C$1:$C$24,'Merged Trusts and MFF year'!$A$1:$A$24,$B189,'Merged Trusts and MFF year'!$D$1:$D$24,"2016-17")=0,Q189,SUMIFS('Merged Trusts and MFF year'!$C$1:$C$24,'Merged Trusts and MFF year'!$A$1:$A$24,$B189,'Merged Trusts and MFF year'!$D$1:$D$24,"2016-17"))</f>
        <v>1.1182990736037117</v>
      </c>
      <c r="T189" s="504">
        <f t="shared" ca="1" si="37"/>
        <v>0</v>
      </c>
      <c r="U189" s="479"/>
    </row>
    <row r="190" spans="1:21" ht="12.75" customHeight="1" x14ac:dyDescent="0.2">
      <c r="A190" s="171" t="s">
        <v>3528</v>
      </c>
      <c r="B190" s="172" t="s">
        <v>2790</v>
      </c>
      <c r="C190" s="172" t="s">
        <v>2791</v>
      </c>
      <c r="D190" s="175">
        <f>INDEX('Base MFF calcs'!$I$7:$I$258,MATCH($B190,'Base MFF calcs'!$B$7:$B$258,0),1)</f>
        <v>0.93889319227980539</v>
      </c>
      <c r="E190" s="176">
        <f ca="1">D190/MIN('Base MFF calcs'!$I$7:$I$258)</f>
        <v>1.0135683373765978</v>
      </c>
      <c r="F190" s="176">
        <v>1.013568</v>
      </c>
      <c r="G190" s="511">
        <f t="shared" ca="1" si="43"/>
        <v>3.3286034861745861E-7</v>
      </c>
      <c r="H190" s="174">
        <f t="shared" ca="1" si="44"/>
        <v>1.0135683373765978</v>
      </c>
      <c r="I190" s="501">
        <v>1.013568</v>
      </c>
      <c r="J190" s="177"/>
      <c r="K190" s="173">
        <f t="shared" ca="1" si="45"/>
        <v>1.0135683373765978</v>
      </c>
      <c r="L190" s="508">
        <f t="shared" ca="1" si="46"/>
        <v>0</v>
      </c>
      <c r="M190" s="174">
        <f t="shared" ca="1" si="47"/>
        <v>1.0135683373765978</v>
      </c>
      <c r="N190" s="174">
        <f ca="1">IF(SUMIFS('Merged Trusts and MFF year'!$C$1:$C$24,'Merged Trusts and MFF year'!$A$1:$A$24,$B190,'Merged Trusts and MFF year'!$D$1:$D$24,"2013-14")=0,M190,SUMIFS('Merged Trusts and MFF year'!$C$1:$C$24,'Merged Trusts and MFF year'!$A$1:$A$24,$B190,'Merged Trusts and MFF year'!$D$1:$D$24,"2013-14"))</f>
        <v>1.0135683373765978</v>
      </c>
      <c r="O190" s="498">
        <f ca="1">IF(SUMIFS('Merged Trusts and MFF year'!$C$1:$C$24,'Merged Trusts and MFF year'!$A$1:$A$24,$B190,'Merged Trusts and MFF year'!$D$1:$D$24,"2014-15")=0,N190,SUMIFS('Merged Trusts and MFF year'!$C$1:$C$24,'Merged Trusts and MFF year'!$A$1:$A$24,$B190,'Merged Trusts and MFF year'!$D$1:$D$24,"2014-15"))</f>
        <v>1.0135683373765978</v>
      </c>
      <c r="P190" s="504">
        <f t="shared" ca="1" si="35"/>
        <v>0</v>
      </c>
      <c r="Q190" s="498">
        <f ca="1">IF(SUMIFS('Merged Trusts and MFF year'!$C$1:$C$24,'Merged Trusts and MFF year'!$A$1:$A$24,$B190,'Merged Trusts and MFF year'!$D$1:$D$24,"2015-16")=0,O190,SUMIFS('Merged Trusts and MFF year'!$C$1:$C$24,'Merged Trusts and MFF year'!$A$1:$A$24,$B190,'Merged Trusts and MFF year'!$D$1:$D$24,"2015-16"))</f>
        <v>1.0135683373765978</v>
      </c>
      <c r="R190" s="504">
        <f t="shared" ca="1" si="36"/>
        <v>0</v>
      </c>
      <c r="S190" s="498">
        <f ca="1">IF(SUMIFS('Merged Trusts and MFF year'!$C$1:$C$24,'Merged Trusts and MFF year'!$A$1:$A$24,$B190,'Merged Trusts and MFF year'!$D$1:$D$24,"2016-17")=0,Q190,SUMIFS('Merged Trusts and MFF year'!$C$1:$C$24,'Merged Trusts and MFF year'!$A$1:$A$24,$B190,'Merged Trusts and MFF year'!$D$1:$D$24,"2016-17"))</f>
        <v>1.0132418800827625</v>
      </c>
      <c r="T190" s="504">
        <f t="shared" ca="1" si="37"/>
        <v>-3.2208710729886292E-4</v>
      </c>
      <c r="U190" s="459" t="s">
        <v>4230</v>
      </c>
    </row>
    <row r="191" spans="1:21" ht="12.75" customHeight="1" x14ac:dyDescent="0.2">
      <c r="A191" s="172" t="s">
        <v>3496</v>
      </c>
      <c r="B191" s="171" t="s">
        <v>547</v>
      </c>
      <c r="C191" s="174" t="s">
        <v>656</v>
      </c>
      <c r="D191" s="174">
        <f>INDEX('Base MFF calcs'!$I$7:$I$258,MATCH($B191,'Base MFF calcs'!$B$7:$B$258,0),1)</f>
        <v>1.0139147137081315</v>
      </c>
      <c r="E191" s="176">
        <f ca="1">D191/MIN('Base MFF calcs'!$I$7:$I$258)</f>
        <v>1.0945567174892852</v>
      </c>
      <c r="F191" s="175">
        <v>1.094557</v>
      </c>
      <c r="G191" s="513">
        <f t="shared" ca="1" si="43"/>
        <v>-2.5810507342516331E-7</v>
      </c>
      <c r="H191" s="174">
        <f t="shared" ca="1" si="44"/>
        <v>1.0945567174892852</v>
      </c>
      <c r="I191" s="501">
        <v>1.094557</v>
      </c>
      <c r="J191" s="177"/>
      <c r="K191" s="173">
        <f t="shared" ca="1" si="45"/>
        <v>1.0945567174892852</v>
      </c>
      <c r="L191" s="508">
        <f t="shared" ca="1" si="46"/>
        <v>0</v>
      </c>
      <c r="M191" s="174">
        <f t="shared" ca="1" si="47"/>
        <v>1.0945567174892852</v>
      </c>
      <c r="N191" s="174">
        <f ca="1">IF(SUMIFS('Merged Trusts and MFF year'!$C$1:$C$24,'Merged Trusts and MFF year'!$A$1:$A$24,$B191,'Merged Trusts and MFF year'!$D$1:$D$24,"2013-14")=0,M191,SUMIFS('Merged Trusts and MFF year'!$C$1:$C$24,'Merged Trusts and MFF year'!$A$1:$A$24,$B191,'Merged Trusts and MFF year'!$D$1:$D$24,"2013-14"))</f>
        <v>1.0945567174892852</v>
      </c>
      <c r="O191" s="498">
        <f ca="1">IF(SUMIFS('Merged Trusts and MFF year'!$C$1:$C$24,'Merged Trusts and MFF year'!$A$1:$A$24,$B191,'Merged Trusts and MFF year'!$D$1:$D$24,"2014-15")=0,N191,SUMIFS('Merged Trusts and MFF year'!$C$1:$C$24,'Merged Trusts and MFF year'!$A$1:$A$24,$B191,'Merged Trusts and MFF year'!$D$1:$D$24,"2014-15"))</f>
        <v>1.0945567174892852</v>
      </c>
      <c r="P191" s="504">
        <f t="shared" ca="1" si="35"/>
        <v>0</v>
      </c>
      <c r="Q191" s="498">
        <f ca="1">IF(SUMIFS('Merged Trusts and MFF year'!$C$1:$C$24,'Merged Trusts and MFF year'!$A$1:$A$24,$B191,'Merged Trusts and MFF year'!$D$1:$D$24,"2015-16")=0,O191,SUMIFS('Merged Trusts and MFF year'!$C$1:$C$24,'Merged Trusts and MFF year'!$A$1:$A$24,$B191,'Merged Trusts and MFF year'!$D$1:$D$24,"2015-16"))</f>
        <v>1.0945567174892852</v>
      </c>
      <c r="R191" s="504">
        <f t="shared" ca="1" si="36"/>
        <v>0</v>
      </c>
      <c r="S191" s="498">
        <f ca="1">IF(SUMIFS('Merged Trusts and MFF year'!$C$1:$C$24,'Merged Trusts and MFF year'!$A$1:$A$24,$B191,'Merged Trusts and MFF year'!$D$1:$D$24,"2016-17")=0,Q191,SUMIFS('Merged Trusts and MFF year'!$C$1:$C$24,'Merged Trusts and MFF year'!$A$1:$A$24,$B191,'Merged Trusts and MFF year'!$D$1:$D$24,"2016-17"))</f>
        <v>1.0945567174892852</v>
      </c>
      <c r="T191" s="504">
        <f t="shared" ca="1" si="37"/>
        <v>0</v>
      </c>
      <c r="U191" s="479"/>
    </row>
    <row r="192" spans="1:21" x14ac:dyDescent="0.2">
      <c r="A192" s="171" t="s">
        <v>1127</v>
      </c>
      <c r="B192" s="172" t="s">
        <v>548</v>
      </c>
      <c r="C192" s="172" t="s">
        <v>549</v>
      </c>
      <c r="D192" s="175">
        <f>INDEX('Base MFF calcs'!$I$7:$I$258,MATCH($B192,'Base MFF calcs'!$B$7:$B$258,0),1)</f>
        <v>1.0250870366064653</v>
      </c>
      <c r="E192" s="176">
        <f ca="1">D192/MIN('Base MFF calcs'!$I$7:$I$258)</f>
        <v>1.1066176343622705</v>
      </c>
      <c r="F192" s="176">
        <v>1.1066180000000001</v>
      </c>
      <c r="G192" s="511">
        <f t="shared" ca="1" si="43"/>
        <v>-3.3041006897160941E-7</v>
      </c>
      <c r="H192" s="174">
        <f t="shared" ca="1" si="44"/>
        <v>1.1066176343622705</v>
      </c>
      <c r="I192" s="501">
        <v>1.1066179999999999</v>
      </c>
      <c r="J192" s="177"/>
      <c r="K192" s="173" t="str">
        <f t="shared" si="45"/>
        <v>Merged</v>
      </c>
      <c r="L192" s="508" t="str">
        <f t="shared" si="46"/>
        <v>N/A</v>
      </c>
      <c r="M192" s="174" t="str">
        <f t="shared" si="47"/>
        <v>Merged</v>
      </c>
      <c r="N192" s="174">
        <f ca="1">IF(SUMIFS('Merged Trusts and MFF year'!$C$1:$C$24,'Merged Trusts and MFF year'!$A$1:$A$24,$B192,'Merged Trusts and MFF year'!$D$1:$D$24,"2013-14")=0,M192,SUMIFS('Merged Trusts and MFF year'!$C$1:$C$24,'Merged Trusts and MFF year'!$A$1:$A$24,$B192,'Merged Trusts and MFF year'!$D$1:$D$24,"2013-14"))</f>
        <v>1.1099000643481478</v>
      </c>
      <c r="O192" s="498">
        <f ca="1">IF(SUMIFS('Merged Trusts and MFF year'!$C$1:$C$24,'Merged Trusts and MFF year'!$A$1:$A$24,$B192,'Merged Trusts and MFF year'!$D$1:$D$24,"2014-15")=0,N192,SUMIFS('Merged Trusts and MFF year'!$C$1:$C$24,'Merged Trusts and MFF year'!$A$1:$A$24,$B192,'Merged Trusts and MFF year'!$D$1:$D$24,"2014-15"))</f>
        <v>1.1099000643481478</v>
      </c>
      <c r="P192" s="504">
        <f t="shared" ca="1" si="35"/>
        <v>0</v>
      </c>
      <c r="Q192" s="498">
        <f ca="1">IF(SUMIFS('Merged Trusts and MFF year'!$C$1:$C$24,'Merged Trusts and MFF year'!$A$1:$A$24,$B192,'Merged Trusts and MFF year'!$D$1:$D$24,"2015-16")=0,O192,SUMIFS('Merged Trusts and MFF year'!$C$1:$C$24,'Merged Trusts and MFF year'!$A$1:$A$24,$B192,'Merged Trusts and MFF year'!$D$1:$D$24,"2015-16"))</f>
        <v>1.1099000643481478</v>
      </c>
      <c r="R192" s="504">
        <f t="shared" ca="1" si="36"/>
        <v>0</v>
      </c>
      <c r="S192" s="498">
        <f ca="1">IF(SUMIFS('Merged Trusts and MFF year'!$C$1:$C$24,'Merged Trusts and MFF year'!$A$1:$A$24,$B192,'Merged Trusts and MFF year'!$D$1:$D$24,"2016-17")=0,Q192,SUMIFS('Merged Trusts and MFF year'!$C$1:$C$24,'Merged Trusts and MFF year'!$A$1:$A$24,$B192,'Merged Trusts and MFF year'!$D$1:$D$24,"2016-17"))</f>
        <v>1.1099000643481478</v>
      </c>
      <c r="T192" s="504">
        <f t="shared" ca="1" si="37"/>
        <v>0</v>
      </c>
      <c r="U192" s="459" t="s">
        <v>1935</v>
      </c>
    </row>
    <row r="193" spans="1:21" ht="12.75" customHeight="1" x14ac:dyDescent="0.2">
      <c r="A193" s="171" t="s">
        <v>1167</v>
      </c>
      <c r="B193" s="172" t="s">
        <v>550</v>
      </c>
      <c r="C193" s="172" t="s">
        <v>551</v>
      </c>
      <c r="D193" s="175">
        <f>INDEX('Base MFF calcs'!$I$7:$I$258,MATCH($B193,'Base MFF calcs'!$B$7:$B$258,0),1)</f>
        <v>1.1064740775964723</v>
      </c>
      <c r="E193" s="176">
        <f ca="1">D193/MIN('Base MFF calcs'!$I$7:$I$258)</f>
        <v>1.1944778174997563</v>
      </c>
      <c r="F193" s="176">
        <v>1.1944779999999999</v>
      </c>
      <c r="G193" s="511">
        <f t="shared" ca="1" si="43"/>
        <v>-1.527866093642416E-7</v>
      </c>
      <c r="H193" s="174">
        <f t="shared" ca="1" si="44"/>
        <v>1.1944778174997563</v>
      </c>
      <c r="I193" s="501">
        <v>1.1944779999999999</v>
      </c>
      <c r="J193" s="177"/>
      <c r="K193" s="173">
        <f t="shared" ca="1" si="45"/>
        <v>1.1944778174997563</v>
      </c>
      <c r="L193" s="508">
        <f t="shared" ca="1" si="46"/>
        <v>0</v>
      </c>
      <c r="M193" s="174">
        <f t="shared" ca="1" si="47"/>
        <v>1.1944778174997563</v>
      </c>
      <c r="N193" s="174">
        <f ca="1">IF(SUMIFS('Merged Trusts and MFF year'!$C$1:$C$24,'Merged Trusts and MFF year'!$A$1:$A$24,$B193,'Merged Trusts and MFF year'!$D$1:$D$24,"2013-14")=0,M193,SUMIFS('Merged Trusts and MFF year'!$C$1:$C$24,'Merged Trusts and MFF year'!$A$1:$A$24,$B193,'Merged Trusts and MFF year'!$D$1:$D$24,"2013-14"))</f>
        <v>1.1944778174997563</v>
      </c>
      <c r="O193" s="498">
        <f ca="1">IF(SUMIFS('Merged Trusts and MFF year'!$C$1:$C$24,'Merged Trusts and MFF year'!$A$1:$A$24,$B193,'Merged Trusts and MFF year'!$D$1:$D$24,"2014-15")=0,N193,SUMIFS('Merged Trusts and MFF year'!$C$1:$C$24,'Merged Trusts and MFF year'!$A$1:$A$24,$B193,'Merged Trusts and MFF year'!$D$1:$D$24,"2014-15"))</f>
        <v>1.1944778174997563</v>
      </c>
      <c r="P193" s="504">
        <f t="shared" ca="1" si="35"/>
        <v>0</v>
      </c>
      <c r="Q193" s="498">
        <f ca="1">IF(SUMIFS('Merged Trusts and MFF year'!$C$1:$C$24,'Merged Trusts and MFF year'!$A$1:$A$24,$B193,'Merged Trusts and MFF year'!$D$1:$D$24,"2015-16")=0,O193,SUMIFS('Merged Trusts and MFF year'!$C$1:$C$24,'Merged Trusts and MFF year'!$A$1:$A$24,$B193,'Merged Trusts and MFF year'!$D$1:$D$24,"2015-16"))</f>
        <v>1.1944778174997563</v>
      </c>
      <c r="R193" s="504">
        <f t="shared" ca="1" si="36"/>
        <v>0</v>
      </c>
      <c r="S193" s="498">
        <f ca="1">IF(SUMIFS('Merged Trusts and MFF year'!$C$1:$C$24,'Merged Trusts and MFF year'!$A$1:$A$24,$B193,'Merged Trusts and MFF year'!$D$1:$D$24,"2016-17")=0,Q193,SUMIFS('Merged Trusts and MFF year'!$C$1:$C$24,'Merged Trusts and MFF year'!$A$1:$A$24,$B193,'Merged Trusts and MFF year'!$D$1:$D$24,"2016-17"))</f>
        <v>1.1944778174997563</v>
      </c>
      <c r="T193" s="504">
        <f t="shared" ca="1" si="37"/>
        <v>0</v>
      </c>
      <c r="U193" s="459"/>
    </row>
    <row r="194" spans="1:21" ht="12.75" customHeight="1" x14ac:dyDescent="0.2">
      <c r="A194" s="171" t="s">
        <v>1167</v>
      </c>
      <c r="B194" s="172" t="s">
        <v>552</v>
      </c>
      <c r="C194" s="172" t="s">
        <v>553</v>
      </c>
      <c r="D194" s="175">
        <f>INDEX('Base MFF calcs'!$I$7:$I$258,MATCH($B194,'Base MFF calcs'!$B$7:$B$258,0),1)</f>
        <v>1.0976730576120168</v>
      </c>
      <c r="E194" s="176">
        <f ca="1">D194/MIN('Base MFF calcs'!$I$7:$I$258)</f>
        <v>1.184976805812578</v>
      </c>
      <c r="F194" s="176">
        <v>1.1849769999999999</v>
      </c>
      <c r="G194" s="511">
        <f t="shared" ca="1" si="43"/>
        <v>-1.6387442280940689E-7</v>
      </c>
      <c r="H194" s="174">
        <f t="shared" ca="1" si="44"/>
        <v>1.184976805812578</v>
      </c>
      <c r="I194" s="501">
        <v>1.1849769999999999</v>
      </c>
      <c r="J194" s="177"/>
      <c r="K194" s="173">
        <f t="shared" ca="1" si="45"/>
        <v>1.184976805812578</v>
      </c>
      <c r="L194" s="508">
        <f t="shared" ca="1" si="46"/>
        <v>0</v>
      </c>
      <c r="M194" s="174">
        <f t="shared" ca="1" si="47"/>
        <v>1.184976805812578</v>
      </c>
      <c r="N194" s="174">
        <f ca="1">IF(SUMIFS('Merged Trusts and MFF year'!$C$1:$C$24,'Merged Trusts and MFF year'!$A$1:$A$24,$B194,'Merged Trusts and MFF year'!$D$1:$D$24,"2013-14")=0,M194,SUMIFS('Merged Trusts and MFF year'!$C$1:$C$24,'Merged Trusts and MFF year'!$A$1:$A$24,$B194,'Merged Trusts and MFF year'!$D$1:$D$24,"2013-14"))</f>
        <v>1.184976805812578</v>
      </c>
      <c r="O194" s="498">
        <f ca="1">IF(SUMIFS('Merged Trusts and MFF year'!$C$1:$C$24,'Merged Trusts and MFF year'!$A$1:$A$24,$B194,'Merged Trusts and MFF year'!$D$1:$D$24,"2014-15")=0,N194,SUMIFS('Merged Trusts and MFF year'!$C$1:$C$24,'Merged Trusts and MFF year'!$A$1:$A$24,$B194,'Merged Trusts and MFF year'!$D$1:$D$24,"2014-15"))</f>
        <v>1.184976805812578</v>
      </c>
      <c r="P194" s="504">
        <f t="shared" ca="1" si="35"/>
        <v>0</v>
      </c>
      <c r="Q194" s="498">
        <f ca="1">IF(SUMIFS('Merged Trusts and MFF year'!$C$1:$C$24,'Merged Trusts and MFF year'!$A$1:$A$24,$B194,'Merged Trusts and MFF year'!$D$1:$D$24,"2015-16")=0,O194,SUMIFS('Merged Trusts and MFF year'!$C$1:$C$24,'Merged Trusts and MFF year'!$A$1:$A$24,$B194,'Merged Trusts and MFF year'!$D$1:$D$24,"2015-16"))</f>
        <v>1.184976805812578</v>
      </c>
      <c r="R194" s="504">
        <f t="shared" ca="1" si="36"/>
        <v>0</v>
      </c>
      <c r="S194" s="498">
        <f ca="1">IF(SUMIFS('Merged Trusts and MFF year'!$C$1:$C$24,'Merged Trusts and MFF year'!$A$1:$A$24,$B194,'Merged Trusts and MFF year'!$D$1:$D$24,"2016-17")=0,Q194,SUMIFS('Merged Trusts and MFF year'!$C$1:$C$24,'Merged Trusts and MFF year'!$A$1:$A$24,$B194,'Merged Trusts and MFF year'!$D$1:$D$24,"2016-17"))</f>
        <v>1.184976805812578</v>
      </c>
      <c r="T194" s="504">
        <f t="shared" ca="1" si="37"/>
        <v>0</v>
      </c>
      <c r="U194" s="459" t="s">
        <v>4219</v>
      </c>
    </row>
    <row r="195" spans="1:21" ht="12.75" customHeight="1" x14ac:dyDescent="0.2">
      <c r="A195" s="171" t="s">
        <v>2133</v>
      </c>
      <c r="B195" s="172" t="s">
        <v>554</v>
      </c>
      <c r="C195" s="172" t="s">
        <v>555</v>
      </c>
      <c r="D195" s="175">
        <f>INDEX('Base MFF calcs'!$I$7:$I$258,MATCH($B195,'Base MFF calcs'!$B$7:$B$258,0),1)</f>
        <v>0.95550676170326176</v>
      </c>
      <c r="E195" s="176">
        <f ca="1">D195/MIN('Base MFF calcs'!$I$7:$I$258)</f>
        <v>1.031503271911095</v>
      </c>
      <c r="F195" s="176">
        <v>1.0315030000000001</v>
      </c>
      <c r="G195" s="511">
        <f t="shared" ca="1" si="43"/>
        <v>2.6360669336256137E-7</v>
      </c>
      <c r="H195" s="174">
        <f t="shared" ca="1" si="44"/>
        <v>1.031503271911095</v>
      </c>
      <c r="I195" s="501">
        <v>1.0315030000000001</v>
      </c>
      <c r="J195" s="177"/>
      <c r="K195" s="173">
        <f t="shared" ca="1" si="45"/>
        <v>1.031503271911095</v>
      </c>
      <c r="L195" s="508">
        <f t="shared" ca="1" si="46"/>
        <v>0</v>
      </c>
      <c r="M195" s="174">
        <f t="shared" ca="1" si="47"/>
        <v>1.031503271911095</v>
      </c>
      <c r="N195" s="174">
        <f ca="1">IF(SUMIFS('Merged Trusts and MFF year'!$C$1:$C$24,'Merged Trusts and MFF year'!$A$1:$A$24,$B195,'Merged Trusts and MFF year'!$D$1:$D$24,"2013-14")=0,M195,SUMIFS('Merged Trusts and MFF year'!$C$1:$C$24,'Merged Trusts and MFF year'!$A$1:$A$24,$B195,'Merged Trusts and MFF year'!$D$1:$D$24,"2013-14"))</f>
        <v>1.031503271911095</v>
      </c>
      <c r="O195" s="498">
        <f ca="1">IF(SUMIFS('Merged Trusts and MFF year'!$C$1:$C$24,'Merged Trusts and MFF year'!$A$1:$A$24,$B195,'Merged Trusts and MFF year'!$D$1:$D$24,"2014-15")=0,N195,SUMIFS('Merged Trusts and MFF year'!$C$1:$C$24,'Merged Trusts and MFF year'!$A$1:$A$24,$B195,'Merged Trusts and MFF year'!$D$1:$D$24,"2014-15"))</f>
        <v>1.031503271911095</v>
      </c>
      <c r="P195" s="504">
        <f t="shared" ca="1" si="35"/>
        <v>0</v>
      </c>
      <c r="Q195" s="498">
        <f ca="1">IF(SUMIFS('Merged Trusts and MFF year'!$C$1:$C$24,'Merged Trusts and MFF year'!$A$1:$A$24,$B195,'Merged Trusts and MFF year'!$D$1:$D$24,"2015-16")=0,O195,SUMIFS('Merged Trusts and MFF year'!$C$1:$C$24,'Merged Trusts and MFF year'!$A$1:$A$24,$B195,'Merged Trusts and MFF year'!$D$1:$D$24,"2015-16"))</f>
        <v>1.031503271911095</v>
      </c>
      <c r="R195" s="504">
        <f t="shared" ca="1" si="36"/>
        <v>0</v>
      </c>
      <c r="S195" s="498">
        <f ca="1">IF(SUMIFS('Merged Trusts and MFF year'!$C$1:$C$24,'Merged Trusts and MFF year'!$A$1:$A$24,$B195,'Merged Trusts and MFF year'!$D$1:$D$24,"2016-17")=0,Q195,SUMIFS('Merged Trusts and MFF year'!$C$1:$C$24,'Merged Trusts and MFF year'!$A$1:$A$24,$B195,'Merged Trusts and MFF year'!$D$1:$D$24,"2016-17"))</f>
        <v>1.031503271911095</v>
      </c>
      <c r="T195" s="504">
        <f t="shared" ca="1" si="37"/>
        <v>0</v>
      </c>
      <c r="U195" s="459"/>
    </row>
    <row r="196" spans="1:21" ht="12.75" customHeight="1" x14ac:dyDescent="0.2">
      <c r="A196" s="171" t="s">
        <v>708</v>
      </c>
      <c r="B196" s="172" t="s">
        <v>556</v>
      </c>
      <c r="C196" s="172" t="s">
        <v>557</v>
      </c>
      <c r="D196" s="175">
        <f>INDEX('Base MFF calcs'!$I$7:$I$258,MATCH($B196,'Base MFF calcs'!$B$7:$B$258,0),1)</f>
        <v>0.95339472816839388</v>
      </c>
      <c r="E196" s="176">
        <f ca="1">D196/MIN('Base MFF calcs'!$I$7:$I$258)</f>
        <v>1.029223257170311</v>
      </c>
      <c r="F196" s="176">
        <v>1.029223</v>
      </c>
      <c r="G196" s="511">
        <f t="shared" ca="1" si="43"/>
        <v>2.498684066321033E-7</v>
      </c>
      <c r="H196" s="174">
        <f t="shared" ca="1" si="44"/>
        <v>1.029223257170311</v>
      </c>
      <c r="I196" s="501">
        <v>1.029223</v>
      </c>
      <c r="J196" s="177"/>
      <c r="K196" s="173">
        <f t="shared" ca="1" si="45"/>
        <v>1.029223257170311</v>
      </c>
      <c r="L196" s="508">
        <f t="shared" ca="1" si="46"/>
        <v>0</v>
      </c>
      <c r="M196" s="174">
        <f t="shared" ca="1" si="47"/>
        <v>1.029223257170311</v>
      </c>
      <c r="N196" s="174">
        <f ca="1">IF(SUMIFS('Merged Trusts and MFF year'!$C$1:$C$24,'Merged Trusts and MFF year'!$A$1:$A$24,$B196,'Merged Trusts and MFF year'!$D$1:$D$24,"2013-14")=0,M196,SUMIFS('Merged Trusts and MFF year'!$C$1:$C$24,'Merged Trusts and MFF year'!$A$1:$A$24,$B196,'Merged Trusts and MFF year'!$D$1:$D$24,"2013-14"))</f>
        <v>1.029223257170311</v>
      </c>
      <c r="O196" s="498">
        <f ca="1">IF(SUMIFS('Merged Trusts and MFF year'!$C$1:$C$24,'Merged Trusts and MFF year'!$A$1:$A$24,$B196,'Merged Trusts and MFF year'!$D$1:$D$24,"2014-15")=0,N196,SUMIFS('Merged Trusts and MFF year'!$C$1:$C$24,'Merged Trusts and MFF year'!$A$1:$A$24,$B196,'Merged Trusts and MFF year'!$D$1:$D$24,"2014-15"))</f>
        <v>1.029223257170311</v>
      </c>
      <c r="P196" s="504">
        <f t="shared" ca="1" si="35"/>
        <v>0</v>
      </c>
      <c r="Q196" s="498">
        <f ca="1">IF(SUMIFS('Merged Trusts and MFF year'!$C$1:$C$24,'Merged Trusts and MFF year'!$A$1:$A$24,$B196,'Merged Trusts and MFF year'!$D$1:$D$24,"2015-16")=0,O196,SUMIFS('Merged Trusts and MFF year'!$C$1:$C$24,'Merged Trusts and MFF year'!$A$1:$A$24,$B196,'Merged Trusts and MFF year'!$D$1:$D$24,"2015-16"))</f>
        <v>1.029223257170311</v>
      </c>
      <c r="R196" s="504">
        <f t="shared" ca="1" si="36"/>
        <v>0</v>
      </c>
      <c r="S196" s="498">
        <f ca="1">IF(SUMIFS('Merged Trusts and MFF year'!$C$1:$C$24,'Merged Trusts and MFF year'!$A$1:$A$24,$B196,'Merged Trusts and MFF year'!$D$1:$D$24,"2016-17")=0,Q196,SUMIFS('Merged Trusts and MFF year'!$C$1:$C$24,'Merged Trusts and MFF year'!$A$1:$A$24,$B196,'Merged Trusts and MFF year'!$D$1:$D$24,"2016-17"))</f>
        <v>1.029223257170311</v>
      </c>
      <c r="T196" s="504">
        <f t="shared" ca="1" si="37"/>
        <v>0</v>
      </c>
      <c r="U196" s="459"/>
    </row>
    <row r="197" spans="1:21" ht="12.75" customHeight="1" x14ac:dyDescent="0.2">
      <c r="A197" s="171" t="s">
        <v>708</v>
      </c>
      <c r="B197" s="172" t="s">
        <v>558</v>
      </c>
      <c r="C197" s="386" t="s">
        <v>559</v>
      </c>
      <c r="D197" s="175">
        <f>INDEX('Base MFF calcs'!$I$7:$I$258,MATCH($B197,'Base MFF calcs'!$B$7:$B$258,0),1)</f>
        <v>0.95356901649942793</v>
      </c>
      <c r="E197" s="176">
        <f ca="1">D197/MIN('Base MFF calcs'!$I$7:$I$258)</f>
        <v>1.0294114075748115</v>
      </c>
      <c r="F197" s="176">
        <v>1.0294110000000001</v>
      </c>
      <c r="G197" s="511">
        <f t="shared" ca="1" si="43"/>
        <v>3.9593011091909602E-7</v>
      </c>
      <c r="H197" s="174">
        <f t="shared" ca="1" si="44"/>
        <v>1.0294114075748115</v>
      </c>
      <c r="I197" s="501">
        <v>1.0294109999999999</v>
      </c>
      <c r="J197" s="177"/>
      <c r="K197" s="173">
        <f t="shared" ca="1" si="45"/>
        <v>1.0294114075748115</v>
      </c>
      <c r="L197" s="508">
        <f t="shared" ca="1" si="46"/>
        <v>0</v>
      </c>
      <c r="M197" s="174">
        <f t="shared" ca="1" si="47"/>
        <v>1.0294114075748115</v>
      </c>
      <c r="N197" s="174">
        <f ca="1">IF(SUMIFS('Merged Trusts and MFF year'!$C$1:$C$24,'Merged Trusts and MFF year'!$A$1:$A$24,$B197,'Merged Trusts and MFF year'!$D$1:$D$24,"2013-14")=0,M197,SUMIFS('Merged Trusts and MFF year'!$C$1:$C$24,'Merged Trusts and MFF year'!$A$1:$A$24,$B197,'Merged Trusts and MFF year'!$D$1:$D$24,"2013-14"))</f>
        <v>1.0294114075748115</v>
      </c>
      <c r="O197" s="498">
        <f ca="1">IF(SUMIFS('Merged Trusts and MFF year'!$C$1:$C$24,'Merged Trusts and MFF year'!$A$1:$A$24,$B197,'Merged Trusts and MFF year'!$D$1:$D$24,"2014-15")=0,N197,SUMIFS('Merged Trusts and MFF year'!$C$1:$C$24,'Merged Trusts and MFF year'!$A$1:$A$24,$B197,'Merged Trusts and MFF year'!$D$1:$D$24,"2014-15"))</f>
        <v>1.0294114075748115</v>
      </c>
      <c r="P197" s="504">
        <f t="shared" ca="1" si="35"/>
        <v>0</v>
      </c>
      <c r="Q197" s="498">
        <f ca="1">IF(SUMIFS('Merged Trusts and MFF year'!$C$1:$C$24,'Merged Trusts and MFF year'!$A$1:$A$24,$B197,'Merged Trusts and MFF year'!$D$1:$D$24,"2015-16")=0,O197,SUMIFS('Merged Trusts and MFF year'!$C$1:$C$24,'Merged Trusts and MFF year'!$A$1:$A$24,$B197,'Merged Trusts and MFF year'!$D$1:$D$24,"2015-16"))</f>
        <v>1.0294114075748115</v>
      </c>
      <c r="R197" s="504">
        <f t="shared" ca="1" si="36"/>
        <v>0</v>
      </c>
      <c r="S197" s="498">
        <f ca="1">IF(SUMIFS('Merged Trusts and MFF year'!$C$1:$C$24,'Merged Trusts and MFF year'!$A$1:$A$24,$B197,'Merged Trusts and MFF year'!$D$1:$D$24,"2016-17")=0,Q197,SUMIFS('Merged Trusts and MFF year'!$C$1:$C$24,'Merged Trusts and MFF year'!$A$1:$A$24,$B197,'Merged Trusts and MFF year'!$D$1:$D$24,"2016-17"))</f>
        <v>1.0294114075748115</v>
      </c>
      <c r="T197" s="504">
        <f t="shared" ca="1" si="37"/>
        <v>0</v>
      </c>
      <c r="U197" s="459"/>
    </row>
    <row r="198" spans="1:21" ht="12.75" customHeight="1" x14ac:dyDescent="0.2">
      <c r="A198" s="171" t="s">
        <v>2133</v>
      </c>
      <c r="B198" s="172" t="s">
        <v>560</v>
      </c>
      <c r="C198" s="468" t="s">
        <v>1301</v>
      </c>
      <c r="D198" s="175">
        <f>INDEX('Base MFF calcs'!$I$7:$I$258,MATCH($B198,'Base MFF calcs'!$B$7:$B$258,0),1)</f>
        <v>0.97870355618982474</v>
      </c>
      <c r="E198" s="176">
        <f ca="1">D198/MIN('Base MFF calcs'!$I$7:$I$258)</f>
        <v>1.0565450302426491</v>
      </c>
      <c r="F198" s="176">
        <v>1.0565450000000001</v>
      </c>
      <c r="G198" s="511">
        <f t="shared" ca="1" si="43"/>
        <v>2.862409931303489E-8</v>
      </c>
      <c r="H198" s="174">
        <f t="shared" ca="1" si="44"/>
        <v>1.0565450302426491</v>
      </c>
      <c r="I198" s="501">
        <v>1.0565449999999998</v>
      </c>
      <c r="J198" s="177"/>
      <c r="K198" s="173">
        <f t="shared" ca="1" si="45"/>
        <v>1.0565450302426491</v>
      </c>
      <c r="L198" s="508">
        <f t="shared" ca="1" si="46"/>
        <v>0</v>
      </c>
      <c r="M198" s="174">
        <f t="shared" ca="1" si="47"/>
        <v>1.0565450302426491</v>
      </c>
      <c r="N198" s="174">
        <f ca="1">IF(SUMIFS('Merged Trusts and MFF year'!$C$1:$C$24,'Merged Trusts and MFF year'!$A$1:$A$24,$B198,'Merged Trusts and MFF year'!$D$1:$D$24,"2013-14")=0,M198,SUMIFS('Merged Trusts and MFF year'!$C$1:$C$24,'Merged Trusts and MFF year'!$A$1:$A$24,$B198,'Merged Trusts and MFF year'!$D$1:$D$24,"2013-14"))</f>
        <v>1.0565450302426491</v>
      </c>
      <c r="O198" s="498">
        <f ca="1">IF(SUMIFS('Merged Trusts and MFF year'!$C$1:$C$24,'Merged Trusts and MFF year'!$A$1:$A$24,$B198,'Merged Trusts and MFF year'!$D$1:$D$24,"2014-15")=0,N198,SUMIFS('Merged Trusts and MFF year'!$C$1:$C$24,'Merged Trusts and MFF year'!$A$1:$A$24,$B198,'Merged Trusts and MFF year'!$D$1:$D$24,"2014-15"))</f>
        <v>1.0565450302426491</v>
      </c>
      <c r="P198" s="504">
        <f t="shared" ca="1" si="35"/>
        <v>0</v>
      </c>
      <c r="Q198" s="498">
        <f ca="1">IF(SUMIFS('Merged Trusts and MFF year'!$C$1:$C$24,'Merged Trusts and MFF year'!$A$1:$A$24,$B198,'Merged Trusts and MFF year'!$D$1:$D$24,"2015-16")=0,O198,SUMIFS('Merged Trusts and MFF year'!$C$1:$C$24,'Merged Trusts and MFF year'!$A$1:$A$24,$B198,'Merged Trusts and MFF year'!$D$1:$D$24,"2015-16"))</f>
        <v>1.0565450302426491</v>
      </c>
      <c r="R198" s="504">
        <f t="shared" ca="1" si="36"/>
        <v>0</v>
      </c>
      <c r="S198" s="498">
        <f ca="1">IF(SUMIFS('Merged Trusts and MFF year'!$C$1:$C$24,'Merged Trusts and MFF year'!$A$1:$A$24,$B198,'Merged Trusts and MFF year'!$D$1:$D$24,"2016-17")=0,Q198,SUMIFS('Merged Trusts and MFF year'!$C$1:$C$24,'Merged Trusts and MFF year'!$A$1:$A$24,$B198,'Merged Trusts and MFF year'!$D$1:$D$24,"2016-17"))</f>
        <v>1.0565450302426491</v>
      </c>
      <c r="T198" s="504">
        <f t="shared" ca="1" si="37"/>
        <v>0</v>
      </c>
      <c r="U198" s="464"/>
    </row>
    <row r="199" spans="1:21" ht="12.75" customHeight="1" x14ac:dyDescent="0.2">
      <c r="A199" s="171" t="s">
        <v>1167</v>
      </c>
      <c r="B199" s="172" t="s">
        <v>562</v>
      </c>
      <c r="C199" s="172" t="s">
        <v>563</v>
      </c>
      <c r="D199" s="175">
        <f>INDEX('Base MFF calcs'!$I$7:$I$258,MATCH($B199,'Base MFF calcs'!$B$7:$B$258,0),1)</f>
        <v>1.1122688975542092</v>
      </c>
      <c r="E199" s="176">
        <f ca="1">D199/MIN('Base MFF calcs'!$I$7:$I$258)</f>
        <v>1.2007335301604247</v>
      </c>
      <c r="F199" s="176">
        <v>1.200734</v>
      </c>
      <c r="G199" s="511">
        <f t="shared" ca="1" si="43"/>
        <v>-3.9129363804679684E-7</v>
      </c>
      <c r="H199" s="174">
        <f t="shared" ca="1" si="44"/>
        <v>1.2007335301604247</v>
      </c>
      <c r="I199" s="501">
        <v>1.200734</v>
      </c>
      <c r="J199" s="177"/>
      <c r="K199" s="173">
        <f t="shared" ca="1" si="45"/>
        <v>1.2007335301604247</v>
      </c>
      <c r="L199" s="508">
        <f t="shared" ca="1" si="46"/>
        <v>0</v>
      </c>
      <c r="M199" s="174">
        <f t="shared" ca="1" si="47"/>
        <v>1.2007335301604247</v>
      </c>
      <c r="N199" s="174">
        <f ca="1">IF(SUMIFS('Merged Trusts and MFF year'!$C$1:$C$24,'Merged Trusts and MFF year'!$A$1:$A$24,$B199,'Merged Trusts and MFF year'!$D$1:$D$24,"2013-14")=0,M199,SUMIFS('Merged Trusts and MFF year'!$C$1:$C$24,'Merged Trusts and MFF year'!$A$1:$A$24,$B199,'Merged Trusts and MFF year'!$D$1:$D$24,"2013-14"))</f>
        <v>1.2007335301604247</v>
      </c>
      <c r="O199" s="498">
        <f ca="1">IF(SUMIFS('Merged Trusts and MFF year'!$C$1:$C$24,'Merged Trusts and MFF year'!$A$1:$A$24,$B199,'Merged Trusts and MFF year'!$D$1:$D$24,"2014-15")=0,N199,SUMIFS('Merged Trusts and MFF year'!$C$1:$C$24,'Merged Trusts and MFF year'!$A$1:$A$24,$B199,'Merged Trusts and MFF year'!$D$1:$D$24,"2014-15"))</f>
        <v>1.2007335301604247</v>
      </c>
      <c r="P199" s="504">
        <f t="shared" ref="P199:P261" ca="1" si="48">IF(OR(O199="Merged",N199=""),"N/A",O199/N199-1)</f>
        <v>0</v>
      </c>
      <c r="Q199" s="498">
        <f ca="1">IF(SUMIFS('Merged Trusts and MFF year'!$C$1:$C$24,'Merged Trusts and MFF year'!$A$1:$A$24,$B199,'Merged Trusts and MFF year'!$D$1:$D$24,"2015-16")=0,O199,SUMIFS('Merged Trusts and MFF year'!$C$1:$C$24,'Merged Trusts and MFF year'!$A$1:$A$24,$B199,'Merged Trusts and MFF year'!$D$1:$D$24,"2015-16"))</f>
        <v>1.2007335301604247</v>
      </c>
      <c r="R199" s="504">
        <f t="shared" ref="R199:R261" ca="1" si="49">IF(OR(Q199="Merged",O199=""),"N/A",Q199/O199-1)</f>
        <v>0</v>
      </c>
      <c r="S199" s="498">
        <f ca="1">IF(SUMIFS('Merged Trusts and MFF year'!$C$1:$C$24,'Merged Trusts and MFF year'!$A$1:$A$24,$B199,'Merged Trusts and MFF year'!$D$1:$D$24,"2016-17")=0,Q199,SUMIFS('Merged Trusts and MFF year'!$C$1:$C$24,'Merged Trusts and MFF year'!$A$1:$A$24,$B199,'Merged Trusts and MFF year'!$D$1:$D$24,"2016-17"))</f>
        <v>1.2007335301604247</v>
      </c>
      <c r="T199" s="504">
        <f t="shared" ref="T199:T261" ca="1" si="50">IF(OR(S199="Merged",Q199=""),"N/A",S199/Q199-1)</f>
        <v>0</v>
      </c>
      <c r="U199" s="459"/>
    </row>
    <row r="200" spans="1:21" ht="12.75" customHeight="1" x14ac:dyDescent="0.2">
      <c r="A200" s="171" t="s">
        <v>3034</v>
      </c>
      <c r="B200" s="172" t="s">
        <v>564</v>
      </c>
      <c r="C200" s="172" t="s">
        <v>565</v>
      </c>
      <c r="D200" s="175">
        <f>INDEX('Base MFF calcs'!$I$7:$I$258,MATCH($B200,'Base MFF calcs'!$B$7:$B$258,0),1)</f>
        <v>0.96072437171617708</v>
      </c>
      <c r="E200" s="176">
        <f ca="1">D200/MIN('Base MFF calcs'!$I$7:$I$258)</f>
        <v>1.0371358660648866</v>
      </c>
      <c r="F200" s="176">
        <v>1.0371360000000001</v>
      </c>
      <c r="G200" s="511">
        <f t="shared" ca="1" si="43"/>
        <v>-1.2913939295700061E-7</v>
      </c>
      <c r="H200" s="174">
        <f t="shared" ca="1" si="44"/>
        <v>1.0371358660648866</v>
      </c>
      <c r="I200" s="501">
        <v>1.0371360000000001</v>
      </c>
      <c r="J200" s="177"/>
      <c r="K200" s="173">
        <f t="shared" ca="1" si="45"/>
        <v>1.0371358660648866</v>
      </c>
      <c r="L200" s="508">
        <f t="shared" ca="1" si="46"/>
        <v>0</v>
      </c>
      <c r="M200" s="174">
        <f t="shared" ca="1" si="47"/>
        <v>1.0371358660648866</v>
      </c>
      <c r="N200" s="174">
        <f ca="1">IF(SUMIFS('Merged Trusts and MFF year'!$C$1:$C$24,'Merged Trusts and MFF year'!$A$1:$A$24,$B200,'Merged Trusts and MFF year'!$D$1:$D$24,"2013-14")=0,M200,SUMIFS('Merged Trusts and MFF year'!$C$1:$C$24,'Merged Trusts and MFF year'!$A$1:$A$24,$B200,'Merged Trusts and MFF year'!$D$1:$D$24,"2013-14"))</f>
        <v>1.0371358660648866</v>
      </c>
      <c r="O200" s="498">
        <f ca="1">IF(SUMIFS('Merged Trusts and MFF year'!$C$1:$C$24,'Merged Trusts and MFF year'!$A$1:$A$24,$B200,'Merged Trusts and MFF year'!$D$1:$D$24,"2014-15")=0,N200,SUMIFS('Merged Trusts and MFF year'!$C$1:$C$24,'Merged Trusts and MFF year'!$A$1:$A$24,$B200,'Merged Trusts and MFF year'!$D$1:$D$24,"2014-15"))</f>
        <v>1.0371358660648866</v>
      </c>
      <c r="P200" s="504">
        <f t="shared" ca="1" si="48"/>
        <v>0</v>
      </c>
      <c r="Q200" s="498">
        <f ca="1">IF(SUMIFS('Merged Trusts and MFF year'!$C$1:$C$24,'Merged Trusts and MFF year'!$A$1:$A$24,$B200,'Merged Trusts and MFF year'!$D$1:$D$24,"2015-16")=0,O200,SUMIFS('Merged Trusts and MFF year'!$C$1:$C$24,'Merged Trusts and MFF year'!$A$1:$A$24,$B200,'Merged Trusts and MFF year'!$D$1:$D$24,"2015-16"))</f>
        <v>1.0371358660648866</v>
      </c>
      <c r="R200" s="504">
        <f t="shared" ca="1" si="49"/>
        <v>0</v>
      </c>
      <c r="S200" s="498">
        <f ca="1">IF(SUMIFS('Merged Trusts and MFF year'!$C$1:$C$24,'Merged Trusts and MFF year'!$A$1:$A$24,$B200,'Merged Trusts and MFF year'!$D$1:$D$24,"2016-17")=0,Q200,SUMIFS('Merged Trusts and MFF year'!$C$1:$C$24,'Merged Trusts and MFF year'!$A$1:$A$24,$B200,'Merged Trusts and MFF year'!$D$1:$D$24,"2016-17"))</f>
        <v>1.0371358660648866</v>
      </c>
      <c r="T200" s="504">
        <f t="shared" ca="1" si="50"/>
        <v>0</v>
      </c>
      <c r="U200" s="459"/>
    </row>
    <row r="201" spans="1:21" ht="22.5" x14ac:dyDescent="0.2">
      <c r="A201" s="172" t="s">
        <v>3528</v>
      </c>
      <c r="B201" s="171" t="s">
        <v>566</v>
      </c>
      <c r="C201" s="174" t="s">
        <v>649</v>
      </c>
      <c r="D201" s="174">
        <f>INDEX('Base MFF calcs'!$I$7:$I$258,MATCH($B201,'Base MFF calcs'!$B$7:$B$258,0),1)</f>
        <v>0.95185001657517443</v>
      </c>
      <c r="E201" s="176">
        <f ca="1">D201/MIN('Base MFF calcs'!$I$7:$I$258)</f>
        <v>1.0275556864880016</v>
      </c>
      <c r="F201" s="175">
        <v>1.0275559999999999</v>
      </c>
      <c r="G201" s="513">
        <f t="shared" ca="1" si="43"/>
        <v>-3.0510453774557078E-7</v>
      </c>
      <c r="H201" s="174">
        <f t="shared" ca="1" si="44"/>
        <v>1.0275556864880016</v>
      </c>
      <c r="I201" s="501">
        <v>1.0275559999999999</v>
      </c>
      <c r="J201" s="177"/>
      <c r="K201" s="173">
        <f t="shared" ca="1" si="45"/>
        <v>1.0275556864880016</v>
      </c>
      <c r="L201" s="508">
        <f t="shared" ca="1" si="46"/>
        <v>0</v>
      </c>
      <c r="M201" s="174">
        <f t="shared" ca="1" si="47"/>
        <v>1.0275556864880016</v>
      </c>
      <c r="N201" s="174">
        <f ca="1">IF(SUMIFS('Merged Trusts and MFF year'!$C$1:$C$24,'Merged Trusts and MFF year'!$A$1:$A$24,$B201,'Merged Trusts and MFF year'!$D$1:$D$24,"2013-14")=0,M201,SUMIFS('Merged Trusts and MFF year'!$C$1:$C$24,'Merged Trusts and MFF year'!$A$1:$A$24,$B201,'Merged Trusts and MFF year'!$D$1:$D$24,"2013-14"))</f>
        <v>1.0485561367605876</v>
      </c>
      <c r="O201" s="498">
        <f ca="1">IF(SUMIFS('Merged Trusts and MFF year'!$C$1:$C$24,'Merged Trusts and MFF year'!$A$1:$A$24,$B201,'Merged Trusts and MFF year'!$D$1:$D$24,"2014-15")=0,N201,SUMIFS('Merged Trusts and MFF year'!$C$1:$C$24,'Merged Trusts and MFF year'!$A$1:$A$24,$B201,'Merged Trusts and MFF year'!$D$1:$D$24,"2014-15"))</f>
        <v>1.0485561367605876</v>
      </c>
      <c r="P201" s="504">
        <f t="shared" ca="1" si="48"/>
        <v>0</v>
      </c>
      <c r="Q201" s="498">
        <f ca="1">IF(SUMIFS('Merged Trusts and MFF year'!$C$1:$C$24,'Merged Trusts and MFF year'!$A$1:$A$24,$B201,'Merged Trusts and MFF year'!$D$1:$D$24,"2015-16")=0,O201,SUMIFS('Merged Trusts and MFF year'!$C$1:$C$24,'Merged Trusts and MFF year'!$A$1:$A$24,$B201,'Merged Trusts and MFF year'!$D$1:$D$24,"2015-16"))</f>
        <v>1.0485561367605876</v>
      </c>
      <c r="R201" s="504">
        <f t="shared" ca="1" si="49"/>
        <v>0</v>
      </c>
      <c r="S201" s="498">
        <f ca="1">IF(SUMIFS('Merged Trusts and MFF year'!$C$1:$C$24,'Merged Trusts and MFF year'!$A$1:$A$24,$B201,'Merged Trusts and MFF year'!$D$1:$D$24,"2016-17")=0,Q201,SUMIFS('Merged Trusts and MFF year'!$C$1:$C$24,'Merged Trusts and MFF year'!$A$1:$A$24,$B201,'Merged Trusts and MFF year'!$D$1:$D$24,"2016-17"))</f>
        <v>1.0485561367605876</v>
      </c>
      <c r="T201" s="504">
        <f t="shared" ca="1" si="50"/>
        <v>0</v>
      </c>
      <c r="U201" s="494" t="s">
        <v>4233</v>
      </c>
    </row>
    <row r="202" spans="1:21" ht="12.75" customHeight="1" x14ac:dyDescent="0.2">
      <c r="A202" s="171" t="s">
        <v>1127</v>
      </c>
      <c r="B202" s="172" t="s">
        <v>569</v>
      </c>
      <c r="C202" s="172" t="s">
        <v>570</v>
      </c>
      <c r="D202" s="175">
        <f>INDEX('Base MFF calcs'!$I$7:$I$258,MATCH($B202,'Base MFF calcs'!$B$7:$B$258,0),1)</f>
        <v>0.99875638229802433</v>
      </c>
      <c r="E202" s="176">
        <f ca="1">D202/MIN('Base MFF calcs'!$I$7:$I$258)</f>
        <v>1.078192763749841</v>
      </c>
      <c r="F202" s="176">
        <v>1.078193</v>
      </c>
      <c r="G202" s="511">
        <f t="shared" ca="1" si="43"/>
        <v>-2.1911676206798347E-7</v>
      </c>
      <c r="H202" s="174">
        <f t="shared" ca="1" si="44"/>
        <v>1.078192763749841</v>
      </c>
      <c r="I202" s="501">
        <v>1.078193</v>
      </c>
      <c r="J202" s="177"/>
      <c r="K202" s="173">
        <f t="shared" ca="1" si="45"/>
        <v>1.078192763749841</v>
      </c>
      <c r="L202" s="508">
        <f t="shared" ca="1" si="46"/>
        <v>0</v>
      </c>
      <c r="M202" s="174">
        <f t="shared" ca="1" si="47"/>
        <v>1.078192763749841</v>
      </c>
      <c r="N202" s="174">
        <f ca="1">IF(SUMIFS('Merged Trusts and MFF year'!$C$1:$C$24,'Merged Trusts and MFF year'!$A$1:$A$24,$B202,'Merged Trusts and MFF year'!$D$1:$D$24,"2013-14")=0,M202,SUMIFS('Merged Trusts and MFF year'!$C$1:$C$24,'Merged Trusts and MFF year'!$A$1:$A$24,$B202,'Merged Trusts and MFF year'!$D$1:$D$24,"2013-14"))</f>
        <v>1.078192763749841</v>
      </c>
      <c r="O202" s="498">
        <f ca="1">IF(SUMIFS('Merged Trusts and MFF year'!$C$1:$C$24,'Merged Trusts and MFF year'!$A$1:$A$24,$B202,'Merged Trusts and MFF year'!$D$1:$D$24,"2014-15")=0,N202,SUMIFS('Merged Trusts and MFF year'!$C$1:$C$24,'Merged Trusts and MFF year'!$A$1:$A$24,$B202,'Merged Trusts and MFF year'!$D$1:$D$24,"2014-15"))</f>
        <v>1.078192763749841</v>
      </c>
      <c r="P202" s="504">
        <f t="shared" ca="1" si="48"/>
        <v>0</v>
      </c>
      <c r="Q202" s="498">
        <f ca="1">IF(SUMIFS('Merged Trusts and MFF year'!$C$1:$C$24,'Merged Trusts and MFF year'!$A$1:$A$24,$B202,'Merged Trusts and MFF year'!$D$1:$D$24,"2015-16")=0,O202,SUMIFS('Merged Trusts and MFF year'!$C$1:$C$24,'Merged Trusts and MFF year'!$A$1:$A$24,$B202,'Merged Trusts and MFF year'!$D$1:$D$24,"2015-16"))</f>
        <v>1.078192763749841</v>
      </c>
      <c r="R202" s="504">
        <f t="shared" ca="1" si="49"/>
        <v>0</v>
      </c>
      <c r="S202" s="498">
        <f ca="1">IF(SUMIFS('Merged Trusts and MFF year'!$C$1:$C$24,'Merged Trusts and MFF year'!$A$1:$A$24,$B202,'Merged Trusts and MFF year'!$D$1:$D$24,"2016-17")=0,Q202,SUMIFS('Merged Trusts and MFF year'!$C$1:$C$24,'Merged Trusts and MFF year'!$A$1:$A$24,$B202,'Merged Trusts and MFF year'!$D$1:$D$24,"2016-17"))</f>
        <v>1.078192763749841</v>
      </c>
      <c r="T202" s="504">
        <f t="shared" ca="1" si="50"/>
        <v>0</v>
      </c>
      <c r="U202" s="459"/>
    </row>
    <row r="203" spans="1:21" ht="12.75" customHeight="1" x14ac:dyDescent="0.2">
      <c r="A203" s="171" t="s">
        <v>191</v>
      </c>
      <c r="B203" s="172" t="s">
        <v>2385</v>
      </c>
      <c r="C203" s="171" t="s">
        <v>1310</v>
      </c>
      <c r="D203" s="175">
        <f>INDEX('Base MFF calcs'!$I$7:$I$258,MATCH($B203,'Base MFF calcs'!$B$7:$B$258,0),1)</f>
        <v>1.0090574625932951</v>
      </c>
      <c r="E203" s="176">
        <f ca="1">D203/MIN('Base MFF calcs'!$I$7:$I$258)</f>
        <v>1.0893131434840981</v>
      </c>
      <c r="F203" s="176">
        <v>1.089313</v>
      </c>
      <c r="G203" s="511">
        <f t="shared" ca="1" si="43"/>
        <v>1.3171980706161435E-7</v>
      </c>
      <c r="H203" s="174">
        <f t="shared" ca="1" si="44"/>
        <v>1.0893131434840981</v>
      </c>
      <c r="I203" s="501">
        <v>1.089313</v>
      </c>
      <c r="J203" s="177"/>
      <c r="K203" s="173">
        <f t="shared" ca="1" si="45"/>
        <v>1.0893131434840981</v>
      </c>
      <c r="L203" s="508">
        <f t="shared" ca="1" si="46"/>
        <v>0</v>
      </c>
      <c r="M203" s="174">
        <f t="shared" ca="1" si="47"/>
        <v>1.0893131434840981</v>
      </c>
      <c r="N203" s="174">
        <f ca="1">IF(SUMIFS('Merged Trusts and MFF year'!$C$1:$C$24,'Merged Trusts and MFF year'!$A$1:$A$24,$B203,'Merged Trusts and MFF year'!$D$1:$D$24,"2013-14")=0,M203,SUMIFS('Merged Trusts and MFF year'!$C$1:$C$24,'Merged Trusts and MFF year'!$A$1:$A$24,$B203,'Merged Trusts and MFF year'!$D$1:$D$24,"2013-14"))</f>
        <v>1.0910634041637464</v>
      </c>
      <c r="O203" s="498">
        <f ca="1">IF(SUMIFS('Merged Trusts and MFF year'!$C$1:$C$24,'Merged Trusts and MFF year'!$A$1:$A$24,$B203,'Merged Trusts and MFF year'!$D$1:$D$24,"2014-15")=0,N203,SUMIFS('Merged Trusts and MFF year'!$C$1:$C$24,'Merged Trusts and MFF year'!$A$1:$A$24,$B203,'Merged Trusts and MFF year'!$D$1:$D$24,"2014-15"))</f>
        <v>1.0910634041637464</v>
      </c>
      <c r="P203" s="504">
        <f t="shared" ca="1" si="48"/>
        <v>0</v>
      </c>
      <c r="Q203" s="498">
        <f ca="1">IF(SUMIFS('Merged Trusts and MFF year'!$C$1:$C$24,'Merged Trusts and MFF year'!$A$1:$A$24,$B203,'Merged Trusts and MFF year'!$D$1:$D$24,"2015-16")=0,O203,SUMIFS('Merged Trusts and MFF year'!$C$1:$C$24,'Merged Trusts and MFF year'!$A$1:$A$24,$B203,'Merged Trusts and MFF year'!$D$1:$D$24,"2015-16"))</f>
        <v>1.0910634041637464</v>
      </c>
      <c r="R203" s="504">
        <f t="shared" ca="1" si="49"/>
        <v>0</v>
      </c>
      <c r="S203" s="498">
        <f ca="1">IF(SUMIFS('Merged Trusts and MFF year'!$C$1:$C$24,'Merged Trusts and MFF year'!$A$1:$A$24,$B203,'Merged Trusts and MFF year'!$D$1:$D$24,"2016-17")=0,Q203,SUMIFS('Merged Trusts and MFF year'!$C$1:$C$24,'Merged Trusts and MFF year'!$A$1:$A$24,$B203,'Merged Trusts and MFF year'!$D$1:$D$24,"2016-17"))</f>
        <v>1.0910634041637464</v>
      </c>
      <c r="T203" s="504">
        <f t="shared" ca="1" si="50"/>
        <v>0</v>
      </c>
      <c r="U203" s="459" t="s">
        <v>4217</v>
      </c>
    </row>
    <row r="204" spans="1:21" ht="12.75" customHeight="1" x14ac:dyDescent="0.2">
      <c r="A204" s="171" t="s">
        <v>2975</v>
      </c>
      <c r="B204" s="172" t="s">
        <v>571</v>
      </c>
      <c r="C204" s="172" t="s">
        <v>572</v>
      </c>
      <c r="D204" s="175">
        <f>INDEX('Base MFF calcs'!$I$7:$I$258,MATCH($B204,'Base MFF calcs'!$B$7:$B$258,0),1)</f>
        <v>0.95973137306734468</v>
      </c>
      <c r="E204" s="176">
        <f ca="1">D204/MIN('Base MFF calcs'!$I$7:$I$258)</f>
        <v>1.0360638889776204</v>
      </c>
      <c r="F204" s="176">
        <v>1.0360640000000001</v>
      </c>
      <c r="G204" s="511">
        <f t="shared" ca="1" si="43"/>
        <v>-1.0715783937964574E-7</v>
      </c>
      <c r="H204" s="174">
        <f t="shared" ca="1" si="44"/>
        <v>1.0360638889776204</v>
      </c>
      <c r="I204" s="501">
        <v>1.0360639999999999</v>
      </c>
      <c r="J204" s="177"/>
      <c r="K204" s="173">
        <f t="shared" ca="1" si="45"/>
        <v>1.0360638889776204</v>
      </c>
      <c r="L204" s="508">
        <f t="shared" ca="1" si="46"/>
        <v>0</v>
      </c>
      <c r="M204" s="174">
        <f t="shared" ca="1" si="47"/>
        <v>1.0360638889776204</v>
      </c>
      <c r="N204" s="174">
        <f ca="1">IF(SUMIFS('Merged Trusts and MFF year'!$C$1:$C$24,'Merged Trusts and MFF year'!$A$1:$A$24,$B204,'Merged Trusts and MFF year'!$D$1:$D$24,"2013-14")=0,M204,SUMIFS('Merged Trusts and MFF year'!$C$1:$C$24,'Merged Trusts and MFF year'!$A$1:$A$24,$B204,'Merged Trusts and MFF year'!$D$1:$D$24,"2013-14"))</f>
        <v>1.0360638889776204</v>
      </c>
      <c r="O204" s="498">
        <f ca="1">IF(SUMIFS('Merged Trusts and MFF year'!$C$1:$C$24,'Merged Trusts and MFF year'!$A$1:$A$24,$B204,'Merged Trusts and MFF year'!$D$1:$D$24,"2014-15")=0,N204,SUMIFS('Merged Trusts and MFF year'!$C$1:$C$24,'Merged Trusts and MFF year'!$A$1:$A$24,$B204,'Merged Trusts and MFF year'!$D$1:$D$24,"2014-15"))</f>
        <v>1.0360638889776204</v>
      </c>
      <c r="P204" s="504">
        <f t="shared" ca="1" si="48"/>
        <v>0</v>
      </c>
      <c r="Q204" s="498">
        <f ca="1">IF(SUMIFS('Merged Trusts and MFF year'!$C$1:$C$24,'Merged Trusts and MFF year'!$A$1:$A$24,$B204,'Merged Trusts and MFF year'!$D$1:$D$24,"2015-16")=0,O204,SUMIFS('Merged Trusts and MFF year'!$C$1:$C$24,'Merged Trusts and MFF year'!$A$1:$A$24,$B204,'Merged Trusts and MFF year'!$D$1:$D$24,"2015-16"))</f>
        <v>1.0360638889776204</v>
      </c>
      <c r="R204" s="504">
        <f t="shared" ca="1" si="49"/>
        <v>0</v>
      </c>
      <c r="S204" s="498">
        <f ca="1">IF(SUMIFS('Merged Trusts and MFF year'!$C$1:$C$24,'Merged Trusts and MFF year'!$A$1:$A$24,$B204,'Merged Trusts and MFF year'!$D$1:$D$24,"2016-17")=0,Q204,SUMIFS('Merged Trusts and MFF year'!$C$1:$C$24,'Merged Trusts and MFF year'!$A$1:$A$24,$B204,'Merged Trusts and MFF year'!$D$1:$D$24,"2016-17"))</f>
        <v>1.0360638889776204</v>
      </c>
      <c r="T204" s="504">
        <f t="shared" ca="1" si="50"/>
        <v>0</v>
      </c>
      <c r="U204" s="459"/>
    </row>
    <row r="205" spans="1:21" ht="12.75" customHeight="1" x14ac:dyDescent="0.2">
      <c r="A205" s="171" t="s">
        <v>1167</v>
      </c>
      <c r="B205" s="172" t="s">
        <v>573</v>
      </c>
      <c r="C205" s="172" t="s">
        <v>574</v>
      </c>
      <c r="D205" s="175">
        <f>INDEX('Base MFF calcs'!$I$7:$I$258,MATCH($B205,'Base MFF calcs'!$B$7:$B$258,0),1)</f>
        <v>1.1231255757737957</v>
      </c>
      <c r="E205" s="176">
        <f ca="1">D205/MIN('Base MFF calcs'!$I$7:$I$258)</f>
        <v>1.2124536974626705</v>
      </c>
      <c r="F205" s="176">
        <v>1.2124539999999999</v>
      </c>
      <c r="G205" s="511">
        <f t="shared" ca="1" si="43"/>
        <v>-2.4952478971940195E-7</v>
      </c>
      <c r="H205" s="174">
        <f t="shared" ca="1" si="44"/>
        <v>1.2124536974626705</v>
      </c>
      <c r="I205" s="501">
        <v>1.2124539999999999</v>
      </c>
      <c r="J205" s="177"/>
      <c r="K205" s="173">
        <f t="shared" ca="1" si="45"/>
        <v>1.2124536974626705</v>
      </c>
      <c r="L205" s="508">
        <f t="shared" ca="1" si="46"/>
        <v>0</v>
      </c>
      <c r="M205" s="174">
        <f t="shared" ca="1" si="47"/>
        <v>1.2124536974626705</v>
      </c>
      <c r="N205" s="174">
        <f ca="1">IF(SUMIFS('Merged Trusts and MFF year'!$C$1:$C$24,'Merged Trusts and MFF year'!$A$1:$A$24,$B205,'Merged Trusts and MFF year'!$D$1:$D$24,"2013-14")=0,M205,SUMIFS('Merged Trusts and MFF year'!$C$1:$C$24,'Merged Trusts and MFF year'!$A$1:$A$24,$B205,'Merged Trusts and MFF year'!$D$1:$D$24,"2013-14"))</f>
        <v>1.2124536974626705</v>
      </c>
      <c r="O205" s="498">
        <f ca="1">IF(SUMIFS('Merged Trusts and MFF year'!$C$1:$C$24,'Merged Trusts and MFF year'!$A$1:$A$24,$B205,'Merged Trusts and MFF year'!$D$1:$D$24,"2014-15")=0,N205,SUMIFS('Merged Trusts and MFF year'!$C$1:$C$24,'Merged Trusts and MFF year'!$A$1:$A$24,$B205,'Merged Trusts and MFF year'!$D$1:$D$24,"2014-15"))</f>
        <v>1.2124536974626705</v>
      </c>
      <c r="P205" s="504">
        <f t="shared" ca="1" si="48"/>
        <v>0</v>
      </c>
      <c r="Q205" s="498">
        <f ca="1">IF(SUMIFS('Merged Trusts and MFF year'!$C$1:$C$24,'Merged Trusts and MFF year'!$A$1:$A$24,$B205,'Merged Trusts and MFF year'!$D$1:$D$24,"2015-16")=0,O205,SUMIFS('Merged Trusts and MFF year'!$C$1:$C$24,'Merged Trusts and MFF year'!$A$1:$A$24,$B205,'Merged Trusts and MFF year'!$D$1:$D$24,"2015-16"))</f>
        <v>1.2124536974626705</v>
      </c>
      <c r="R205" s="504">
        <f t="shared" ca="1" si="49"/>
        <v>0</v>
      </c>
      <c r="S205" s="498">
        <f ca="1">IF(SUMIFS('Merged Trusts and MFF year'!$C$1:$C$24,'Merged Trusts and MFF year'!$A$1:$A$24,$B205,'Merged Trusts and MFF year'!$D$1:$D$24,"2016-17")=0,Q205,SUMIFS('Merged Trusts and MFF year'!$C$1:$C$24,'Merged Trusts and MFF year'!$A$1:$A$24,$B205,'Merged Trusts and MFF year'!$D$1:$D$24,"2016-17"))</f>
        <v>1.2124536974626705</v>
      </c>
      <c r="T205" s="504">
        <f t="shared" ca="1" si="50"/>
        <v>0</v>
      </c>
      <c r="U205" s="459"/>
    </row>
    <row r="206" spans="1:21" ht="12.75" customHeight="1" x14ac:dyDescent="0.2">
      <c r="A206" s="171" t="s">
        <v>2975</v>
      </c>
      <c r="B206" s="172" t="s">
        <v>575</v>
      </c>
      <c r="C206" s="172" t="s">
        <v>4328</v>
      </c>
      <c r="D206" s="175">
        <f>INDEX('Base MFF calcs'!$I$7:$I$258,MATCH($B206,'Base MFF calcs'!$B$7:$B$258,0),1)</f>
        <v>0.96622068167940833</v>
      </c>
      <c r="E206" s="176">
        <f ca="1">D206/MIN('Base MFF calcs'!$I$7:$I$258)</f>
        <v>1.0430693266511879</v>
      </c>
      <c r="F206" s="176">
        <v>1.043069</v>
      </c>
      <c r="G206" s="511">
        <f t="shared" ca="1" si="43"/>
        <v>3.1316354709431948E-7</v>
      </c>
      <c r="H206" s="174">
        <f t="shared" ca="1" si="44"/>
        <v>1.0430693266511879</v>
      </c>
      <c r="I206" s="501">
        <v>1.043069</v>
      </c>
      <c r="J206" s="177"/>
      <c r="K206" s="173">
        <f t="shared" ca="1" si="45"/>
        <v>1.0430693266511879</v>
      </c>
      <c r="L206" s="508">
        <f t="shared" ca="1" si="46"/>
        <v>0</v>
      </c>
      <c r="M206" s="174">
        <f t="shared" ca="1" si="47"/>
        <v>1.0430693266511879</v>
      </c>
      <c r="N206" s="174">
        <f ca="1">IF(SUMIFS('Merged Trusts and MFF year'!$C$1:$C$24,'Merged Trusts and MFF year'!$A$1:$A$24,$B206,'Merged Trusts and MFF year'!$D$1:$D$24,"2013-14")=0,M206,SUMIFS('Merged Trusts and MFF year'!$C$1:$C$24,'Merged Trusts and MFF year'!$A$1:$A$24,$B206,'Merged Trusts and MFF year'!$D$1:$D$24,"2013-14"))</f>
        <v>1.0430693266511879</v>
      </c>
      <c r="O206" s="498">
        <f ca="1">IF(SUMIFS('Merged Trusts and MFF year'!$C$1:$C$24,'Merged Trusts and MFF year'!$A$1:$A$24,$B206,'Merged Trusts and MFF year'!$D$1:$D$24,"2014-15")=0,N206,SUMIFS('Merged Trusts and MFF year'!$C$1:$C$24,'Merged Trusts and MFF year'!$A$1:$A$24,$B206,'Merged Trusts and MFF year'!$D$1:$D$24,"2014-15"))</f>
        <v>1.0430693266511879</v>
      </c>
      <c r="P206" s="504">
        <f t="shared" ca="1" si="48"/>
        <v>0</v>
      </c>
      <c r="Q206" s="498">
        <f ca="1">IF(SUMIFS('Merged Trusts and MFF year'!$C$1:$C$24,'Merged Trusts and MFF year'!$A$1:$A$24,$B206,'Merged Trusts and MFF year'!$D$1:$D$24,"2015-16")=0,O206,SUMIFS('Merged Trusts and MFF year'!$C$1:$C$24,'Merged Trusts and MFF year'!$A$1:$A$24,$B206,'Merged Trusts and MFF year'!$D$1:$D$24,"2015-16"))</f>
        <v>1.0430693266511879</v>
      </c>
      <c r="R206" s="504">
        <f t="shared" ca="1" si="49"/>
        <v>0</v>
      </c>
      <c r="S206" s="498">
        <f ca="1">IF(SUMIFS('Merged Trusts and MFF year'!$C$1:$C$24,'Merged Trusts and MFF year'!$A$1:$A$24,$B206,'Merged Trusts and MFF year'!$D$1:$D$24,"2016-17")=0,Q206,SUMIFS('Merged Trusts and MFF year'!$C$1:$C$24,'Merged Trusts and MFF year'!$A$1:$A$24,$B206,'Merged Trusts and MFF year'!$D$1:$D$24,"2016-17"))</f>
        <v>1.0430693266511879</v>
      </c>
      <c r="T206" s="504">
        <f t="shared" ca="1" si="50"/>
        <v>0</v>
      </c>
      <c r="U206" s="459"/>
    </row>
    <row r="207" spans="1:21" ht="12.75" customHeight="1" x14ac:dyDescent="0.2">
      <c r="A207" s="468" t="s">
        <v>2133</v>
      </c>
      <c r="B207" s="468" t="s">
        <v>577</v>
      </c>
      <c r="C207" s="171" t="s">
        <v>651</v>
      </c>
      <c r="D207" s="469">
        <f>INDEX('Base MFF calcs'!$I$7:$I$258,MATCH($B207,'Base MFF calcs'!$B$7:$B$258,0),1)</f>
        <v>0.9565919503977931</v>
      </c>
      <c r="E207" s="469">
        <f ca="1">D207/MIN('Base MFF calcs'!$I$7:$I$258)</f>
        <v>1.032674771406352</v>
      </c>
      <c r="F207" s="469"/>
      <c r="G207" s="512">
        <f t="shared" si="43"/>
        <v>0</v>
      </c>
      <c r="H207" s="469">
        <f t="shared" ca="1" si="44"/>
        <v>1.032674771406352</v>
      </c>
      <c r="I207" s="502">
        <v>1.032675</v>
      </c>
      <c r="J207" s="470"/>
      <c r="K207" s="173">
        <f t="shared" ca="1" si="45"/>
        <v>1.032674771406352</v>
      </c>
      <c r="L207" s="508">
        <f t="shared" ca="1" si="46"/>
        <v>0</v>
      </c>
      <c r="M207" s="174">
        <f t="shared" ca="1" si="47"/>
        <v>1.032674771406352</v>
      </c>
      <c r="N207" s="174">
        <f ca="1">IF(SUMIFS('Merged Trusts and MFF year'!$C$1:$C$24,'Merged Trusts and MFF year'!$A$1:$A$24,$B207,'Merged Trusts and MFF year'!$D$1:$D$24,"2013-14")=0,M207,SUMIFS('Merged Trusts and MFF year'!$C$1:$C$24,'Merged Trusts and MFF year'!$A$1:$A$24,$B207,'Merged Trusts and MFF year'!$D$1:$D$24,"2013-14"))</f>
        <v>1.032674771406352</v>
      </c>
      <c r="O207" s="498">
        <f ca="1">IF(SUMIFS('Merged Trusts and MFF year'!$C$1:$C$24,'Merged Trusts and MFF year'!$A$1:$A$24,$B207,'Merged Trusts and MFF year'!$D$1:$D$24,"2014-15")=0,N207,SUMIFS('Merged Trusts and MFF year'!$C$1:$C$24,'Merged Trusts and MFF year'!$A$1:$A$24,$B207,'Merged Trusts and MFF year'!$D$1:$D$24,"2014-15"))</f>
        <v>1.032674771406352</v>
      </c>
      <c r="P207" s="504">
        <f t="shared" ca="1" si="48"/>
        <v>0</v>
      </c>
      <c r="Q207" s="498">
        <f ca="1">IF(SUMIFS('Merged Trusts and MFF year'!$C$1:$C$24,'Merged Trusts and MFF year'!$A$1:$A$24,$B207,'Merged Trusts and MFF year'!$D$1:$D$24,"2015-16")=0,O207,SUMIFS('Merged Trusts and MFF year'!$C$1:$C$24,'Merged Trusts and MFF year'!$A$1:$A$24,$B207,'Merged Trusts and MFF year'!$D$1:$D$24,"2015-16"))</f>
        <v>1.032674771406352</v>
      </c>
      <c r="R207" s="504">
        <f t="shared" ca="1" si="49"/>
        <v>0</v>
      </c>
      <c r="S207" s="498">
        <f ca="1">IF(SUMIFS('Merged Trusts and MFF year'!$C$1:$C$24,'Merged Trusts and MFF year'!$A$1:$A$24,$B207,'Merged Trusts and MFF year'!$D$1:$D$24,"2016-17")=0,Q207,SUMIFS('Merged Trusts and MFF year'!$C$1:$C$24,'Merged Trusts and MFF year'!$A$1:$A$24,$B207,'Merged Trusts and MFF year'!$D$1:$D$24,"2016-17"))</f>
        <v>1.032674771406352</v>
      </c>
      <c r="T207" s="504">
        <f t="shared" ca="1" si="50"/>
        <v>0</v>
      </c>
      <c r="U207" s="472"/>
    </row>
    <row r="208" spans="1:21" ht="12.75" customHeight="1" x14ac:dyDescent="0.2">
      <c r="A208" s="171" t="s">
        <v>2975</v>
      </c>
      <c r="B208" s="172" t="s">
        <v>578</v>
      </c>
      <c r="C208" s="172" t="s">
        <v>579</v>
      </c>
      <c r="D208" s="175">
        <f>INDEX('Base MFF calcs'!$I$7:$I$258,MATCH($B208,'Base MFF calcs'!$B$7:$B$258,0),1)</f>
        <v>0.97940476488881001</v>
      </c>
      <c r="E208" s="176">
        <f ca="1">D208/MIN('Base MFF calcs'!$I$7:$I$258)</f>
        <v>1.0573020097809274</v>
      </c>
      <c r="F208" s="176">
        <v>1.057302</v>
      </c>
      <c r="G208" s="511">
        <f t="shared" ca="1" si="43"/>
        <v>9.2508360971521597E-9</v>
      </c>
      <c r="H208" s="174">
        <f t="shared" ca="1" si="44"/>
        <v>1.0573020097809274</v>
      </c>
      <c r="I208" s="501">
        <v>1.057302</v>
      </c>
      <c r="J208" s="177"/>
      <c r="K208" s="173">
        <f t="shared" ca="1" si="45"/>
        <v>1.0573020097809274</v>
      </c>
      <c r="L208" s="508">
        <f t="shared" ca="1" si="46"/>
        <v>0</v>
      </c>
      <c r="M208" s="174">
        <f t="shared" ca="1" si="47"/>
        <v>1.0573020097809274</v>
      </c>
      <c r="N208" s="174">
        <f ca="1">IF(SUMIFS('Merged Trusts and MFF year'!$C$1:$C$24,'Merged Trusts and MFF year'!$A$1:$A$24,$B208,'Merged Trusts and MFF year'!$D$1:$D$24,"2013-14")=0,M208,SUMIFS('Merged Trusts and MFF year'!$C$1:$C$24,'Merged Trusts and MFF year'!$A$1:$A$24,$B208,'Merged Trusts and MFF year'!$D$1:$D$24,"2013-14"))</f>
        <v>1.0573020097809274</v>
      </c>
      <c r="O208" s="498">
        <f ca="1">IF(SUMIFS('Merged Trusts and MFF year'!$C$1:$C$24,'Merged Trusts and MFF year'!$A$1:$A$24,$B208,'Merged Trusts and MFF year'!$D$1:$D$24,"2014-15")=0,N208,SUMIFS('Merged Trusts and MFF year'!$C$1:$C$24,'Merged Trusts and MFF year'!$A$1:$A$24,$B208,'Merged Trusts and MFF year'!$D$1:$D$24,"2014-15"))</f>
        <v>1.0573020097809274</v>
      </c>
      <c r="P208" s="504">
        <f t="shared" ca="1" si="48"/>
        <v>0</v>
      </c>
      <c r="Q208" s="498">
        <f ca="1">IF(SUMIFS('Merged Trusts and MFF year'!$C$1:$C$24,'Merged Trusts and MFF year'!$A$1:$A$24,$B208,'Merged Trusts and MFF year'!$D$1:$D$24,"2015-16")=0,O208,SUMIFS('Merged Trusts and MFF year'!$C$1:$C$24,'Merged Trusts and MFF year'!$A$1:$A$24,$B208,'Merged Trusts and MFF year'!$D$1:$D$24,"2015-16"))</f>
        <v>1.0573020097809274</v>
      </c>
      <c r="R208" s="504">
        <f t="shared" ca="1" si="49"/>
        <v>0</v>
      </c>
      <c r="S208" s="498">
        <f ca="1">IF(SUMIFS('Merged Trusts and MFF year'!$C$1:$C$24,'Merged Trusts and MFF year'!$A$1:$A$24,$B208,'Merged Trusts and MFF year'!$D$1:$D$24,"2016-17")=0,Q208,SUMIFS('Merged Trusts and MFF year'!$C$1:$C$24,'Merged Trusts and MFF year'!$A$1:$A$24,$B208,'Merged Trusts and MFF year'!$D$1:$D$24,"2016-17"))</f>
        <v>1.0573020097809274</v>
      </c>
      <c r="T208" s="504">
        <f t="shared" ca="1" si="50"/>
        <v>0</v>
      </c>
      <c r="U208" s="459"/>
    </row>
    <row r="209" spans="1:21" ht="12.75" customHeight="1" x14ac:dyDescent="0.2">
      <c r="A209" s="171" t="s">
        <v>3496</v>
      </c>
      <c r="B209" s="172" t="s">
        <v>580</v>
      </c>
      <c r="C209" s="172" t="s">
        <v>581</v>
      </c>
      <c r="D209" s="175">
        <f>INDEX('Base MFF calcs'!$I$7:$I$258,MATCH($B209,'Base MFF calcs'!$B$7:$B$258,0),1)</f>
        <v>1.0850616435961238</v>
      </c>
      <c r="E209" s="176">
        <f ca="1">D209/MIN('Base MFF calcs'!$I$7:$I$258)</f>
        <v>1.1713623392884163</v>
      </c>
      <c r="F209" s="176">
        <v>1.171362</v>
      </c>
      <c r="G209" s="511">
        <f t="shared" ca="1" si="43"/>
        <v>2.8965291365423695E-7</v>
      </c>
      <c r="H209" s="174">
        <f t="shared" ca="1" si="44"/>
        <v>1.1713623392884163</v>
      </c>
      <c r="I209" s="501">
        <v>1.171362</v>
      </c>
      <c r="J209" s="177"/>
      <c r="K209" s="173">
        <f t="shared" ca="1" si="45"/>
        <v>1.1713623392884163</v>
      </c>
      <c r="L209" s="508">
        <f t="shared" ca="1" si="46"/>
        <v>0</v>
      </c>
      <c r="M209" s="174">
        <f t="shared" ca="1" si="47"/>
        <v>1.1713623392884163</v>
      </c>
      <c r="N209" s="174">
        <f ca="1">IF(SUMIFS('Merged Trusts and MFF year'!$C$1:$C$24,'Merged Trusts and MFF year'!$A$1:$A$24,$B209,'Merged Trusts and MFF year'!$D$1:$D$24,"2013-14")=0,M209,SUMIFS('Merged Trusts and MFF year'!$C$1:$C$24,'Merged Trusts and MFF year'!$A$1:$A$24,$B209,'Merged Trusts and MFF year'!$D$1:$D$24,"2013-14"))</f>
        <v>1.1713623392884163</v>
      </c>
      <c r="O209" s="498">
        <f ca="1">IF(SUMIFS('Merged Trusts and MFF year'!$C$1:$C$24,'Merged Trusts and MFF year'!$A$1:$A$24,$B209,'Merged Trusts and MFF year'!$D$1:$D$24,"2014-15")=0,N209,SUMIFS('Merged Trusts and MFF year'!$C$1:$C$24,'Merged Trusts and MFF year'!$A$1:$A$24,$B209,'Merged Trusts and MFF year'!$D$1:$D$24,"2014-15"))</f>
        <v>1.1713623392884163</v>
      </c>
      <c r="P209" s="504">
        <f t="shared" ca="1" si="48"/>
        <v>0</v>
      </c>
      <c r="Q209" s="498">
        <f ca="1">IF(SUMIFS('Merged Trusts and MFF year'!$C$1:$C$24,'Merged Trusts and MFF year'!$A$1:$A$24,$B209,'Merged Trusts and MFF year'!$D$1:$D$24,"2015-16")=0,O209,SUMIFS('Merged Trusts and MFF year'!$C$1:$C$24,'Merged Trusts and MFF year'!$A$1:$A$24,$B209,'Merged Trusts and MFF year'!$D$1:$D$24,"2015-16"))</f>
        <v>1.1713623392884163</v>
      </c>
      <c r="R209" s="504">
        <f t="shared" ca="1" si="49"/>
        <v>0</v>
      </c>
      <c r="S209" s="498">
        <f ca="1">IF(SUMIFS('Merged Trusts and MFF year'!$C$1:$C$24,'Merged Trusts and MFF year'!$A$1:$A$24,$B209,'Merged Trusts and MFF year'!$D$1:$D$24,"2016-17")=0,Q209,SUMIFS('Merged Trusts and MFF year'!$C$1:$C$24,'Merged Trusts and MFF year'!$A$1:$A$24,$B209,'Merged Trusts and MFF year'!$D$1:$D$24,"2016-17"))</f>
        <v>1.1713623392884163</v>
      </c>
      <c r="T209" s="504">
        <f t="shared" ca="1" si="50"/>
        <v>0</v>
      </c>
      <c r="U209" s="459"/>
    </row>
    <row r="210" spans="1:21" ht="12.75" customHeight="1" x14ac:dyDescent="0.2">
      <c r="A210" s="171" t="s">
        <v>3496</v>
      </c>
      <c r="B210" s="172" t="s">
        <v>582</v>
      </c>
      <c r="C210" s="172" t="s">
        <v>583</v>
      </c>
      <c r="D210" s="175">
        <f>INDEX('Base MFF calcs'!$I$7:$I$258,MATCH($B210,'Base MFF calcs'!$B$7:$B$258,0),1)</f>
        <v>1.0788839990283725</v>
      </c>
      <c r="E210" s="176">
        <f ca="1">D210/MIN('Base MFF calcs'!$I$7:$I$258)</f>
        <v>1.1646933539502276</v>
      </c>
      <c r="F210" s="176">
        <v>1.164693</v>
      </c>
      <c r="G210" s="511">
        <f t="shared" ca="1" si="43"/>
        <v>3.0390002137004046E-7</v>
      </c>
      <c r="H210" s="174">
        <f t="shared" ca="1" si="44"/>
        <v>1.1646933539502276</v>
      </c>
      <c r="I210" s="501">
        <v>1.164693</v>
      </c>
      <c r="J210" s="177"/>
      <c r="K210" s="173">
        <f t="shared" ca="1" si="45"/>
        <v>1.1646933539502276</v>
      </c>
      <c r="L210" s="508">
        <f t="shared" ca="1" si="46"/>
        <v>0</v>
      </c>
      <c r="M210" s="174">
        <f t="shared" ca="1" si="47"/>
        <v>1.1646933539502276</v>
      </c>
      <c r="N210" s="174">
        <f ca="1">IF(SUMIFS('Merged Trusts and MFF year'!$C$1:$C$24,'Merged Trusts and MFF year'!$A$1:$A$24,$B210,'Merged Trusts and MFF year'!$D$1:$D$24,"2013-14")=0,M210,SUMIFS('Merged Trusts and MFF year'!$C$1:$C$24,'Merged Trusts and MFF year'!$A$1:$A$24,$B210,'Merged Trusts and MFF year'!$D$1:$D$24,"2013-14"))</f>
        <v>1.1646933539502276</v>
      </c>
      <c r="O210" s="498">
        <f ca="1">IF(SUMIFS('Merged Trusts and MFF year'!$C$1:$C$24,'Merged Trusts and MFF year'!$A$1:$A$24,$B210,'Merged Trusts and MFF year'!$D$1:$D$24,"2014-15")=0,N210,SUMIFS('Merged Trusts and MFF year'!$C$1:$C$24,'Merged Trusts and MFF year'!$A$1:$A$24,$B210,'Merged Trusts and MFF year'!$D$1:$D$24,"2014-15"))</f>
        <v>1.1646933539502276</v>
      </c>
      <c r="P210" s="504">
        <f t="shared" ca="1" si="48"/>
        <v>0</v>
      </c>
      <c r="Q210" s="498">
        <f ca="1">IF(SUMIFS('Merged Trusts and MFF year'!$C$1:$C$24,'Merged Trusts and MFF year'!$A$1:$A$24,$B210,'Merged Trusts and MFF year'!$D$1:$D$24,"2015-16")=0,O210,SUMIFS('Merged Trusts and MFF year'!$C$1:$C$24,'Merged Trusts and MFF year'!$A$1:$A$24,$B210,'Merged Trusts and MFF year'!$D$1:$D$24,"2015-16"))</f>
        <v>1.1646933539502276</v>
      </c>
      <c r="R210" s="504">
        <f t="shared" ca="1" si="49"/>
        <v>0</v>
      </c>
      <c r="S210" s="498">
        <f ca="1">IF(SUMIFS('Merged Trusts and MFF year'!$C$1:$C$24,'Merged Trusts and MFF year'!$A$1:$A$24,$B210,'Merged Trusts and MFF year'!$D$1:$D$24,"2016-17")=0,Q210,SUMIFS('Merged Trusts and MFF year'!$C$1:$C$24,'Merged Trusts and MFF year'!$A$1:$A$24,$B210,'Merged Trusts and MFF year'!$D$1:$D$24,"2016-17"))</f>
        <v>1.1646933539502276</v>
      </c>
      <c r="T210" s="504">
        <f t="shared" ca="1" si="50"/>
        <v>0</v>
      </c>
      <c r="U210" s="459"/>
    </row>
    <row r="211" spans="1:21" ht="12.75" customHeight="1" x14ac:dyDescent="0.2">
      <c r="A211" s="171" t="s">
        <v>3496</v>
      </c>
      <c r="B211" s="172" t="s">
        <v>545</v>
      </c>
      <c r="C211" s="172" t="s">
        <v>2327</v>
      </c>
      <c r="D211" s="175">
        <f>INDEX('Base MFF calcs'!$I$7:$I$258,MATCH($B211,'Base MFF calcs'!$B$7:$B$258,0),1)</f>
        <v>0.99146060884407028</v>
      </c>
      <c r="E211" s="176">
        <f ca="1">D211/MIN('Base MFF calcs'!$I$7:$I$258)</f>
        <v>1.0703167188169294</v>
      </c>
      <c r="F211" s="176">
        <v>1.070317</v>
      </c>
      <c r="G211" s="511">
        <f t="shared" ca="1" si="43"/>
        <v>-2.6271008557454678E-7</v>
      </c>
      <c r="H211" s="174">
        <f t="shared" ca="1" si="44"/>
        <v>1.0703167188169294</v>
      </c>
      <c r="I211" s="501">
        <v>1.070317</v>
      </c>
      <c r="J211" s="177"/>
      <c r="K211" s="173">
        <f t="shared" ca="1" si="45"/>
        <v>1.0703167188169294</v>
      </c>
      <c r="L211" s="508">
        <f t="shared" ca="1" si="46"/>
        <v>0</v>
      </c>
      <c r="M211" s="174">
        <f t="shared" ca="1" si="47"/>
        <v>1.0703167188169294</v>
      </c>
      <c r="N211" s="174">
        <f ca="1">IF(SUMIFS('Merged Trusts and MFF year'!$C$1:$C$24,'Merged Trusts and MFF year'!$A$1:$A$24,$B211,'Merged Trusts and MFF year'!$D$1:$D$24,"2013-14")=0,M211,SUMIFS('Merged Trusts and MFF year'!$C$1:$C$24,'Merged Trusts and MFF year'!$A$1:$A$24,$B211,'Merged Trusts and MFF year'!$D$1:$D$24,"2013-14"))</f>
        <v>1.0703167188169294</v>
      </c>
      <c r="O211" s="498">
        <f ca="1">IF(SUMIFS('Merged Trusts and MFF year'!$C$1:$C$24,'Merged Trusts and MFF year'!$A$1:$A$24,$B211,'Merged Trusts and MFF year'!$D$1:$D$24,"2014-15")=0,N211,SUMIFS('Merged Trusts and MFF year'!$C$1:$C$24,'Merged Trusts and MFF year'!$A$1:$A$24,$B211,'Merged Trusts and MFF year'!$D$1:$D$24,"2014-15"))</f>
        <v>1.0703167188169294</v>
      </c>
      <c r="P211" s="504">
        <f t="shared" ca="1" si="48"/>
        <v>0</v>
      </c>
      <c r="Q211" s="498">
        <f ca="1">IF(SUMIFS('Merged Trusts and MFF year'!$C$1:$C$24,'Merged Trusts and MFF year'!$A$1:$A$24,$B211,'Merged Trusts and MFF year'!$D$1:$D$24,"2015-16")=0,O211,SUMIFS('Merged Trusts and MFF year'!$C$1:$C$24,'Merged Trusts and MFF year'!$A$1:$A$24,$B211,'Merged Trusts and MFF year'!$D$1:$D$24,"2015-16"))</f>
        <v>1.0703167188169294</v>
      </c>
      <c r="R211" s="504">
        <f t="shared" ca="1" si="49"/>
        <v>0</v>
      </c>
      <c r="S211" s="498">
        <f ca="1">IF(SUMIFS('Merged Trusts and MFF year'!$C$1:$C$24,'Merged Trusts and MFF year'!$A$1:$A$24,$B211,'Merged Trusts and MFF year'!$D$1:$D$24,"2016-17")=0,Q211,SUMIFS('Merged Trusts and MFF year'!$C$1:$C$24,'Merged Trusts and MFF year'!$A$1:$A$24,$B211,'Merged Trusts and MFF year'!$D$1:$D$24,"2016-17"))</f>
        <v>1.0703167188169294</v>
      </c>
      <c r="T211" s="504">
        <f t="shared" ca="1" si="50"/>
        <v>0</v>
      </c>
      <c r="U211" s="464"/>
    </row>
    <row r="212" spans="1:21" ht="12.75" customHeight="1" x14ac:dyDescent="0.2">
      <c r="A212" s="171" t="s">
        <v>3496</v>
      </c>
      <c r="B212" s="172" t="s">
        <v>584</v>
      </c>
      <c r="C212" s="172" t="s">
        <v>585</v>
      </c>
      <c r="D212" s="175">
        <f>INDEX('Base MFF calcs'!$I$7:$I$258,MATCH($B212,'Base MFF calcs'!$B$7:$B$258,0),1)</f>
        <v>0.99772357059421823</v>
      </c>
      <c r="E212" s="176">
        <f ca="1">D212/MIN('Base MFF calcs'!$I$7:$I$258)</f>
        <v>1.0770778070646103</v>
      </c>
      <c r="F212" s="176">
        <v>1.077078</v>
      </c>
      <c r="G212" s="511">
        <f t="shared" ca="1" si="43"/>
        <v>-1.7912852146029223E-7</v>
      </c>
      <c r="H212" s="174">
        <f t="shared" ca="1" si="44"/>
        <v>1.0770778070646103</v>
      </c>
      <c r="I212" s="501">
        <v>1.077078</v>
      </c>
      <c r="J212" s="177"/>
      <c r="K212" s="173">
        <f t="shared" ca="1" si="45"/>
        <v>1.0770778070646103</v>
      </c>
      <c r="L212" s="508">
        <f t="shared" ca="1" si="46"/>
        <v>0</v>
      </c>
      <c r="M212" s="174">
        <f t="shared" ca="1" si="47"/>
        <v>1.0770778070646103</v>
      </c>
      <c r="N212" s="174">
        <f ca="1">IF(SUMIFS('Merged Trusts and MFF year'!$C$1:$C$24,'Merged Trusts and MFF year'!$A$1:$A$24,$B212,'Merged Trusts and MFF year'!$D$1:$D$24,"2013-14")=0,M212,SUMIFS('Merged Trusts and MFF year'!$C$1:$C$24,'Merged Trusts and MFF year'!$A$1:$A$24,$B212,'Merged Trusts and MFF year'!$D$1:$D$24,"2013-14"))</f>
        <v>1.0770778070646103</v>
      </c>
      <c r="O212" s="498">
        <f ca="1">IF(SUMIFS('Merged Trusts and MFF year'!$C$1:$C$24,'Merged Trusts and MFF year'!$A$1:$A$24,$B212,'Merged Trusts and MFF year'!$D$1:$D$24,"2014-15")=0,N212,SUMIFS('Merged Trusts and MFF year'!$C$1:$C$24,'Merged Trusts and MFF year'!$A$1:$A$24,$B212,'Merged Trusts and MFF year'!$D$1:$D$24,"2014-15"))</f>
        <v>1.0770778070646103</v>
      </c>
      <c r="P212" s="504">
        <f t="shared" ca="1" si="48"/>
        <v>0</v>
      </c>
      <c r="Q212" s="498">
        <f ca="1">IF(SUMIFS('Merged Trusts and MFF year'!$C$1:$C$24,'Merged Trusts and MFF year'!$A$1:$A$24,$B212,'Merged Trusts and MFF year'!$D$1:$D$24,"2015-16")=0,O212,SUMIFS('Merged Trusts and MFF year'!$C$1:$C$24,'Merged Trusts and MFF year'!$A$1:$A$24,$B212,'Merged Trusts and MFF year'!$D$1:$D$24,"2015-16"))</f>
        <v>1.0770778070646103</v>
      </c>
      <c r="R212" s="504">
        <f t="shared" ca="1" si="49"/>
        <v>0</v>
      </c>
      <c r="S212" s="498">
        <f ca="1">IF(SUMIFS('Merged Trusts and MFF year'!$C$1:$C$24,'Merged Trusts and MFF year'!$A$1:$A$24,$B212,'Merged Trusts and MFF year'!$D$1:$D$24,"2016-17")=0,Q212,SUMIFS('Merged Trusts and MFF year'!$C$1:$C$24,'Merged Trusts and MFF year'!$A$1:$A$24,$B212,'Merged Trusts and MFF year'!$D$1:$D$24,"2016-17"))</f>
        <v>1.0770778070646103</v>
      </c>
      <c r="T212" s="504">
        <f t="shared" ca="1" si="50"/>
        <v>0</v>
      </c>
      <c r="U212" s="459"/>
    </row>
    <row r="213" spans="1:21" ht="12.75" customHeight="1" x14ac:dyDescent="0.2">
      <c r="A213" s="171" t="s">
        <v>2975</v>
      </c>
      <c r="B213" s="172" t="s">
        <v>586</v>
      </c>
      <c r="C213" s="386" t="s">
        <v>587</v>
      </c>
      <c r="D213" s="175">
        <f>INDEX('Base MFF calcs'!$I$7:$I$258,MATCH($B213,'Base MFF calcs'!$B$7:$B$258,0),1)</f>
        <v>0.97478839008340779</v>
      </c>
      <c r="E213" s="176">
        <f ca="1">D213/MIN('Base MFF calcs'!$I$7:$I$258)</f>
        <v>1.0523184702530102</v>
      </c>
      <c r="F213" s="176">
        <v>1.0523180000000001</v>
      </c>
      <c r="G213" s="511">
        <f t="shared" ca="1" si="43"/>
        <v>4.4687348310645802E-7</v>
      </c>
      <c r="H213" s="174">
        <f t="shared" ca="1" si="44"/>
        <v>1.0523184702530102</v>
      </c>
      <c r="I213" s="501">
        <v>1.0523179999999999</v>
      </c>
      <c r="J213" s="177"/>
      <c r="K213" s="173">
        <f t="shared" ca="1" si="45"/>
        <v>1.0523184702530102</v>
      </c>
      <c r="L213" s="508">
        <f t="shared" ca="1" si="46"/>
        <v>0</v>
      </c>
      <c r="M213" s="174">
        <f t="shared" ca="1" si="47"/>
        <v>1.0523184702530102</v>
      </c>
      <c r="N213" s="174">
        <f ca="1">IF(SUMIFS('Merged Trusts and MFF year'!$C$1:$C$24,'Merged Trusts and MFF year'!$A$1:$A$24,$B213,'Merged Trusts and MFF year'!$D$1:$D$24,"2013-14")=0,M213,SUMIFS('Merged Trusts and MFF year'!$C$1:$C$24,'Merged Trusts and MFF year'!$A$1:$A$24,$B213,'Merged Trusts and MFF year'!$D$1:$D$24,"2013-14"))</f>
        <v>1.0523184702530102</v>
      </c>
      <c r="O213" s="498">
        <f ca="1">IF(SUMIFS('Merged Trusts and MFF year'!$C$1:$C$24,'Merged Trusts and MFF year'!$A$1:$A$24,$B213,'Merged Trusts and MFF year'!$D$1:$D$24,"2014-15")=0,N213,SUMIFS('Merged Trusts and MFF year'!$C$1:$C$24,'Merged Trusts and MFF year'!$A$1:$A$24,$B213,'Merged Trusts and MFF year'!$D$1:$D$24,"2014-15"))</f>
        <v>1.0523184702530102</v>
      </c>
      <c r="P213" s="504">
        <f t="shared" ca="1" si="48"/>
        <v>0</v>
      </c>
      <c r="Q213" s="498">
        <f ca="1">IF(SUMIFS('Merged Trusts and MFF year'!$C$1:$C$24,'Merged Trusts and MFF year'!$A$1:$A$24,$B213,'Merged Trusts and MFF year'!$D$1:$D$24,"2015-16")=0,O213,SUMIFS('Merged Trusts and MFF year'!$C$1:$C$24,'Merged Trusts and MFF year'!$A$1:$A$24,$B213,'Merged Trusts and MFF year'!$D$1:$D$24,"2015-16"))</f>
        <v>1.0523184702530102</v>
      </c>
      <c r="R213" s="504">
        <f t="shared" ca="1" si="49"/>
        <v>0</v>
      </c>
      <c r="S213" s="498">
        <f ca="1">IF(SUMIFS('Merged Trusts and MFF year'!$C$1:$C$24,'Merged Trusts and MFF year'!$A$1:$A$24,$B213,'Merged Trusts and MFF year'!$D$1:$D$24,"2016-17")=0,Q213,SUMIFS('Merged Trusts and MFF year'!$C$1:$C$24,'Merged Trusts and MFF year'!$A$1:$A$24,$B213,'Merged Trusts and MFF year'!$D$1:$D$24,"2016-17"))</f>
        <v>1.0523184702530102</v>
      </c>
      <c r="T213" s="504">
        <f t="shared" ca="1" si="50"/>
        <v>0</v>
      </c>
      <c r="U213" s="459"/>
    </row>
    <row r="214" spans="1:21" ht="12.75" customHeight="1" x14ac:dyDescent="0.2">
      <c r="A214" s="171" t="s">
        <v>3528</v>
      </c>
      <c r="B214" s="172" t="s">
        <v>588</v>
      </c>
      <c r="C214" s="172" t="s">
        <v>589</v>
      </c>
      <c r="D214" s="175">
        <f>INDEX('Base MFF calcs'!$I$7:$I$258,MATCH($B214,'Base MFF calcs'!$B$7:$B$258,0),1)</f>
        <v>0.95386406556451409</v>
      </c>
      <c r="E214" s="176">
        <f ca="1">D214/MIN('Base MFF calcs'!$I$7:$I$258)</f>
        <v>1.029729923453724</v>
      </c>
      <c r="F214" s="176">
        <v>1.02973</v>
      </c>
      <c r="G214" s="511">
        <f t="shared" ca="1" si="43"/>
        <v>-7.4336259037188768E-8</v>
      </c>
      <c r="H214" s="174">
        <f t="shared" ca="1" si="44"/>
        <v>1.029729923453724</v>
      </c>
      <c r="I214" s="501">
        <v>1.02973</v>
      </c>
      <c r="J214" s="177"/>
      <c r="K214" s="173">
        <f t="shared" ca="1" si="45"/>
        <v>1.029729923453724</v>
      </c>
      <c r="L214" s="508">
        <f t="shared" ca="1" si="46"/>
        <v>0</v>
      </c>
      <c r="M214" s="174">
        <f t="shared" ca="1" si="47"/>
        <v>1.029729923453724</v>
      </c>
      <c r="N214" s="174">
        <f ca="1">IF(SUMIFS('Merged Trusts and MFF year'!$C$1:$C$24,'Merged Trusts and MFF year'!$A$1:$A$24,$B214,'Merged Trusts and MFF year'!$D$1:$D$24,"2013-14")=0,M214,SUMIFS('Merged Trusts and MFF year'!$C$1:$C$24,'Merged Trusts and MFF year'!$A$1:$A$24,$B214,'Merged Trusts and MFF year'!$D$1:$D$24,"2013-14"))</f>
        <v>1.029729923453724</v>
      </c>
      <c r="O214" s="498">
        <f ca="1">IF(SUMIFS('Merged Trusts and MFF year'!$C$1:$C$24,'Merged Trusts and MFF year'!$A$1:$A$24,$B214,'Merged Trusts and MFF year'!$D$1:$D$24,"2014-15")=0,N214,SUMIFS('Merged Trusts and MFF year'!$C$1:$C$24,'Merged Trusts and MFF year'!$A$1:$A$24,$B214,'Merged Trusts and MFF year'!$D$1:$D$24,"2014-15"))</f>
        <v>1.029729923453724</v>
      </c>
      <c r="P214" s="504">
        <f t="shared" ca="1" si="48"/>
        <v>0</v>
      </c>
      <c r="Q214" s="498">
        <f ca="1">IF(SUMIFS('Merged Trusts and MFF year'!$C$1:$C$24,'Merged Trusts and MFF year'!$A$1:$A$24,$B214,'Merged Trusts and MFF year'!$D$1:$D$24,"2015-16")=0,O214,SUMIFS('Merged Trusts and MFF year'!$C$1:$C$24,'Merged Trusts and MFF year'!$A$1:$A$24,$B214,'Merged Trusts and MFF year'!$D$1:$D$24,"2015-16"))</f>
        <v>1.029729923453724</v>
      </c>
      <c r="R214" s="504">
        <f t="shared" ca="1" si="49"/>
        <v>0</v>
      </c>
      <c r="S214" s="498">
        <f ca="1">IF(SUMIFS('Merged Trusts and MFF year'!$C$1:$C$24,'Merged Trusts and MFF year'!$A$1:$A$24,$B214,'Merged Trusts and MFF year'!$D$1:$D$24,"2016-17")=0,Q214,SUMIFS('Merged Trusts and MFF year'!$C$1:$C$24,'Merged Trusts and MFF year'!$A$1:$A$24,$B214,'Merged Trusts and MFF year'!$D$1:$D$24,"2016-17"))</f>
        <v>1.029729923453724</v>
      </c>
      <c r="T214" s="504">
        <f t="shared" ca="1" si="50"/>
        <v>0</v>
      </c>
      <c r="U214" s="459"/>
    </row>
    <row r="215" spans="1:21" ht="12.75" customHeight="1" x14ac:dyDescent="0.2">
      <c r="A215" s="171" t="s">
        <v>1167</v>
      </c>
      <c r="B215" s="172" t="s">
        <v>590</v>
      </c>
      <c r="C215" s="172" t="s">
        <v>591</v>
      </c>
      <c r="D215" s="175">
        <f>INDEX('Base MFF calcs'!$I$7:$I$258,MATCH($B215,'Base MFF calcs'!$B$7:$B$258,0),1)</f>
        <v>1.1470398018093602</v>
      </c>
      <c r="E215" s="176">
        <f ca="1">D215/MIN('Base MFF calcs'!$I$7:$I$258)</f>
        <v>1.2382699484716477</v>
      </c>
      <c r="F215" s="176">
        <v>1.23827</v>
      </c>
      <c r="G215" s="511">
        <f t="shared" ca="1" si="43"/>
        <v>-4.1613179901922592E-8</v>
      </c>
      <c r="H215" s="174">
        <f t="shared" ca="1" si="44"/>
        <v>1.2382699484716477</v>
      </c>
      <c r="I215" s="501">
        <v>1.23827</v>
      </c>
      <c r="J215" s="177"/>
      <c r="K215" s="173">
        <f t="shared" ca="1" si="45"/>
        <v>1.2382699484716477</v>
      </c>
      <c r="L215" s="508">
        <f t="shared" ca="1" si="46"/>
        <v>0</v>
      </c>
      <c r="M215" s="174">
        <f t="shared" ca="1" si="47"/>
        <v>1.2382699484716477</v>
      </c>
      <c r="N215" s="174">
        <f ca="1">IF(SUMIFS('Merged Trusts and MFF year'!$C$1:$C$24,'Merged Trusts and MFF year'!$A$1:$A$24,$B215,'Merged Trusts and MFF year'!$D$1:$D$24,"2013-14")=0,M215,SUMIFS('Merged Trusts and MFF year'!$C$1:$C$24,'Merged Trusts and MFF year'!$A$1:$A$24,$B215,'Merged Trusts and MFF year'!$D$1:$D$24,"2013-14"))</f>
        <v>1.2382699484716477</v>
      </c>
      <c r="O215" s="498">
        <f ca="1">IF(SUMIFS('Merged Trusts and MFF year'!$C$1:$C$24,'Merged Trusts and MFF year'!$A$1:$A$24,$B215,'Merged Trusts and MFF year'!$D$1:$D$24,"2014-15")=0,N215,SUMIFS('Merged Trusts and MFF year'!$C$1:$C$24,'Merged Trusts and MFF year'!$A$1:$A$24,$B215,'Merged Trusts and MFF year'!$D$1:$D$24,"2014-15"))</f>
        <v>1.2382699484716477</v>
      </c>
      <c r="P215" s="504">
        <f t="shared" ca="1" si="48"/>
        <v>0</v>
      </c>
      <c r="Q215" s="498">
        <f ca="1">IF(SUMIFS('Merged Trusts and MFF year'!$C$1:$C$24,'Merged Trusts and MFF year'!$A$1:$A$24,$B215,'Merged Trusts and MFF year'!$D$1:$D$24,"2015-16")=0,O215,SUMIFS('Merged Trusts and MFF year'!$C$1:$C$24,'Merged Trusts and MFF year'!$A$1:$A$24,$B215,'Merged Trusts and MFF year'!$D$1:$D$24,"2015-16"))</f>
        <v>1.2382699484716477</v>
      </c>
      <c r="R215" s="504">
        <f t="shared" ca="1" si="49"/>
        <v>0</v>
      </c>
      <c r="S215" s="498">
        <f ca="1">IF(SUMIFS('Merged Trusts and MFF year'!$C$1:$C$24,'Merged Trusts and MFF year'!$A$1:$A$24,$B215,'Merged Trusts and MFF year'!$D$1:$D$24,"2016-17")=0,Q215,SUMIFS('Merged Trusts and MFF year'!$C$1:$C$24,'Merged Trusts and MFF year'!$A$1:$A$24,$B215,'Merged Trusts and MFF year'!$D$1:$D$24,"2016-17"))</f>
        <v>1.2382699484716477</v>
      </c>
      <c r="T215" s="504">
        <f t="shared" ca="1" si="50"/>
        <v>0</v>
      </c>
      <c r="U215" s="459"/>
    </row>
    <row r="216" spans="1:21" ht="12.75" customHeight="1" x14ac:dyDescent="0.2">
      <c r="A216" s="171" t="s">
        <v>708</v>
      </c>
      <c r="B216" s="172" t="s">
        <v>592</v>
      </c>
      <c r="C216" s="172" t="s">
        <v>593</v>
      </c>
      <c r="D216" s="175">
        <f>INDEX('Base MFF calcs'!$I$7:$I$258,MATCH($B216,'Base MFF calcs'!$B$7:$B$258,0),1)</f>
        <v>0.95090930879258773</v>
      </c>
      <c r="E216" s="176">
        <f ca="1">D216/MIN('Base MFF calcs'!$I$7:$I$258)</f>
        <v>1.0265401592363463</v>
      </c>
      <c r="F216" s="176">
        <v>1.02654</v>
      </c>
      <c r="G216" s="511">
        <f t="shared" ref="G216:G247" ca="1" si="51">IF(F216="",0,E216/F216-1)</f>
        <v>1.5511947548674243E-7</v>
      </c>
      <c r="H216" s="174">
        <f t="shared" ref="H216:H247" ca="1" si="52">IF(ISERR(G216),E216,IF(G216&gt;2%,F216*1.02,IF(G216&lt;-2%,F216*0.98,E216)))</f>
        <v>1.0265401592363463</v>
      </c>
      <c r="I216" s="501">
        <v>1.02654</v>
      </c>
      <c r="J216" s="177"/>
      <c r="K216" s="173">
        <f t="shared" ref="K216:K247" ca="1" si="53">IF(LEFT(U216,6)="Merged","Merged",E216)</f>
        <v>1.0265401592363463</v>
      </c>
      <c r="L216" s="508">
        <f t="shared" ref="L216:L247" ca="1" si="54">IF(K216="Merged","N/A",K216/H216-1)</f>
        <v>0</v>
      </c>
      <c r="M216" s="174">
        <f t="shared" ref="M216:M247" ca="1" si="55">IF(L216="N/A",K216,IF(L216&gt;2%,1.02*H216,IF(L216&lt;-2%,0.98*H216,K216)))</f>
        <v>1.0265401592363463</v>
      </c>
      <c r="N216" s="174">
        <f ca="1">IF(SUMIFS('Merged Trusts and MFF year'!$C$1:$C$24,'Merged Trusts and MFF year'!$A$1:$A$24,$B216,'Merged Trusts and MFF year'!$D$1:$D$24,"2013-14")=0,M216,SUMIFS('Merged Trusts and MFF year'!$C$1:$C$24,'Merged Trusts and MFF year'!$A$1:$A$24,$B216,'Merged Trusts and MFF year'!$D$1:$D$24,"2013-14"))</f>
        <v>1.0265401592363463</v>
      </c>
      <c r="O216" s="498">
        <f ca="1">IF(SUMIFS('Merged Trusts and MFF year'!$C$1:$C$24,'Merged Trusts and MFF year'!$A$1:$A$24,$B216,'Merged Trusts and MFF year'!$D$1:$D$24,"2014-15")=0,N216,SUMIFS('Merged Trusts and MFF year'!$C$1:$C$24,'Merged Trusts and MFF year'!$A$1:$A$24,$B216,'Merged Trusts and MFF year'!$D$1:$D$24,"2014-15"))</f>
        <v>1.0265401592363463</v>
      </c>
      <c r="P216" s="504">
        <f t="shared" ca="1" si="48"/>
        <v>0</v>
      </c>
      <c r="Q216" s="498">
        <f ca="1">IF(SUMIFS('Merged Trusts and MFF year'!$C$1:$C$24,'Merged Trusts and MFF year'!$A$1:$A$24,$B216,'Merged Trusts and MFF year'!$D$1:$D$24,"2015-16")=0,O216,SUMIFS('Merged Trusts and MFF year'!$C$1:$C$24,'Merged Trusts and MFF year'!$A$1:$A$24,$B216,'Merged Trusts and MFF year'!$D$1:$D$24,"2015-16"))</f>
        <v>1.0265401592363463</v>
      </c>
      <c r="R216" s="504">
        <f t="shared" ca="1" si="49"/>
        <v>0</v>
      </c>
      <c r="S216" s="498">
        <f ca="1">IF(SUMIFS('Merged Trusts and MFF year'!$C$1:$C$24,'Merged Trusts and MFF year'!$A$1:$A$24,$B216,'Merged Trusts and MFF year'!$D$1:$D$24,"2016-17")=0,Q216,SUMIFS('Merged Trusts and MFF year'!$C$1:$C$24,'Merged Trusts and MFF year'!$A$1:$A$24,$B216,'Merged Trusts and MFF year'!$D$1:$D$24,"2016-17"))</f>
        <v>1.0265401592363463</v>
      </c>
      <c r="T216" s="504">
        <f t="shared" ca="1" si="50"/>
        <v>0</v>
      </c>
      <c r="U216" s="459"/>
    </row>
    <row r="217" spans="1:21" ht="12.75" customHeight="1" x14ac:dyDescent="0.2">
      <c r="A217" s="171" t="s">
        <v>2975</v>
      </c>
      <c r="B217" s="172" t="s">
        <v>594</v>
      </c>
      <c r="C217" s="172" t="s">
        <v>595</v>
      </c>
      <c r="D217" s="175">
        <f>INDEX('Base MFF calcs'!$I$7:$I$258,MATCH($B217,'Base MFF calcs'!$B$7:$B$258,0),1)</f>
        <v>0.98823760509320002</v>
      </c>
      <c r="E217" s="176">
        <f ca="1">D217/MIN('Base MFF calcs'!$I$7:$I$258)</f>
        <v>1.0668373725185545</v>
      </c>
      <c r="F217" s="176">
        <v>1.066837</v>
      </c>
      <c r="G217" s="511">
        <f t="shared" ca="1" si="51"/>
        <v>3.4918038505082905E-7</v>
      </c>
      <c r="H217" s="174">
        <f t="shared" ca="1" si="52"/>
        <v>1.0668373725185545</v>
      </c>
      <c r="I217" s="501">
        <v>1.066837</v>
      </c>
      <c r="J217" s="177"/>
      <c r="K217" s="173">
        <f t="shared" ca="1" si="53"/>
        <v>1.0668373725185545</v>
      </c>
      <c r="L217" s="508">
        <f t="shared" ca="1" si="54"/>
        <v>0</v>
      </c>
      <c r="M217" s="174">
        <f t="shared" ca="1" si="55"/>
        <v>1.0668373725185545</v>
      </c>
      <c r="N217" s="174">
        <f ca="1">IF(SUMIFS('Merged Trusts and MFF year'!$C$1:$C$24,'Merged Trusts and MFF year'!$A$1:$A$24,$B217,'Merged Trusts and MFF year'!$D$1:$D$24,"2013-14")=0,M217,SUMIFS('Merged Trusts and MFF year'!$C$1:$C$24,'Merged Trusts and MFF year'!$A$1:$A$24,$B217,'Merged Trusts and MFF year'!$D$1:$D$24,"2013-14"))</f>
        <v>1.0668373725185545</v>
      </c>
      <c r="O217" s="498">
        <f ca="1">IF(SUMIFS('Merged Trusts and MFF year'!$C$1:$C$24,'Merged Trusts and MFF year'!$A$1:$A$24,$B217,'Merged Trusts and MFF year'!$D$1:$D$24,"2014-15")=0,N217,SUMIFS('Merged Trusts and MFF year'!$C$1:$C$24,'Merged Trusts and MFF year'!$A$1:$A$24,$B217,'Merged Trusts and MFF year'!$D$1:$D$24,"2014-15"))</f>
        <v>1.0668373725185545</v>
      </c>
      <c r="P217" s="504">
        <f t="shared" ca="1" si="48"/>
        <v>0</v>
      </c>
      <c r="Q217" s="498">
        <f ca="1">IF(SUMIFS('Merged Trusts and MFF year'!$C$1:$C$24,'Merged Trusts and MFF year'!$A$1:$A$24,$B217,'Merged Trusts and MFF year'!$D$1:$D$24,"2015-16")=0,O217,SUMIFS('Merged Trusts and MFF year'!$C$1:$C$24,'Merged Trusts and MFF year'!$A$1:$A$24,$B217,'Merged Trusts and MFF year'!$D$1:$D$24,"2015-16"))</f>
        <v>1.0668373725185545</v>
      </c>
      <c r="R217" s="504">
        <f t="shared" ca="1" si="49"/>
        <v>0</v>
      </c>
      <c r="S217" s="498">
        <f ca="1">IF(SUMIFS('Merged Trusts and MFF year'!$C$1:$C$24,'Merged Trusts and MFF year'!$A$1:$A$24,$B217,'Merged Trusts and MFF year'!$D$1:$D$24,"2016-17")=0,Q217,SUMIFS('Merged Trusts and MFF year'!$C$1:$C$24,'Merged Trusts and MFF year'!$A$1:$A$24,$B217,'Merged Trusts and MFF year'!$D$1:$D$24,"2016-17"))</f>
        <v>1.0668373725185545</v>
      </c>
      <c r="T217" s="504">
        <f t="shared" ca="1" si="50"/>
        <v>0</v>
      </c>
      <c r="U217" s="459"/>
    </row>
    <row r="218" spans="1:21" ht="12.75" customHeight="1" x14ac:dyDescent="0.2">
      <c r="A218" s="171" t="s">
        <v>2975</v>
      </c>
      <c r="B218" s="172" t="s">
        <v>2324</v>
      </c>
      <c r="C218" s="468" t="s">
        <v>1293</v>
      </c>
      <c r="D218" s="175">
        <f>INDEX('Base MFF calcs'!$I$7:$I$258,MATCH($B218,'Base MFF calcs'!$B$7:$B$258,0),1)</f>
        <v>0.96282282467133995</v>
      </c>
      <c r="E218" s="176">
        <f ca="1">D218/MIN('Base MFF calcs'!$I$7:$I$258)</f>
        <v>1.0394012200905802</v>
      </c>
      <c r="F218" s="176">
        <v>1.039401</v>
      </c>
      <c r="G218" s="511">
        <f t="shared" ca="1" si="51"/>
        <v>2.1174751640984368E-7</v>
      </c>
      <c r="H218" s="174">
        <f t="shared" ca="1" si="52"/>
        <v>1.0394012200905802</v>
      </c>
      <c r="I218" s="501">
        <v>1.039401</v>
      </c>
      <c r="J218" s="177"/>
      <c r="K218" s="173">
        <f t="shared" ca="1" si="53"/>
        <v>1.0394012200905802</v>
      </c>
      <c r="L218" s="508">
        <f t="shared" ca="1" si="54"/>
        <v>0</v>
      </c>
      <c r="M218" s="174">
        <f t="shared" ca="1" si="55"/>
        <v>1.0394012200905802</v>
      </c>
      <c r="N218" s="174">
        <f ca="1">IF(SUMIFS('Merged Trusts and MFF year'!$C$1:$C$24,'Merged Trusts and MFF year'!$A$1:$A$24,$B218,'Merged Trusts and MFF year'!$D$1:$D$24,"2013-14")=0,M218,SUMIFS('Merged Trusts and MFF year'!$C$1:$C$24,'Merged Trusts and MFF year'!$A$1:$A$24,$B218,'Merged Trusts and MFF year'!$D$1:$D$24,"2013-14"))</f>
        <v>1.0394012200905802</v>
      </c>
      <c r="O218" s="498">
        <f ca="1">IF(SUMIFS('Merged Trusts and MFF year'!$C$1:$C$24,'Merged Trusts and MFF year'!$A$1:$A$24,$B218,'Merged Trusts and MFF year'!$D$1:$D$24,"2014-15")=0,N218,SUMIFS('Merged Trusts and MFF year'!$C$1:$C$24,'Merged Trusts and MFF year'!$A$1:$A$24,$B218,'Merged Trusts and MFF year'!$D$1:$D$24,"2014-15"))</f>
        <v>1.0394012200905802</v>
      </c>
      <c r="P218" s="504">
        <f t="shared" ca="1" si="48"/>
        <v>0</v>
      </c>
      <c r="Q218" s="498">
        <f ca="1">IF(SUMIFS('Merged Trusts and MFF year'!$C$1:$C$24,'Merged Trusts and MFF year'!$A$1:$A$24,$B218,'Merged Trusts and MFF year'!$D$1:$D$24,"2015-16")=0,O218,SUMIFS('Merged Trusts and MFF year'!$C$1:$C$24,'Merged Trusts and MFF year'!$A$1:$A$24,$B218,'Merged Trusts and MFF year'!$D$1:$D$24,"2015-16"))</f>
        <v>1.0394012200905802</v>
      </c>
      <c r="R218" s="504">
        <f t="shared" ca="1" si="49"/>
        <v>0</v>
      </c>
      <c r="S218" s="498">
        <f ca="1">IF(SUMIFS('Merged Trusts and MFF year'!$C$1:$C$24,'Merged Trusts and MFF year'!$A$1:$A$24,$B218,'Merged Trusts and MFF year'!$D$1:$D$24,"2016-17")=0,Q218,SUMIFS('Merged Trusts and MFF year'!$C$1:$C$24,'Merged Trusts and MFF year'!$A$1:$A$24,$B218,'Merged Trusts and MFF year'!$D$1:$D$24,"2016-17"))</f>
        <v>1.0394012200905802</v>
      </c>
      <c r="T218" s="504">
        <f t="shared" ca="1" si="50"/>
        <v>0</v>
      </c>
      <c r="U218" s="464"/>
    </row>
    <row r="219" spans="1:21" ht="12.75" customHeight="1" x14ac:dyDescent="0.2">
      <c r="A219" s="171" t="s">
        <v>2133</v>
      </c>
      <c r="B219" s="172" t="s">
        <v>596</v>
      </c>
      <c r="C219" s="482" t="s">
        <v>1305</v>
      </c>
      <c r="D219" s="175">
        <f>INDEX('Base MFF calcs'!$I$7:$I$258,MATCH($B219,'Base MFF calcs'!$B$7:$B$258,0),1)</f>
        <v>0.95934721316674243</v>
      </c>
      <c r="E219" s="176">
        <f ca="1">D219/MIN('Base MFF calcs'!$I$7:$I$258)</f>
        <v>1.035649174806784</v>
      </c>
      <c r="F219" s="176">
        <v>1.035649</v>
      </c>
      <c r="G219" s="511">
        <f t="shared" ca="1" si="51"/>
        <v>1.6878960340527271E-7</v>
      </c>
      <c r="H219" s="174">
        <f t="shared" ca="1" si="52"/>
        <v>1.035649174806784</v>
      </c>
      <c r="I219" s="501">
        <v>1.035649</v>
      </c>
      <c r="J219" s="177"/>
      <c r="K219" s="173">
        <f t="shared" ca="1" si="53"/>
        <v>1.035649174806784</v>
      </c>
      <c r="L219" s="508">
        <f t="shared" ca="1" si="54"/>
        <v>0</v>
      </c>
      <c r="M219" s="174">
        <f t="shared" ca="1" si="55"/>
        <v>1.035649174806784</v>
      </c>
      <c r="N219" s="174">
        <f ca="1">IF(SUMIFS('Merged Trusts and MFF year'!$C$1:$C$24,'Merged Trusts and MFF year'!$A$1:$A$24,$B219,'Merged Trusts and MFF year'!$D$1:$D$24,"2013-14")=0,M219,SUMIFS('Merged Trusts and MFF year'!$C$1:$C$24,'Merged Trusts and MFF year'!$A$1:$A$24,$B219,'Merged Trusts and MFF year'!$D$1:$D$24,"2013-14"))</f>
        <v>1.035649174806784</v>
      </c>
      <c r="O219" s="498">
        <f ca="1">IF(SUMIFS('Merged Trusts and MFF year'!$C$1:$C$24,'Merged Trusts and MFF year'!$A$1:$A$24,$B219,'Merged Trusts and MFF year'!$D$1:$D$24,"2014-15")=0,N219,SUMIFS('Merged Trusts and MFF year'!$C$1:$C$24,'Merged Trusts and MFF year'!$A$1:$A$24,$B219,'Merged Trusts and MFF year'!$D$1:$D$24,"2014-15"))</f>
        <v>1.035649174806784</v>
      </c>
      <c r="P219" s="504">
        <f t="shared" ca="1" si="48"/>
        <v>0</v>
      </c>
      <c r="Q219" s="498">
        <f ca="1">IF(SUMIFS('Merged Trusts and MFF year'!$C$1:$C$24,'Merged Trusts and MFF year'!$A$1:$A$24,$B219,'Merged Trusts and MFF year'!$D$1:$D$24,"2015-16")=0,O219,SUMIFS('Merged Trusts and MFF year'!$C$1:$C$24,'Merged Trusts and MFF year'!$A$1:$A$24,$B219,'Merged Trusts and MFF year'!$D$1:$D$24,"2015-16"))</f>
        <v>1.035649174806784</v>
      </c>
      <c r="R219" s="504">
        <f t="shared" ca="1" si="49"/>
        <v>0</v>
      </c>
      <c r="S219" s="498">
        <f ca="1">IF(SUMIFS('Merged Trusts and MFF year'!$C$1:$C$24,'Merged Trusts and MFF year'!$A$1:$A$24,$B219,'Merged Trusts and MFF year'!$D$1:$D$24,"2016-17")=0,Q219,SUMIFS('Merged Trusts and MFF year'!$C$1:$C$24,'Merged Trusts and MFF year'!$A$1:$A$24,$B219,'Merged Trusts and MFF year'!$D$1:$D$24,"2016-17"))</f>
        <v>1.035649174806784</v>
      </c>
      <c r="T219" s="504">
        <f t="shared" ca="1" si="50"/>
        <v>0</v>
      </c>
      <c r="U219" s="464"/>
    </row>
    <row r="220" spans="1:21" ht="12.75" customHeight="1" x14ac:dyDescent="0.2">
      <c r="A220" s="171" t="s">
        <v>1167</v>
      </c>
      <c r="B220" s="172" t="s">
        <v>598</v>
      </c>
      <c r="C220" s="171" t="s">
        <v>3522</v>
      </c>
      <c r="D220" s="175">
        <f>INDEX('Base MFF calcs'!$I$7:$I$258,MATCH($B220,'Base MFF calcs'!$B$7:$B$258,0),1)</f>
        <v>1.0958844454950554</v>
      </c>
      <c r="E220" s="176">
        <f ca="1">D220/MIN('Base MFF calcs'!$I$7:$I$258)</f>
        <v>1.1830459359069199</v>
      </c>
      <c r="F220" s="176">
        <v>1.183046</v>
      </c>
      <c r="G220" s="511">
        <f t="shared" ca="1" si="51"/>
        <v>-5.4176321317989107E-8</v>
      </c>
      <c r="H220" s="174">
        <f t="shared" ca="1" si="52"/>
        <v>1.1830459359069199</v>
      </c>
      <c r="I220" s="501">
        <v>1.183046</v>
      </c>
      <c r="J220" s="177"/>
      <c r="K220" s="173">
        <f t="shared" ca="1" si="53"/>
        <v>1.1830459359069199</v>
      </c>
      <c r="L220" s="508">
        <f t="shared" ca="1" si="54"/>
        <v>0</v>
      </c>
      <c r="M220" s="174">
        <f t="shared" ca="1" si="55"/>
        <v>1.1830459359069199</v>
      </c>
      <c r="N220" s="174">
        <f ca="1">IF(SUMIFS('Merged Trusts and MFF year'!$C$1:$C$24,'Merged Trusts and MFF year'!$A$1:$A$24,$B220,'Merged Trusts and MFF year'!$D$1:$D$24,"2013-14")=0,M220,SUMIFS('Merged Trusts and MFF year'!$C$1:$C$24,'Merged Trusts and MFF year'!$A$1:$A$24,$B220,'Merged Trusts and MFF year'!$D$1:$D$24,"2013-14"))</f>
        <v>1.1830459359069199</v>
      </c>
      <c r="O220" s="498">
        <f ca="1">IF(SUMIFS('Merged Trusts and MFF year'!$C$1:$C$24,'Merged Trusts and MFF year'!$A$1:$A$24,$B220,'Merged Trusts and MFF year'!$D$1:$D$24,"2014-15")=0,N220,SUMIFS('Merged Trusts and MFF year'!$C$1:$C$24,'Merged Trusts and MFF year'!$A$1:$A$24,$B220,'Merged Trusts and MFF year'!$D$1:$D$24,"2014-15"))</f>
        <v>1.1830459359069199</v>
      </c>
      <c r="P220" s="504">
        <f t="shared" ca="1" si="48"/>
        <v>0</v>
      </c>
      <c r="Q220" s="498">
        <f ca="1">IF(SUMIFS('Merged Trusts and MFF year'!$C$1:$C$24,'Merged Trusts and MFF year'!$A$1:$A$24,$B220,'Merged Trusts and MFF year'!$D$1:$D$24,"2015-16")=0,O220,SUMIFS('Merged Trusts and MFF year'!$C$1:$C$24,'Merged Trusts and MFF year'!$A$1:$A$24,$B220,'Merged Trusts and MFF year'!$D$1:$D$24,"2015-16"))</f>
        <v>1.1830459359069199</v>
      </c>
      <c r="R220" s="504">
        <f t="shared" ca="1" si="49"/>
        <v>0</v>
      </c>
      <c r="S220" s="498">
        <f ca="1">IF(SUMIFS('Merged Trusts and MFF year'!$C$1:$C$24,'Merged Trusts and MFF year'!$A$1:$A$24,$B220,'Merged Trusts and MFF year'!$D$1:$D$24,"2016-17")=0,Q220,SUMIFS('Merged Trusts and MFF year'!$C$1:$C$24,'Merged Trusts and MFF year'!$A$1:$A$24,$B220,'Merged Trusts and MFF year'!$D$1:$D$24,"2016-17"))</f>
        <v>1.1830459359069199</v>
      </c>
      <c r="T220" s="504">
        <f t="shared" ca="1" si="50"/>
        <v>0</v>
      </c>
      <c r="U220" s="464"/>
    </row>
    <row r="221" spans="1:21" ht="12.75" customHeight="1" x14ac:dyDescent="0.2">
      <c r="A221" s="171" t="s">
        <v>708</v>
      </c>
      <c r="B221" s="172" t="s">
        <v>602</v>
      </c>
      <c r="C221" s="172" t="s">
        <v>603</v>
      </c>
      <c r="D221" s="175">
        <f>INDEX('Base MFF calcs'!$I$7:$I$258,MATCH($B221,'Base MFF calcs'!$B$7:$B$258,0),1)</f>
        <v>0.95950229603352621</v>
      </c>
      <c r="E221" s="176">
        <f ca="1">D221/MIN('Base MFF calcs'!$I$7:$I$258)</f>
        <v>1.035816592234809</v>
      </c>
      <c r="F221" s="176">
        <v>1.035817</v>
      </c>
      <c r="G221" s="511">
        <f t="shared" ca="1" si="51"/>
        <v>-3.9366528159501257E-7</v>
      </c>
      <c r="H221" s="174">
        <f t="shared" ca="1" si="52"/>
        <v>1.035816592234809</v>
      </c>
      <c r="I221" s="501">
        <v>1.035817</v>
      </c>
      <c r="J221" s="177"/>
      <c r="K221" s="173">
        <f t="shared" ca="1" si="53"/>
        <v>1.035816592234809</v>
      </c>
      <c r="L221" s="508">
        <f t="shared" ca="1" si="54"/>
        <v>0</v>
      </c>
      <c r="M221" s="174">
        <f t="shared" ca="1" si="55"/>
        <v>1.035816592234809</v>
      </c>
      <c r="N221" s="174">
        <f ca="1">IF(SUMIFS('Merged Trusts and MFF year'!$C$1:$C$24,'Merged Trusts and MFF year'!$A$1:$A$24,$B221,'Merged Trusts and MFF year'!$D$1:$D$24,"2013-14")=0,M221,SUMIFS('Merged Trusts and MFF year'!$C$1:$C$24,'Merged Trusts and MFF year'!$A$1:$A$24,$B221,'Merged Trusts and MFF year'!$D$1:$D$24,"2013-14"))</f>
        <v>1.035816592234809</v>
      </c>
      <c r="O221" s="498">
        <f ca="1">IF(SUMIFS('Merged Trusts and MFF year'!$C$1:$C$24,'Merged Trusts and MFF year'!$A$1:$A$24,$B221,'Merged Trusts and MFF year'!$D$1:$D$24,"2014-15")=0,N221,SUMIFS('Merged Trusts and MFF year'!$C$1:$C$24,'Merged Trusts and MFF year'!$A$1:$A$24,$B221,'Merged Trusts and MFF year'!$D$1:$D$24,"2014-15"))</f>
        <v>1.035816592234809</v>
      </c>
      <c r="P221" s="504">
        <f t="shared" ca="1" si="48"/>
        <v>0</v>
      </c>
      <c r="Q221" s="498">
        <f ca="1">IF(SUMIFS('Merged Trusts and MFF year'!$C$1:$C$24,'Merged Trusts and MFF year'!$A$1:$A$24,$B221,'Merged Trusts and MFF year'!$D$1:$D$24,"2015-16")=0,O221,SUMIFS('Merged Trusts and MFF year'!$C$1:$C$24,'Merged Trusts and MFF year'!$A$1:$A$24,$B221,'Merged Trusts and MFF year'!$D$1:$D$24,"2015-16"))</f>
        <v>1.035816592234809</v>
      </c>
      <c r="R221" s="504">
        <f t="shared" ca="1" si="49"/>
        <v>0</v>
      </c>
      <c r="S221" s="498">
        <f ca="1">IF(SUMIFS('Merged Trusts and MFF year'!$C$1:$C$24,'Merged Trusts and MFF year'!$A$1:$A$24,$B221,'Merged Trusts and MFF year'!$D$1:$D$24,"2016-17")=0,Q221,SUMIFS('Merged Trusts and MFF year'!$C$1:$C$24,'Merged Trusts and MFF year'!$A$1:$A$24,$B221,'Merged Trusts and MFF year'!$D$1:$D$24,"2016-17"))</f>
        <v>1.035816592234809</v>
      </c>
      <c r="T221" s="504">
        <f t="shared" ca="1" si="50"/>
        <v>0</v>
      </c>
      <c r="U221" s="459"/>
    </row>
    <row r="222" spans="1:21" ht="12.75" customHeight="1" x14ac:dyDescent="0.2">
      <c r="A222" s="171" t="s">
        <v>1127</v>
      </c>
      <c r="B222" s="172" t="s">
        <v>604</v>
      </c>
      <c r="C222" s="172" t="s">
        <v>605</v>
      </c>
      <c r="D222" s="175">
        <f>INDEX('Base MFF calcs'!$I$7:$I$258,MATCH($B222,'Base MFF calcs'!$B$7:$B$258,0),1)</f>
        <v>1.0684381355467991</v>
      </c>
      <c r="E222" s="176">
        <f ca="1">D222/MIN('Base MFF calcs'!$I$7:$I$258)</f>
        <v>1.1534166756565309</v>
      </c>
      <c r="F222" s="176">
        <v>1.1534169999999999</v>
      </c>
      <c r="G222" s="511">
        <f t="shared" ca="1" si="51"/>
        <v>-2.8120226158723227E-7</v>
      </c>
      <c r="H222" s="174">
        <f t="shared" ca="1" si="52"/>
        <v>1.1534166756565309</v>
      </c>
      <c r="I222" s="501">
        <v>1.1534169999999999</v>
      </c>
      <c r="J222" s="177"/>
      <c r="K222" s="173">
        <f t="shared" ca="1" si="53"/>
        <v>1.1534166756565309</v>
      </c>
      <c r="L222" s="508">
        <f t="shared" ca="1" si="54"/>
        <v>0</v>
      </c>
      <c r="M222" s="174">
        <f t="shared" ca="1" si="55"/>
        <v>1.1534166756565309</v>
      </c>
      <c r="N222" s="174">
        <f ca="1">IF(SUMIFS('Merged Trusts and MFF year'!$C$1:$C$24,'Merged Trusts and MFF year'!$A$1:$A$24,$B222,'Merged Trusts and MFF year'!$D$1:$D$24,"2013-14")=0,M222,SUMIFS('Merged Trusts and MFF year'!$C$1:$C$24,'Merged Trusts and MFF year'!$A$1:$A$24,$B222,'Merged Trusts and MFF year'!$D$1:$D$24,"2013-14"))</f>
        <v>1.1534166756565309</v>
      </c>
      <c r="O222" s="498">
        <f ca="1">IF(SUMIFS('Merged Trusts and MFF year'!$C$1:$C$24,'Merged Trusts and MFF year'!$A$1:$A$24,$B222,'Merged Trusts and MFF year'!$D$1:$D$24,"2014-15")=0,N222,SUMIFS('Merged Trusts and MFF year'!$C$1:$C$24,'Merged Trusts and MFF year'!$A$1:$A$24,$B222,'Merged Trusts and MFF year'!$D$1:$D$24,"2014-15"))</f>
        <v>1.1534166756565309</v>
      </c>
      <c r="P222" s="504">
        <f t="shared" ca="1" si="48"/>
        <v>0</v>
      </c>
      <c r="Q222" s="498">
        <f ca="1">IF(SUMIFS('Merged Trusts and MFF year'!$C$1:$C$24,'Merged Trusts and MFF year'!$A$1:$A$24,$B222,'Merged Trusts and MFF year'!$D$1:$D$24,"2015-16")=0,O222,SUMIFS('Merged Trusts and MFF year'!$C$1:$C$24,'Merged Trusts and MFF year'!$A$1:$A$24,$B222,'Merged Trusts and MFF year'!$D$1:$D$24,"2015-16"))</f>
        <v>1.1534166756565309</v>
      </c>
      <c r="R222" s="504">
        <f t="shared" ca="1" si="49"/>
        <v>0</v>
      </c>
      <c r="S222" s="498">
        <f ca="1">IF(SUMIFS('Merged Trusts and MFF year'!$C$1:$C$24,'Merged Trusts and MFF year'!$A$1:$A$24,$B222,'Merged Trusts and MFF year'!$D$1:$D$24,"2016-17")=0,Q222,SUMIFS('Merged Trusts and MFF year'!$C$1:$C$24,'Merged Trusts and MFF year'!$A$1:$A$24,$B222,'Merged Trusts and MFF year'!$D$1:$D$24,"2016-17"))</f>
        <v>1.1534166756565309</v>
      </c>
      <c r="T222" s="504">
        <f t="shared" ca="1" si="50"/>
        <v>0</v>
      </c>
      <c r="U222" s="459"/>
    </row>
    <row r="223" spans="1:21" ht="12.75" customHeight="1" x14ac:dyDescent="0.2">
      <c r="A223" s="171" t="s">
        <v>1127</v>
      </c>
      <c r="B223" s="172" t="s">
        <v>606</v>
      </c>
      <c r="C223" s="468" t="s">
        <v>1291</v>
      </c>
      <c r="D223" s="175">
        <f>INDEX('Base MFF calcs'!$I$7:$I$258,MATCH($B223,'Base MFF calcs'!$B$7:$B$258,0),1)</f>
        <v>0.95036159829173306</v>
      </c>
      <c r="E223" s="176">
        <f ca="1">D223/MIN('Base MFF calcs'!$I$7:$I$258)</f>
        <v>1.0259488864203543</v>
      </c>
      <c r="F223" s="176">
        <v>1.025949</v>
      </c>
      <c r="G223" s="511">
        <f t="shared" ca="1" si="51"/>
        <v>-1.1070691208203698E-7</v>
      </c>
      <c r="H223" s="174">
        <f t="shared" ca="1" si="52"/>
        <v>1.0259488864203543</v>
      </c>
      <c r="I223" s="501">
        <v>1.025949</v>
      </c>
      <c r="J223" s="177"/>
      <c r="K223" s="173">
        <f t="shared" ca="1" si="53"/>
        <v>1.0259488864203543</v>
      </c>
      <c r="L223" s="508">
        <f t="shared" ca="1" si="54"/>
        <v>0</v>
      </c>
      <c r="M223" s="174">
        <f t="shared" ca="1" si="55"/>
        <v>1.0259488864203543</v>
      </c>
      <c r="N223" s="174">
        <f ca="1">IF(SUMIFS('Merged Trusts and MFF year'!$C$1:$C$24,'Merged Trusts and MFF year'!$A$1:$A$24,$B223,'Merged Trusts and MFF year'!$D$1:$D$24,"2013-14")=0,M223,SUMIFS('Merged Trusts and MFF year'!$C$1:$C$24,'Merged Trusts and MFF year'!$A$1:$A$24,$B223,'Merged Trusts and MFF year'!$D$1:$D$24,"2013-14"))</f>
        <v>1.0259488864203543</v>
      </c>
      <c r="O223" s="498">
        <f ca="1">IF(SUMIFS('Merged Trusts and MFF year'!$C$1:$C$24,'Merged Trusts and MFF year'!$A$1:$A$24,$B223,'Merged Trusts and MFF year'!$D$1:$D$24,"2014-15")=0,N223,SUMIFS('Merged Trusts and MFF year'!$C$1:$C$24,'Merged Trusts and MFF year'!$A$1:$A$24,$B223,'Merged Trusts and MFF year'!$D$1:$D$24,"2014-15"))</f>
        <v>1.0259488864203543</v>
      </c>
      <c r="P223" s="504">
        <f t="shared" ca="1" si="48"/>
        <v>0</v>
      </c>
      <c r="Q223" s="498">
        <f ca="1">IF(SUMIFS('Merged Trusts and MFF year'!$C$1:$C$24,'Merged Trusts and MFF year'!$A$1:$A$24,$B223,'Merged Trusts and MFF year'!$D$1:$D$24,"2015-16")=0,O223,SUMIFS('Merged Trusts and MFF year'!$C$1:$C$24,'Merged Trusts and MFF year'!$A$1:$A$24,$B223,'Merged Trusts and MFF year'!$D$1:$D$24,"2015-16"))</f>
        <v>1.0259488864203543</v>
      </c>
      <c r="R223" s="504">
        <f t="shared" ca="1" si="49"/>
        <v>0</v>
      </c>
      <c r="S223" s="498">
        <f ca="1">IF(SUMIFS('Merged Trusts and MFF year'!$C$1:$C$24,'Merged Trusts and MFF year'!$A$1:$A$24,$B223,'Merged Trusts and MFF year'!$D$1:$D$24,"2016-17")=0,Q223,SUMIFS('Merged Trusts and MFF year'!$C$1:$C$24,'Merged Trusts and MFF year'!$A$1:$A$24,$B223,'Merged Trusts and MFF year'!$D$1:$D$24,"2016-17"))</f>
        <v>1.0259488864203543</v>
      </c>
      <c r="T223" s="504">
        <f t="shared" ca="1" si="50"/>
        <v>0</v>
      </c>
      <c r="U223" s="464"/>
    </row>
    <row r="224" spans="1:21" ht="12.75" customHeight="1" x14ac:dyDescent="0.2">
      <c r="A224" s="171" t="s">
        <v>3034</v>
      </c>
      <c r="B224" s="172" t="s">
        <v>608</v>
      </c>
      <c r="C224" s="172" t="s">
        <v>609</v>
      </c>
      <c r="D224" s="175">
        <f>INDEX('Base MFF calcs'!$I$7:$I$258,MATCH($B224,'Base MFF calcs'!$B$7:$B$258,0),1)</f>
        <v>0.95152298647122446</v>
      </c>
      <c r="E224" s="176">
        <f ca="1">D224/MIN('Base MFF calcs'!$I$7:$I$258)</f>
        <v>1.0272026459489303</v>
      </c>
      <c r="F224" s="176">
        <v>1.0272030000000001</v>
      </c>
      <c r="G224" s="511">
        <f t="shared" ca="1" si="51"/>
        <v>-3.4467487908251826E-7</v>
      </c>
      <c r="H224" s="174">
        <f t="shared" ca="1" si="52"/>
        <v>1.0272026459489303</v>
      </c>
      <c r="I224" s="501">
        <v>1.0272029999999999</v>
      </c>
      <c r="J224" s="177"/>
      <c r="K224" s="173">
        <f t="shared" ca="1" si="53"/>
        <v>1.0272026459489303</v>
      </c>
      <c r="L224" s="508">
        <f t="shared" ca="1" si="54"/>
        <v>0</v>
      </c>
      <c r="M224" s="174">
        <f t="shared" ca="1" si="55"/>
        <v>1.0272026459489303</v>
      </c>
      <c r="N224" s="174">
        <f ca="1">IF(SUMIFS('Merged Trusts and MFF year'!$C$1:$C$24,'Merged Trusts and MFF year'!$A$1:$A$24,$B224,'Merged Trusts and MFF year'!$D$1:$D$24,"2013-14")=0,M224,SUMIFS('Merged Trusts and MFF year'!$C$1:$C$24,'Merged Trusts and MFF year'!$A$1:$A$24,$B224,'Merged Trusts and MFF year'!$D$1:$D$24,"2013-14"))</f>
        <v>1.0272026459489303</v>
      </c>
      <c r="O224" s="498">
        <f ca="1">IF(SUMIFS('Merged Trusts and MFF year'!$C$1:$C$24,'Merged Trusts and MFF year'!$A$1:$A$24,$B224,'Merged Trusts and MFF year'!$D$1:$D$24,"2014-15")=0,N224,SUMIFS('Merged Trusts and MFF year'!$C$1:$C$24,'Merged Trusts and MFF year'!$A$1:$A$24,$B224,'Merged Trusts and MFF year'!$D$1:$D$24,"2014-15"))</f>
        <v>1.0272026459489303</v>
      </c>
      <c r="P224" s="504">
        <f t="shared" ca="1" si="48"/>
        <v>0</v>
      </c>
      <c r="Q224" s="498">
        <f ca="1">IF(SUMIFS('Merged Trusts and MFF year'!$C$1:$C$24,'Merged Trusts and MFF year'!$A$1:$A$24,$B224,'Merged Trusts and MFF year'!$D$1:$D$24,"2015-16")=0,O224,SUMIFS('Merged Trusts and MFF year'!$C$1:$C$24,'Merged Trusts and MFF year'!$A$1:$A$24,$B224,'Merged Trusts and MFF year'!$D$1:$D$24,"2015-16"))</f>
        <v>1.0272026459489303</v>
      </c>
      <c r="R224" s="504">
        <f t="shared" ca="1" si="49"/>
        <v>0</v>
      </c>
      <c r="S224" s="498">
        <f ca="1">IF(SUMIFS('Merged Trusts and MFF year'!$C$1:$C$24,'Merged Trusts and MFF year'!$A$1:$A$24,$B224,'Merged Trusts and MFF year'!$D$1:$D$24,"2016-17")=0,Q224,SUMIFS('Merged Trusts and MFF year'!$C$1:$C$24,'Merged Trusts and MFF year'!$A$1:$A$24,$B224,'Merged Trusts and MFF year'!$D$1:$D$24,"2016-17"))</f>
        <v>1.0272026459489303</v>
      </c>
      <c r="T224" s="504">
        <f t="shared" ca="1" si="50"/>
        <v>0</v>
      </c>
      <c r="U224" s="459"/>
    </row>
    <row r="225" spans="1:21" ht="12.75" customHeight="1" x14ac:dyDescent="0.2">
      <c r="A225" s="171" t="s">
        <v>3528</v>
      </c>
      <c r="B225" s="172" t="s">
        <v>610</v>
      </c>
      <c r="C225" s="172" t="s">
        <v>611</v>
      </c>
      <c r="D225" s="175">
        <f>INDEX('Base MFF calcs'!$I$7:$I$258,MATCH($B225,'Base MFF calcs'!$B$7:$B$258,0),1)</f>
        <v>0.98624215414008365</v>
      </c>
      <c r="E225" s="176">
        <f ca="1">D225/MIN('Base MFF calcs'!$I$7:$I$258)</f>
        <v>1.0646832127893147</v>
      </c>
      <c r="F225" s="176">
        <v>1.064683</v>
      </c>
      <c r="G225" s="511">
        <f t="shared" ca="1" si="51"/>
        <v>1.9986166277519146E-7</v>
      </c>
      <c r="H225" s="174">
        <f t="shared" ca="1" si="52"/>
        <v>1.0646832127893147</v>
      </c>
      <c r="I225" s="501">
        <v>1.064683</v>
      </c>
      <c r="J225" s="177"/>
      <c r="K225" s="173">
        <f t="shared" ca="1" si="53"/>
        <v>1.0646832127893147</v>
      </c>
      <c r="L225" s="508">
        <f t="shared" ca="1" si="54"/>
        <v>0</v>
      </c>
      <c r="M225" s="174">
        <f t="shared" ca="1" si="55"/>
        <v>1.0646832127893147</v>
      </c>
      <c r="N225" s="174">
        <f ca="1">IF(SUMIFS('Merged Trusts and MFF year'!$C$1:$C$24,'Merged Trusts and MFF year'!$A$1:$A$24,$B225,'Merged Trusts and MFF year'!$D$1:$D$24,"2013-14")=0,M225,SUMIFS('Merged Trusts and MFF year'!$C$1:$C$24,'Merged Trusts and MFF year'!$A$1:$A$24,$B225,'Merged Trusts and MFF year'!$D$1:$D$24,"2013-14"))</f>
        <v>1.0646832127893147</v>
      </c>
      <c r="O225" s="498">
        <f ca="1">IF(SUMIFS('Merged Trusts and MFF year'!$C$1:$C$24,'Merged Trusts and MFF year'!$A$1:$A$24,$B225,'Merged Trusts and MFF year'!$D$1:$D$24,"2014-15")=0,N225,SUMIFS('Merged Trusts and MFF year'!$C$1:$C$24,'Merged Trusts and MFF year'!$A$1:$A$24,$B225,'Merged Trusts and MFF year'!$D$1:$D$24,"2014-15"))</f>
        <v>1.0646832127893147</v>
      </c>
      <c r="P225" s="504">
        <f t="shared" ca="1" si="48"/>
        <v>0</v>
      </c>
      <c r="Q225" s="498">
        <f ca="1">IF(SUMIFS('Merged Trusts and MFF year'!$C$1:$C$24,'Merged Trusts and MFF year'!$A$1:$A$24,$B225,'Merged Trusts and MFF year'!$D$1:$D$24,"2015-16")=0,O225,SUMIFS('Merged Trusts and MFF year'!$C$1:$C$24,'Merged Trusts and MFF year'!$A$1:$A$24,$B225,'Merged Trusts and MFF year'!$D$1:$D$24,"2015-16"))</f>
        <v>1.0646832127893147</v>
      </c>
      <c r="R225" s="504">
        <f t="shared" ca="1" si="49"/>
        <v>0</v>
      </c>
      <c r="S225" s="498">
        <f ca="1">IF(SUMIFS('Merged Trusts and MFF year'!$C$1:$C$24,'Merged Trusts and MFF year'!$A$1:$A$24,$B225,'Merged Trusts and MFF year'!$D$1:$D$24,"2016-17")=0,Q225,SUMIFS('Merged Trusts and MFF year'!$C$1:$C$24,'Merged Trusts and MFF year'!$A$1:$A$24,$B225,'Merged Trusts and MFF year'!$D$1:$D$24,"2016-17"))</f>
        <v>1.0646832127893147</v>
      </c>
      <c r="T225" s="504">
        <f t="shared" ca="1" si="50"/>
        <v>0</v>
      </c>
      <c r="U225" s="459"/>
    </row>
    <row r="226" spans="1:21" ht="12.75" customHeight="1" x14ac:dyDescent="0.2">
      <c r="A226" s="171" t="s">
        <v>1167</v>
      </c>
      <c r="B226" s="172" t="s">
        <v>612</v>
      </c>
      <c r="C226" s="172" t="s">
        <v>613</v>
      </c>
      <c r="D226" s="175">
        <f>INDEX('Base MFF calcs'!$I$7:$I$258,MATCH($B226,'Base MFF calcs'!$B$7:$B$258,0),1)</f>
        <v>1.1243142215402913</v>
      </c>
      <c r="E226" s="176">
        <f ca="1">D226/MIN('Base MFF calcs'!$I$7:$I$258)</f>
        <v>1.2137368825184183</v>
      </c>
      <c r="F226" s="176">
        <v>1.2181200000000001</v>
      </c>
      <c r="G226" s="511">
        <f t="shared" ca="1" si="51"/>
        <v>-3.5982641132087378E-3</v>
      </c>
      <c r="H226" s="174">
        <f t="shared" ca="1" si="52"/>
        <v>1.2137368825184183</v>
      </c>
      <c r="I226" s="501">
        <v>1.2137369999999998</v>
      </c>
      <c r="J226" s="177"/>
      <c r="K226" s="173">
        <f t="shared" ca="1" si="53"/>
        <v>1.2137368825184183</v>
      </c>
      <c r="L226" s="508">
        <f t="shared" ca="1" si="54"/>
        <v>0</v>
      </c>
      <c r="M226" s="174">
        <f t="shared" ca="1" si="55"/>
        <v>1.2137368825184183</v>
      </c>
      <c r="N226" s="174">
        <f ca="1">IF(SUMIFS('Merged Trusts and MFF year'!$C$1:$C$24,'Merged Trusts and MFF year'!$A$1:$A$24,$B226,'Merged Trusts and MFF year'!$D$1:$D$24,"2013-14")=0,M226,SUMIFS('Merged Trusts and MFF year'!$C$1:$C$24,'Merged Trusts and MFF year'!$A$1:$A$24,$B226,'Merged Trusts and MFF year'!$D$1:$D$24,"2013-14"))</f>
        <v>1.2137368825184183</v>
      </c>
      <c r="O226" s="498">
        <f ca="1">IF(SUMIFS('Merged Trusts and MFF year'!$C$1:$C$24,'Merged Trusts and MFF year'!$A$1:$A$24,$B226,'Merged Trusts and MFF year'!$D$1:$D$24,"2014-15")=0,N226,SUMIFS('Merged Trusts and MFF year'!$C$1:$C$24,'Merged Trusts and MFF year'!$A$1:$A$24,$B226,'Merged Trusts and MFF year'!$D$1:$D$24,"2014-15"))</f>
        <v>1.2137368825184183</v>
      </c>
      <c r="P226" s="504">
        <f t="shared" ca="1" si="48"/>
        <v>0</v>
      </c>
      <c r="Q226" s="498">
        <f ca="1">IF(SUMIFS('Merged Trusts and MFF year'!$C$1:$C$24,'Merged Trusts and MFF year'!$A$1:$A$24,$B226,'Merged Trusts and MFF year'!$D$1:$D$24,"2015-16")=0,O226,SUMIFS('Merged Trusts and MFF year'!$C$1:$C$24,'Merged Trusts and MFF year'!$A$1:$A$24,$B226,'Merged Trusts and MFF year'!$D$1:$D$24,"2015-16"))</f>
        <v>1.2137368825184183</v>
      </c>
      <c r="R226" s="504">
        <f t="shared" ca="1" si="49"/>
        <v>0</v>
      </c>
      <c r="S226" s="498">
        <f ca="1">IF(SUMIFS('Merged Trusts and MFF year'!$C$1:$C$24,'Merged Trusts and MFF year'!$A$1:$A$24,$B226,'Merged Trusts and MFF year'!$D$1:$D$24,"2016-17")=0,Q226,SUMIFS('Merged Trusts and MFF year'!$C$1:$C$24,'Merged Trusts and MFF year'!$A$1:$A$24,$B226,'Merged Trusts and MFF year'!$D$1:$D$24,"2016-17"))</f>
        <v>1.2137368825184183</v>
      </c>
      <c r="T226" s="504">
        <f t="shared" ca="1" si="50"/>
        <v>0</v>
      </c>
      <c r="U226" s="459"/>
    </row>
    <row r="227" spans="1:21" ht="12.75" customHeight="1" x14ac:dyDescent="0.2">
      <c r="A227" s="171" t="s">
        <v>2133</v>
      </c>
      <c r="B227" s="172" t="s">
        <v>614</v>
      </c>
      <c r="C227" s="172" t="s">
        <v>3869</v>
      </c>
      <c r="D227" s="175">
        <f>INDEX('Base MFF calcs'!$I$7:$I$258,MATCH($B227,'Base MFF calcs'!$B$7:$B$258,0),1)</f>
        <v>0.96752700455048157</v>
      </c>
      <c r="E227" s="176">
        <f ca="1">D227/MIN('Base MFF calcs'!$I$7:$I$258)</f>
        <v>1.0444795482944993</v>
      </c>
      <c r="F227" s="176">
        <v>1.0444800000000001</v>
      </c>
      <c r="G227" s="511">
        <f t="shared" ca="1" si="51"/>
        <v>-4.3246926773043981E-7</v>
      </c>
      <c r="H227" s="174">
        <f t="shared" ca="1" si="52"/>
        <v>1.0444795482944993</v>
      </c>
      <c r="I227" s="501">
        <v>1.0444799999999999</v>
      </c>
      <c r="J227" s="177"/>
      <c r="K227" s="173">
        <f t="shared" ca="1" si="53"/>
        <v>1.0444795482944993</v>
      </c>
      <c r="L227" s="508">
        <f t="shared" ca="1" si="54"/>
        <v>0</v>
      </c>
      <c r="M227" s="174">
        <f t="shared" ca="1" si="55"/>
        <v>1.0444795482944993</v>
      </c>
      <c r="N227" s="174">
        <f ca="1">IF(SUMIFS('Merged Trusts and MFF year'!$C$1:$C$24,'Merged Trusts and MFF year'!$A$1:$A$24,$B227,'Merged Trusts and MFF year'!$D$1:$D$24,"2013-14")=0,M227,SUMIFS('Merged Trusts and MFF year'!$C$1:$C$24,'Merged Trusts and MFF year'!$A$1:$A$24,$B227,'Merged Trusts and MFF year'!$D$1:$D$24,"2013-14"))</f>
        <v>1.0444795482944993</v>
      </c>
      <c r="O227" s="498">
        <f ca="1">IF(SUMIFS('Merged Trusts and MFF year'!$C$1:$C$24,'Merged Trusts and MFF year'!$A$1:$A$24,$B227,'Merged Trusts and MFF year'!$D$1:$D$24,"2014-15")=0,N227,SUMIFS('Merged Trusts and MFF year'!$C$1:$C$24,'Merged Trusts and MFF year'!$A$1:$A$24,$B227,'Merged Trusts and MFF year'!$D$1:$D$24,"2014-15"))</f>
        <v>1.0444795482944993</v>
      </c>
      <c r="P227" s="504">
        <f t="shared" ca="1" si="48"/>
        <v>0</v>
      </c>
      <c r="Q227" s="498">
        <f ca="1">IF(SUMIFS('Merged Trusts and MFF year'!$C$1:$C$24,'Merged Trusts and MFF year'!$A$1:$A$24,$B227,'Merged Trusts and MFF year'!$D$1:$D$24,"2015-16")=0,O227,SUMIFS('Merged Trusts and MFF year'!$C$1:$C$24,'Merged Trusts and MFF year'!$A$1:$A$24,$B227,'Merged Trusts and MFF year'!$D$1:$D$24,"2015-16"))</f>
        <v>1.0444795482944993</v>
      </c>
      <c r="R227" s="504">
        <f t="shared" ca="1" si="49"/>
        <v>0</v>
      </c>
      <c r="S227" s="498">
        <f ca="1">IF(SUMIFS('Merged Trusts and MFF year'!$C$1:$C$24,'Merged Trusts and MFF year'!$A$1:$A$24,$B227,'Merged Trusts and MFF year'!$D$1:$D$24,"2016-17")=0,Q227,SUMIFS('Merged Trusts and MFF year'!$C$1:$C$24,'Merged Trusts and MFF year'!$A$1:$A$24,$B227,'Merged Trusts and MFF year'!$D$1:$D$24,"2016-17"))</f>
        <v>1.0444795482944993</v>
      </c>
      <c r="T227" s="504">
        <f t="shared" ca="1" si="50"/>
        <v>0</v>
      </c>
      <c r="U227" s="459"/>
    </row>
    <row r="228" spans="1:21" ht="12.75" customHeight="1" x14ac:dyDescent="0.2">
      <c r="A228" s="171" t="s">
        <v>2133</v>
      </c>
      <c r="B228" s="172" t="s">
        <v>3870</v>
      </c>
      <c r="C228" s="172" t="s">
        <v>3075</v>
      </c>
      <c r="D228" s="175">
        <f>INDEX('Base MFF calcs'!$I$7:$I$258,MATCH($B228,'Base MFF calcs'!$B$7:$B$258,0),1)</f>
        <v>0.95792436480549936</v>
      </c>
      <c r="E228" s="176">
        <f ca="1">D228/MIN('Base MFF calcs'!$I$7:$I$258)</f>
        <v>1.0341131597843061</v>
      </c>
      <c r="F228" s="176">
        <v>1.0341130000000001</v>
      </c>
      <c r="G228" s="511">
        <f t="shared" ca="1" si="51"/>
        <v>1.5451339074878945E-7</v>
      </c>
      <c r="H228" s="174">
        <f t="shared" ca="1" si="52"/>
        <v>1.0341131597843061</v>
      </c>
      <c r="I228" s="501">
        <v>1.0341130000000001</v>
      </c>
      <c r="J228" s="177"/>
      <c r="K228" s="173">
        <f t="shared" ca="1" si="53"/>
        <v>1.0341131597843061</v>
      </c>
      <c r="L228" s="508">
        <f t="shared" ca="1" si="54"/>
        <v>0</v>
      </c>
      <c r="M228" s="174">
        <f t="shared" ca="1" si="55"/>
        <v>1.0341131597843061</v>
      </c>
      <c r="N228" s="174">
        <f ca="1">IF(SUMIFS('Merged Trusts and MFF year'!$C$1:$C$24,'Merged Trusts and MFF year'!$A$1:$A$24,$B228,'Merged Trusts and MFF year'!$D$1:$D$24,"2013-14")=0,M228,SUMIFS('Merged Trusts and MFF year'!$C$1:$C$24,'Merged Trusts and MFF year'!$A$1:$A$24,$B228,'Merged Trusts and MFF year'!$D$1:$D$24,"2013-14"))</f>
        <v>1.0341131597843061</v>
      </c>
      <c r="O228" s="498">
        <f ca="1">IF(SUMIFS('Merged Trusts and MFF year'!$C$1:$C$24,'Merged Trusts and MFF year'!$A$1:$A$24,$B228,'Merged Trusts and MFF year'!$D$1:$D$24,"2014-15")=0,N228,SUMIFS('Merged Trusts and MFF year'!$C$1:$C$24,'Merged Trusts and MFF year'!$A$1:$A$24,$B228,'Merged Trusts and MFF year'!$D$1:$D$24,"2014-15"))</f>
        <v>1.0341131597843061</v>
      </c>
      <c r="P228" s="504">
        <f t="shared" ca="1" si="48"/>
        <v>0</v>
      </c>
      <c r="Q228" s="498">
        <f ca="1">IF(SUMIFS('Merged Trusts and MFF year'!$C$1:$C$24,'Merged Trusts and MFF year'!$A$1:$A$24,$B228,'Merged Trusts and MFF year'!$D$1:$D$24,"2015-16")=0,O228,SUMIFS('Merged Trusts and MFF year'!$C$1:$C$24,'Merged Trusts and MFF year'!$A$1:$A$24,$B228,'Merged Trusts and MFF year'!$D$1:$D$24,"2015-16"))</f>
        <v>1.0343565793093397</v>
      </c>
      <c r="R228" s="504">
        <f t="shared" ca="1" si="49"/>
        <v>2.353896406117606E-4</v>
      </c>
      <c r="S228" s="498">
        <f ca="1">IF(SUMIFS('Merged Trusts and MFF year'!$C$1:$C$24,'Merged Trusts and MFF year'!$A$1:$A$24,$B228,'Merged Trusts and MFF year'!$D$1:$D$24,"2016-17")=0,Q228,SUMIFS('Merged Trusts and MFF year'!$C$1:$C$24,'Merged Trusts and MFF year'!$A$1:$A$24,$B228,'Merged Trusts and MFF year'!$D$1:$D$24,"2016-17"))</f>
        <v>1.0343565793093397</v>
      </c>
      <c r="T228" s="504">
        <f t="shared" ca="1" si="50"/>
        <v>0</v>
      </c>
      <c r="U228" s="459" t="s">
        <v>4223</v>
      </c>
    </row>
    <row r="229" spans="1:21" s="161" customFormat="1" x14ac:dyDescent="0.2">
      <c r="A229" s="171" t="s">
        <v>2975</v>
      </c>
      <c r="B229" s="172" t="s">
        <v>3872</v>
      </c>
      <c r="C229" s="172" t="s">
        <v>3873</v>
      </c>
      <c r="D229" s="175">
        <f>INDEX('Base MFF calcs'!$I$7:$I$258,MATCH($B229,'Base MFF calcs'!$B$7:$B$258,0),1)</f>
        <v>0.96368967888266099</v>
      </c>
      <c r="E229" s="176">
        <f ca="1">D229/MIN('Base MFF calcs'!$I$7:$I$258)</f>
        <v>1.0403370198055437</v>
      </c>
      <c r="F229" s="176">
        <v>1.0403370000000001</v>
      </c>
      <c r="G229" s="511">
        <f t="shared" ca="1" si="51"/>
        <v>1.9037623033568707E-8</v>
      </c>
      <c r="H229" s="174">
        <f t="shared" ca="1" si="52"/>
        <v>1.0403370198055437</v>
      </c>
      <c r="I229" s="501">
        <v>1.0403369999999998</v>
      </c>
      <c r="J229" s="484"/>
      <c r="K229" s="173">
        <f t="shared" ca="1" si="53"/>
        <v>1.0403370198055437</v>
      </c>
      <c r="L229" s="508">
        <f t="shared" ca="1" si="54"/>
        <v>0</v>
      </c>
      <c r="M229" s="174">
        <f t="shared" ca="1" si="55"/>
        <v>1.0403370198055437</v>
      </c>
      <c r="N229" s="174">
        <f ca="1">IF(SUMIFS('Merged Trusts and MFF year'!$C$1:$C$24,'Merged Trusts and MFF year'!$A$1:$A$24,$B229,'Merged Trusts and MFF year'!$D$1:$D$24,"2013-14")=0,M229,SUMIFS('Merged Trusts and MFF year'!$C$1:$C$24,'Merged Trusts and MFF year'!$A$1:$A$24,$B229,'Merged Trusts and MFF year'!$D$1:$D$24,"2013-14"))</f>
        <v>1.0403370198055437</v>
      </c>
      <c r="O229" s="498">
        <f ca="1">IF(SUMIFS('Merged Trusts and MFF year'!$C$1:$C$24,'Merged Trusts and MFF year'!$A$1:$A$24,$B229,'Merged Trusts and MFF year'!$D$1:$D$24,"2014-15")=0,N229,SUMIFS('Merged Trusts and MFF year'!$C$1:$C$24,'Merged Trusts and MFF year'!$A$1:$A$24,$B229,'Merged Trusts and MFF year'!$D$1:$D$24,"2014-15"))</f>
        <v>1.0403370198055437</v>
      </c>
      <c r="P229" s="504">
        <f t="shared" ca="1" si="48"/>
        <v>0</v>
      </c>
      <c r="Q229" s="498">
        <f ca="1">IF(SUMIFS('Merged Trusts and MFF year'!$C$1:$C$24,'Merged Trusts and MFF year'!$A$1:$A$24,$B229,'Merged Trusts and MFF year'!$D$1:$D$24,"2015-16")=0,O229,SUMIFS('Merged Trusts and MFF year'!$C$1:$C$24,'Merged Trusts and MFF year'!$A$1:$A$24,$B229,'Merged Trusts and MFF year'!$D$1:$D$24,"2015-16"))</f>
        <v>1.0403370198055437</v>
      </c>
      <c r="R229" s="504">
        <f t="shared" ca="1" si="49"/>
        <v>0</v>
      </c>
      <c r="S229" s="498">
        <f ca="1">IF(SUMIFS('Merged Trusts and MFF year'!$C$1:$C$24,'Merged Trusts and MFF year'!$A$1:$A$24,$B229,'Merged Trusts and MFF year'!$D$1:$D$24,"2016-17")=0,Q229,SUMIFS('Merged Trusts and MFF year'!$C$1:$C$24,'Merged Trusts and MFF year'!$A$1:$A$24,$B229,'Merged Trusts and MFF year'!$D$1:$D$24,"2016-17"))</f>
        <v>1.0403370198055437</v>
      </c>
      <c r="T229" s="504">
        <f t="shared" ca="1" si="50"/>
        <v>0</v>
      </c>
      <c r="U229" s="459"/>
    </row>
    <row r="230" spans="1:21" s="161" customFormat="1" x14ac:dyDescent="0.2">
      <c r="A230" s="484" t="s">
        <v>1167</v>
      </c>
      <c r="B230" s="460" t="s">
        <v>3874</v>
      </c>
      <c r="C230" s="460" t="s">
        <v>3875</v>
      </c>
      <c r="D230" s="478">
        <f>INDEX('Base MFF calcs'!$I$7:$I$258,MATCH($B230,'Base MFF calcs'!$B$7:$B$258,0),1)</f>
        <v>1.1239750037138911</v>
      </c>
      <c r="E230" s="461">
        <f ca="1">D230/MIN('Base MFF calcs'!$I$7:$I$258)</f>
        <v>1.2133706849028216</v>
      </c>
      <c r="F230" s="461">
        <v>1.2498039999999999</v>
      </c>
      <c r="G230" s="510">
        <f t="shared" ca="1" si="51"/>
        <v>-2.9151222989507342E-2</v>
      </c>
      <c r="H230" s="173">
        <f t="shared" ca="1" si="52"/>
        <v>1.2248079199999999</v>
      </c>
      <c r="I230" s="500">
        <v>1.2248079999999999</v>
      </c>
      <c r="J230" s="484"/>
      <c r="K230" s="173">
        <f t="shared" ca="1" si="53"/>
        <v>1.2133706849028216</v>
      </c>
      <c r="L230" s="508">
        <f t="shared" ca="1" si="54"/>
        <v>-9.3379826423545254E-3</v>
      </c>
      <c r="M230" s="174">
        <f t="shared" ca="1" si="55"/>
        <v>1.2133706849028216</v>
      </c>
      <c r="N230" s="174">
        <f ca="1">IF(SUMIFS('Merged Trusts and MFF year'!$C$1:$C$24,'Merged Trusts and MFF year'!$A$1:$A$24,$B230,'Merged Trusts and MFF year'!$D$1:$D$24,"2013-14")=0,M230,SUMIFS('Merged Trusts and MFF year'!$C$1:$C$24,'Merged Trusts and MFF year'!$A$1:$A$24,$B230,'Merged Trusts and MFF year'!$D$1:$D$24,"2013-14"))</f>
        <v>1.2133706849028216</v>
      </c>
      <c r="O230" s="498">
        <f ca="1">IF(SUMIFS('Merged Trusts and MFF year'!$C$1:$C$24,'Merged Trusts and MFF year'!$A$1:$A$24,$B230,'Merged Trusts and MFF year'!$D$1:$D$24,"2014-15")=0,N230,SUMIFS('Merged Trusts and MFF year'!$C$1:$C$24,'Merged Trusts and MFF year'!$A$1:$A$24,$B230,'Merged Trusts and MFF year'!$D$1:$D$24,"2014-15"))</f>
        <v>1.2133706849028216</v>
      </c>
      <c r="P230" s="504">
        <f t="shared" ca="1" si="48"/>
        <v>0</v>
      </c>
      <c r="Q230" s="498">
        <f ca="1">IF(SUMIFS('Merged Trusts and MFF year'!$C$1:$C$24,'Merged Trusts and MFF year'!$A$1:$A$24,$B230,'Merged Trusts and MFF year'!$D$1:$D$24,"2015-16")=0,O230,SUMIFS('Merged Trusts and MFF year'!$C$1:$C$24,'Merged Trusts and MFF year'!$A$1:$A$24,$B230,'Merged Trusts and MFF year'!$D$1:$D$24,"2015-16"))</f>
        <v>1.2133706849028216</v>
      </c>
      <c r="R230" s="504">
        <f t="shared" ca="1" si="49"/>
        <v>0</v>
      </c>
      <c r="S230" s="498">
        <f ca="1">IF(SUMIFS('Merged Trusts and MFF year'!$C$1:$C$24,'Merged Trusts and MFF year'!$A$1:$A$24,$B230,'Merged Trusts and MFF year'!$D$1:$D$24,"2016-17")=0,Q230,SUMIFS('Merged Trusts and MFF year'!$C$1:$C$24,'Merged Trusts and MFF year'!$A$1:$A$24,$B230,'Merged Trusts and MFF year'!$D$1:$D$24,"2016-17"))</f>
        <v>1.2133706849028216</v>
      </c>
      <c r="T230" s="504">
        <f t="shared" ca="1" si="50"/>
        <v>0</v>
      </c>
      <c r="U230" s="462"/>
    </row>
    <row r="231" spans="1:21" s="161" customFormat="1" ht="33.75" x14ac:dyDescent="0.2">
      <c r="A231" s="468" t="s">
        <v>3528</v>
      </c>
      <c r="B231" s="468" t="s">
        <v>3514</v>
      </c>
      <c r="C231" s="468" t="s">
        <v>1177</v>
      </c>
      <c r="D231" s="469">
        <f>INDEX('Base MFF calcs'!$I$7:$I$258,MATCH($B231,'Base MFF calcs'!$B$7:$B$258,0),1)</f>
        <v>0.93687140373637767</v>
      </c>
      <c r="E231" s="469">
        <f ca="1">D231/MIN('Base MFF calcs'!$I$7:$I$258)</f>
        <v>1.0113857452890855</v>
      </c>
      <c r="F231" s="469"/>
      <c r="G231" s="512">
        <f t="shared" si="51"/>
        <v>0</v>
      </c>
      <c r="H231" s="469">
        <f t="shared" ca="1" si="52"/>
        <v>1.0113857452890855</v>
      </c>
      <c r="I231" s="502" t="s">
        <v>1176</v>
      </c>
      <c r="J231" s="468"/>
      <c r="K231" s="173">
        <f t="shared" ca="1" si="53"/>
        <v>1.0113857452890855</v>
      </c>
      <c r="L231" s="508">
        <f t="shared" ca="1" si="54"/>
        <v>0</v>
      </c>
      <c r="M231" s="174">
        <f t="shared" ca="1" si="55"/>
        <v>1.0113857452890855</v>
      </c>
      <c r="N231" s="174">
        <f ca="1">IF(SUMIFS('Merged Trusts and MFF year'!$C$1:$C$24,'Merged Trusts and MFF year'!$A$1:$A$24,$B231,'Merged Trusts and MFF year'!$D$1:$D$24,"2013-14")=0,M231,SUMIFS('Merged Trusts and MFF year'!$C$1:$C$24,'Merged Trusts and MFF year'!$A$1:$A$24,$B231,'Merged Trusts and MFF year'!$D$1:$D$24,"2013-14"))</f>
        <v>1.0113857452890855</v>
      </c>
      <c r="O231" s="498">
        <f ca="1">IF(SUMIFS('Merged Trusts and MFF year'!$C$1:$C$24,'Merged Trusts and MFF year'!$A$1:$A$24,$B231,'Merged Trusts and MFF year'!$D$1:$D$24,"2014-15")=0,N231,SUMIFS('Merged Trusts and MFF year'!$C$1:$C$24,'Merged Trusts and MFF year'!$A$1:$A$24,$B231,'Merged Trusts and MFF year'!$D$1:$D$24,"2014-15"))</f>
        <v>1.0113857452890855</v>
      </c>
      <c r="P231" s="504">
        <f t="shared" ca="1" si="48"/>
        <v>0</v>
      </c>
      <c r="Q231" s="498">
        <f ca="1">IF(SUMIFS('Merged Trusts and MFF year'!$C$1:$C$24,'Merged Trusts and MFF year'!$A$1:$A$24,$B231,'Merged Trusts and MFF year'!$D$1:$D$24,"2015-16")=0,O231,SUMIFS('Merged Trusts and MFF year'!$C$1:$C$24,'Merged Trusts and MFF year'!$A$1:$A$24,$B231,'Merged Trusts and MFF year'!$D$1:$D$24,"2015-16"))</f>
        <v>1.0113857452890855</v>
      </c>
      <c r="R231" s="504">
        <f t="shared" ca="1" si="49"/>
        <v>0</v>
      </c>
      <c r="S231" s="498">
        <f ca="1">IF(SUMIFS('Merged Trusts and MFF year'!$C$1:$C$24,'Merged Trusts and MFF year'!$A$1:$A$24,$B231,'Merged Trusts and MFF year'!$D$1:$D$24,"2016-17")=0,Q231,SUMIFS('Merged Trusts and MFF year'!$C$1:$C$24,'Merged Trusts and MFF year'!$A$1:$A$24,$B231,'Merged Trusts and MFF year'!$D$1:$D$24,"2016-17"))</f>
        <v>1.0113857452890855</v>
      </c>
      <c r="T231" s="504">
        <f t="shared" ca="1" si="50"/>
        <v>0</v>
      </c>
      <c r="U231" s="459" t="s">
        <v>4212</v>
      </c>
    </row>
    <row r="232" spans="1:21" s="161" customFormat="1" ht="12.75" customHeight="1" x14ac:dyDescent="0.2">
      <c r="A232" s="171" t="s">
        <v>3069</v>
      </c>
      <c r="B232" s="172" t="s">
        <v>3876</v>
      </c>
      <c r="C232" s="172" t="s">
        <v>3877</v>
      </c>
      <c r="D232" s="175">
        <f>INDEX('Base MFF calcs'!$I$7:$I$258,MATCH($B232,'Base MFF calcs'!$B$7:$B$258,0),1)</f>
        <v>0.93944562916406671</v>
      </c>
      <c r="E232" s="176">
        <f ca="1">D232/MIN('Base MFF calcs'!$I$7:$I$258)</f>
        <v>1.0141647124902853</v>
      </c>
      <c r="F232" s="176">
        <v>1.014165</v>
      </c>
      <c r="G232" s="511">
        <f t="shared" ca="1" si="51"/>
        <v>-2.8349402192429096E-7</v>
      </c>
      <c r="H232" s="174">
        <f t="shared" ca="1" si="52"/>
        <v>1.0141647124902853</v>
      </c>
      <c r="I232" s="501">
        <v>1.014165</v>
      </c>
      <c r="J232" s="171"/>
      <c r="K232" s="173">
        <f t="shared" ca="1" si="53"/>
        <v>1.0141647124902853</v>
      </c>
      <c r="L232" s="508">
        <f t="shared" ca="1" si="54"/>
        <v>0</v>
      </c>
      <c r="M232" s="174">
        <f t="shared" ca="1" si="55"/>
        <v>1.0141647124902853</v>
      </c>
      <c r="N232" s="174">
        <f ca="1">IF(SUMIFS('Merged Trusts and MFF year'!$C$1:$C$24,'Merged Trusts and MFF year'!$A$1:$A$24,$B232,'Merged Trusts and MFF year'!$D$1:$D$24,"2013-14")=0,M232,SUMIFS('Merged Trusts and MFF year'!$C$1:$C$24,'Merged Trusts and MFF year'!$A$1:$A$24,$B232,'Merged Trusts and MFF year'!$D$1:$D$24,"2013-14"))</f>
        <v>1.0141647124902853</v>
      </c>
      <c r="O232" s="498">
        <f ca="1">IF(SUMIFS('Merged Trusts and MFF year'!$C$1:$C$24,'Merged Trusts and MFF year'!$A$1:$A$24,$B232,'Merged Trusts and MFF year'!$D$1:$D$24,"2014-15")=0,N232,SUMIFS('Merged Trusts and MFF year'!$C$1:$C$24,'Merged Trusts and MFF year'!$A$1:$A$24,$B232,'Merged Trusts and MFF year'!$D$1:$D$24,"2014-15"))</f>
        <v>1.0141647124902853</v>
      </c>
      <c r="P232" s="504">
        <f t="shared" ca="1" si="48"/>
        <v>0</v>
      </c>
      <c r="Q232" s="498">
        <f ca="1">IF(SUMIFS('Merged Trusts and MFF year'!$C$1:$C$24,'Merged Trusts and MFF year'!$A$1:$A$24,$B232,'Merged Trusts and MFF year'!$D$1:$D$24,"2015-16")=0,O232,SUMIFS('Merged Trusts and MFF year'!$C$1:$C$24,'Merged Trusts and MFF year'!$A$1:$A$24,$B232,'Merged Trusts and MFF year'!$D$1:$D$24,"2015-16"))</f>
        <v>1.0141647124902853</v>
      </c>
      <c r="R232" s="504">
        <f t="shared" ca="1" si="49"/>
        <v>0</v>
      </c>
      <c r="S232" s="498">
        <f ca="1">IF(SUMIFS('Merged Trusts and MFF year'!$C$1:$C$24,'Merged Trusts and MFF year'!$A$1:$A$24,$B232,'Merged Trusts and MFF year'!$D$1:$D$24,"2016-17")=0,Q232,SUMIFS('Merged Trusts and MFF year'!$C$1:$C$24,'Merged Trusts and MFF year'!$A$1:$A$24,$B232,'Merged Trusts and MFF year'!$D$1:$D$24,"2016-17"))</f>
        <v>1.0141647124902853</v>
      </c>
      <c r="T232" s="504">
        <f t="shared" ca="1" si="50"/>
        <v>0</v>
      </c>
      <c r="U232" s="459"/>
    </row>
    <row r="233" spans="1:21" s="161" customFormat="1" x14ac:dyDescent="0.2">
      <c r="A233" s="171" t="s">
        <v>1167</v>
      </c>
      <c r="B233" s="172" t="s">
        <v>3878</v>
      </c>
      <c r="C233" s="172" t="s">
        <v>3879</v>
      </c>
      <c r="D233" s="175">
        <f>INDEX('Base MFF calcs'!$I$7:$I$258,MATCH($B233,'Base MFF calcs'!$B$7:$B$258,0),1)</f>
        <v>1.2020054538029976</v>
      </c>
      <c r="E233" s="176">
        <f ca="1">D233/MIN('Base MFF calcs'!$I$7:$I$258)</f>
        <v>1.2976073096987901</v>
      </c>
      <c r="F233" s="176">
        <v>1.297607</v>
      </c>
      <c r="G233" s="511">
        <f t="shared" ca="1" si="51"/>
        <v>2.3866917353565498E-7</v>
      </c>
      <c r="H233" s="174">
        <f t="shared" ca="1" si="52"/>
        <v>1.2976073096987901</v>
      </c>
      <c r="I233" s="501">
        <v>1.297607</v>
      </c>
      <c r="J233" s="171"/>
      <c r="K233" s="173">
        <f t="shared" ca="1" si="53"/>
        <v>1.2976073096987901</v>
      </c>
      <c r="L233" s="508">
        <f t="shared" ca="1" si="54"/>
        <v>0</v>
      </c>
      <c r="M233" s="174">
        <f t="shared" ca="1" si="55"/>
        <v>1.2976073096987901</v>
      </c>
      <c r="N233" s="174">
        <f ca="1">IF(SUMIFS('Merged Trusts and MFF year'!$C$1:$C$24,'Merged Trusts and MFF year'!$A$1:$A$24,$B233,'Merged Trusts and MFF year'!$D$1:$D$24,"2013-14")=0,M233,SUMIFS('Merged Trusts and MFF year'!$C$1:$C$24,'Merged Trusts and MFF year'!$A$1:$A$24,$B233,'Merged Trusts and MFF year'!$D$1:$D$24,"2013-14"))</f>
        <v>1.2976073096987901</v>
      </c>
      <c r="O233" s="498">
        <f ca="1">IF(SUMIFS('Merged Trusts and MFF year'!$C$1:$C$24,'Merged Trusts and MFF year'!$A$1:$A$24,$B233,'Merged Trusts and MFF year'!$D$1:$D$24,"2014-15")=0,N233,SUMIFS('Merged Trusts and MFF year'!$C$1:$C$24,'Merged Trusts and MFF year'!$A$1:$A$24,$B233,'Merged Trusts and MFF year'!$D$1:$D$24,"2014-15"))</f>
        <v>1.2976073096987901</v>
      </c>
      <c r="P233" s="504">
        <f t="shared" ca="1" si="48"/>
        <v>0</v>
      </c>
      <c r="Q233" s="498">
        <f ca="1">IF(SUMIFS('Merged Trusts and MFF year'!$C$1:$C$24,'Merged Trusts and MFF year'!$A$1:$A$24,$B233,'Merged Trusts and MFF year'!$D$1:$D$24,"2015-16")=0,O233,SUMIFS('Merged Trusts and MFF year'!$C$1:$C$24,'Merged Trusts and MFF year'!$A$1:$A$24,$B233,'Merged Trusts and MFF year'!$D$1:$D$24,"2015-16"))</f>
        <v>1.2976073096987901</v>
      </c>
      <c r="R233" s="504">
        <f t="shared" ca="1" si="49"/>
        <v>0</v>
      </c>
      <c r="S233" s="498">
        <f ca="1">IF(SUMIFS('Merged Trusts and MFF year'!$C$1:$C$24,'Merged Trusts and MFF year'!$A$1:$A$24,$B233,'Merged Trusts and MFF year'!$D$1:$D$24,"2016-17")=0,Q233,SUMIFS('Merged Trusts and MFF year'!$C$1:$C$24,'Merged Trusts and MFF year'!$A$1:$A$24,$B233,'Merged Trusts and MFF year'!$D$1:$D$24,"2016-17"))</f>
        <v>1.2976073096987901</v>
      </c>
      <c r="T233" s="504">
        <f t="shared" ca="1" si="50"/>
        <v>0</v>
      </c>
      <c r="U233" s="459"/>
    </row>
    <row r="234" spans="1:21" s="161" customFormat="1" ht="33.75" x14ac:dyDescent="0.2">
      <c r="A234" s="171" t="s">
        <v>2133</v>
      </c>
      <c r="B234" s="172" t="s">
        <v>3882</v>
      </c>
      <c r="C234" s="172" t="s">
        <v>3901</v>
      </c>
      <c r="D234" s="175">
        <f>INDEX('Base MFF calcs'!$I$7:$I$258,MATCH($B234,'Base MFF calcs'!$B$7:$B$258,0),1)</f>
        <v>0.94872346800388141</v>
      </c>
      <c r="E234" s="176">
        <f ca="1">D234/MIN('Base MFF calcs'!$I$7:$I$258)</f>
        <v>1.0241804669601682</v>
      </c>
      <c r="F234" s="176">
        <v>1.0241800000000001</v>
      </c>
      <c r="G234" s="511">
        <f t="shared" ca="1" si="51"/>
        <v>4.559356441280471E-7</v>
      </c>
      <c r="H234" s="174">
        <f t="shared" ca="1" si="52"/>
        <v>1.0241804669601682</v>
      </c>
      <c r="I234" s="501">
        <v>1.0241799999999999</v>
      </c>
      <c r="J234" s="171"/>
      <c r="K234" s="173">
        <f t="shared" ca="1" si="53"/>
        <v>1.0241804669601682</v>
      </c>
      <c r="L234" s="508">
        <f t="shared" ca="1" si="54"/>
        <v>0</v>
      </c>
      <c r="M234" s="174">
        <f t="shared" ca="1" si="55"/>
        <v>1.0241804669601682</v>
      </c>
      <c r="N234" s="174">
        <f ca="1">IF(SUMIFS('Merged Trusts and MFF year'!$C$1:$C$24,'Merged Trusts and MFF year'!$A$1:$A$24,$B234,'Merged Trusts and MFF year'!$D$1:$D$24,"2013-14")=0,M234,SUMIFS('Merged Trusts and MFF year'!$C$1:$C$24,'Merged Trusts and MFF year'!$A$1:$A$24,$B234,'Merged Trusts and MFF year'!$D$1:$D$24,"2013-14"))</f>
        <v>1.0241804669601682</v>
      </c>
      <c r="O234" s="498">
        <f ca="1">IF(SUMIFS('Merged Trusts and MFF year'!$C$1:$C$24,'Merged Trusts and MFF year'!$A$1:$A$24,$B234,'Merged Trusts and MFF year'!$D$1:$D$24,"2014-15")=0,N234,SUMIFS('Merged Trusts and MFF year'!$C$1:$C$24,'Merged Trusts and MFF year'!$A$1:$A$24,$B234,'Merged Trusts and MFF year'!$D$1:$D$24,"2014-15"))</f>
        <v>1.0241804669601682</v>
      </c>
      <c r="P234" s="504">
        <f t="shared" ca="1" si="48"/>
        <v>0</v>
      </c>
      <c r="Q234" s="498">
        <f ca="1">IF(SUMIFS('Merged Trusts and MFF year'!$C$1:$C$24,'Merged Trusts and MFF year'!$A$1:$A$24,$B234,'Merged Trusts and MFF year'!$D$1:$D$24,"2015-16")=0,O234,SUMIFS('Merged Trusts and MFF year'!$C$1:$C$24,'Merged Trusts and MFF year'!$A$1:$A$24,$B234,'Merged Trusts and MFF year'!$D$1:$D$24,"2015-16"))</f>
        <v>1.0267022188505168</v>
      </c>
      <c r="R234" s="504">
        <f t="shared" ca="1" si="49"/>
        <v>2.4622143964856402E-3</v>
      </c>
      <c r="S234" s="498">
        <f ca="1">IF(SUMIFS('Merged Trusts and MFF year'!$C$1:$C$24,'Merged Trusts and MFF year'!$A$1:$A$24,$B234,'Merged Trusts and MFF year'!$D$1:$D$24,"2016-17")=0,Q234,SUMIFS('Merged Trusts and MFF year'!$C$1:$C$24,'Merged Trusts and MFF year'!$A$1:$A$24,$B234,'Merged Trusts and MFF year'!$D$1:$D$24,"2016-17"))</f>
        <v>1.0267022188505168</v>
      </c>
      <c r="T234" s="504">
        <f t="shared" ca="1" si="50"/>
        <v>0</v>
      </c>
      <c r="U234" s="459" t="s">
        <v>4224</v>
      </c>
    </row>
    <row r="235" spans="1:21" s="161" customFormat="1" x14ac:dyDescent="0.2">
      <c r="A235" s="171" t="s">
        <v>2975</v>
      </c>
      <c r="B235" s="172" t="s">
        <v>662</v>
      </c>
      <c r="C235" s="172" t="s">
        <v>663</v>
      </c>
      <c r="D235" s="175">
        <f>INDEX('Base MFF calcs'!$I$7:$I$258,MATCH($B235,'Base MFF calcs'!$B$7:$B$258,0),1)</f>
        <v>0.98130445421704393</v>
      </c>
      <c r="E235" s="176">
        <f ca="1">D235/MIN('Base MFF calcs'!$I$7:$I$258)</f>
        <v>1.0593527914563965</v>
      </c>
      <c r="F235" s="176">
        <v>1.059353</v>
      </c>
      <c r="G235" s="511">
        <f t="shared" ca="1" si="51"/>
        <v>-1.9685940710889582E-7</v>
      </c>
      <c r="H235" s="174">
        <f t="shared" ca="1" si="52"/>
        <v>1.0593527914563965</v>
      </c>
      <c r="I235" s="501">
        <v>1.059353</v>
      </c>
      <c r="J235" s="171"/>
      <c r="K235" s="173">
        <f t="shared" ca="1" si="53"/>
        <v>1.0593527914563965</v>
      </c>
      <c r="L235" s="508">
        <f t="shared" ca="1" si="54"/>
        <v>0</v>
      </c>
      <c r="M235" s="174">
        <f t="shared" ca="1" si="55"/>
        <v>1.0593527914563965</v>
      </c>
      <c r="N235" s="174">
        <f ca="1">IF(SUMIFS('Merged Trusts and MFF year'!$C$1:$C$24,'Merged Trusts and MFF year'!$A$1:$A$24,$B235,'Merged Trusts and MFF year'!$D$1:$D$24,"2013-14")=0,M235,SUMIFS('Merged Trusts and MFF year'!$C$1:$C$24,'Merged Trusts and MFF year'!$A$1:$A$24,$B235,'Merged Trusts and MFF year'!$D$1:$D$24,"2013-14"))</f>
        <v>1.0593527914563965</v>
      </c>
      <c r="O235" s="498">
        <f ca="1">IF(SUMIFS('Merged Trusts and MFF year'!$C$1:$C$24,'Merged Trusts and MFF year'!$A$1:$A$24,$B235,'Merged Trusts and MFF year'!$D$1:$D$24,"2014-15")=0,N235,SUMIFS('Merged Trusts and MFF year'!$C$1:$C$24,'Merged Trusts and MFF year'!$A$1:$A$24,$B235,'Merged Trusts and MFF year'!$D$1:$D$24,"2014-15"))</f>
        <v>1.0593527914563965</v>
      </c>
      <c r="P235" s="504">
        <f t="shared" ca="1" si="48"/>
        <v>0</v>
      </c>
      <c r="Q235" s="498">
        <f ca="1">IF(SUMIFS('Merged Trusts and MFF year'!$C$1:$C$24,'Merged Trusts and MFF year'!$A$1:$A$24,$B235,'Merged Trusts and MFF year'!$D$1:$D$24,"2015-16")=0,O235,SUMIFS('Merged Trusts and MFF year'!$C$1:$C$24,'Merged Trusts and MFF year'!$A$1:$A$24,$B235,'Merged Trusts and MFF year'!$D$1:$D$24,"2015-16"))</f>
        <v>1.0593527914563965</v>
      </c>
      <c r="R235" s="504">
        <f t="shared" ca="1" si="49"/>
        <v>0</v>
      </c>
      <c r="S235" s="498">
        <f ca="1">IF(SUMIFS('Merged Trusts and MFF year'!$C$1:$C$24,'Merged Trusts and MFF year'!$A$1:$A$24,$B235,'Merged Trusts and MFF year'!$D$1:$D$24,"2016-17")=0,Q235,SUMIFS('Merged Trusts and MFF year'!$C$1:$C$24,'Merged Trusts and MFF year'!$A$1:$A$24,$B235,'Merged Trusts and MFF year'!$D$1:$D$24,"2016-17"))</f>
        <v>1.0593527914563965</v>
      </c>
      <c r="T235" s="504">
        <f t="shared" ca="1" si="50"/>
        <v>0</v>
      </c>
      <c r="U235" s="459"/>
    </row>
    <row r="236" spans="1:21" s="161" customFormat="1" x14ac:dyDescent="0.2">
      <c r="A236" s="171" t="s">
        <v>191</v>
      </c>
      <c r="B236" s="172" t="s">
        <v>567</v>
      </c>
      <c r="C236" s="468" t="s">
        <v>1297</v>
      </c>
      <c r="D236" s="175">
        <f>INDEX('Base MFF calcs'!$I$7:$I$258,MATCH($B236,'Base MFF calcs'!$B$7:$B$258,0),1)</f>
        <v>1.0074730961814631</v>
      </c>
      <c r="E236" s="176">
        <f ca="1">D236/MIN('Base MFF calcs'!$I$7:$I$258)</f>
        <v>1.0876027640255608</v>
      </c>
      <c r="F236" s="176">
        <v>1.0876030000000001</v>
      </c>
      <c r="G236" s="511">
        <f t="shared" ca="1" si="51"/>
        <v>-2.1696744056942663E-7</v>
      </c>
      <c r="H236" s="174">
        <f t="shared" ca="1" si="52"/>
        <v>1.0876027640255608</v>
      </c>
      <c r="I236" s="501">
        <v>1.0876029999999999</v>
      </c>
      <c r="J236" s="171"/>
      <c r="K236" s="173">
        <f t="shared" ca="1" si="53"/>
        <v>1.0876027640255608</v>
      </c>
      <c r="L236" s="508">
        <f t="shared" ca="1" si="54"/>
        <v>0</v>
      </c>
      <c r="M236" s="174">
        <f t="shared" ca="1" si="55"/>
        <v>1.0876027640255608</v>
      </c>
      <c r="N236" s="174">
        <f ca="1">IF(SUMIFS('Merged Trusts and MFF year'!$C$1:$C$24,'Merged Trusts and MFF year'!$A$1:$A$24,$B236,'Merged Trusts and MFF year'!$D$1:$D$24,"2013-14")=0,M236,SUMIFS('Merged Trusts and MFF year'!$C$1:$C$24,'Merged Trusts and MFF year'!$A$1:$A$24,$B236,'Merged Trusts and MFF year'!$D$1:$D$24,"2013-14"))</f>
        <v>1.0876027640255608</v>
      </c>
      <c r="O236" s="498">
        <f ca="1">IF(SUMIFS('Merged Trusts and MFF year'!$C$1:$C$24,'Merged Trusts and MFF year'!$A$1:$A$24,$B236,'Merged Trusts and MFF year'!$D$1:$D$24,"2014-15")=0,N236,SUMIFS('Merged Trusts and MFF year'!$C$1:$C$24,'Merged Trusts and MFF year'!$A$1:$A$24,$B236,'Merged Trusts and MFF year'!$D$1:$D$24,"2014-15"))</f>
        <v>1.0876027640255608</v>
      </c>
      <c r="P236" s="504">
        <f t="shared" ca="1" si="48"/>
        <v>0</v>
      </c>
      <c r="Q236" s="498">
        <f ca="1">IF(SUMIFS('Merged Trusts and MFF year'!$C$1:$C$24,'Merged Trusts and MFF year'!$A$1:$A$24,$B236,'Merged Trusts and MFF year'!$D$1:$D$24,"2015-16")=0,O236,SUMIFS('Merged Trusts and MFF year'!$C$1:$C$24,'Merged Trusts and MFF year'!$A$1:$A$24,$B236,'Merged Trusts and MFF year'!$D$1:$D$24,"2015-16"))</f>
        <v>1.0876027640255608</v>
      </c>
      <c r="R236" s="504">
        <f t="shared" ca="1" si="49"/>
        <v>0</v>
      </c>
      <c r="S236" s="498">
        <f ca="1">IF(SUMIFS('Merged Trusts and MFF year'!$C$1:$C$24,'Merged Trusts and MFF year'!$A$1:$A$24,$B236,'Merged Trusts and MFF year'!$D$1:$D$24,"2016-17")=0,Q236,SUMIFS('Merged Trusts and MFF year'!$C$1:$C$24,'Merged Trusts and MFF year'!$A$1:$A$24,$B236,'Merged Trusts and MFF year'!$D$1:$D$24,"2016-17"))</f>
        <v>1.0876027640255608</v>
      </c>
      <c r="T236" s="504">
        <f t="shared" ca="1" si="50"/>
        <v>0</v>
      </c>
      <c r="U236" s="464"/>
    </row>
    <row r="237" spans="1:21" s="161" customFormat="1" x14ac:dyDescent="0.2">
      <c r="A237" s="171" t="s">
        <v>2133</v>
      </c>
      <c r="B237" s="172" t="s">
        <v>3880</v>
      </c>
      <c r="C237" s="172" t="s">
        <v>652</v>
      </c>
      <c r="D237" s="175">
        <f>INDEX('Base MFF calcs'!$I$7:$I$258,MATCH($B237,'Base MFF calcs'!$B$7:$B$258,0),1)</f>
        <v>0.96788514322393859</v>
      </c>
      <c r="E237" s="176">
        <f ca="1">D237/MIN('Base MFF calcs'!$I$7:$I$258)</f>
        <v>1.0448661716322665</v>
      </c>
      <c r="F237" s="176">
        <v>1.0448660000000001</v>
      </c>
      <c r="G237" s="511">
        <f t="shared" ca="1" si="51"/>
        <v>1.6426246651768395E-7</v>
      </c>
      <c r="H237" s="174">
        <f t="shared" ca="1" si="52"/>
        <v>1.0448661716322665</v>
      </c>
      <c r="I237" s="501">
        <v>1.0448659999999999</v>
      </c>
      <c r="J237" s="171"/>
      <c r="K237" s="173">
        <f t="shared" ca="1" si="53"/>
        <v>1.0448661716322665</v>
      </c>
      <c r="L237" s="508">
        <f t="shared" ca="1" si="54"/>
        <v>0</v>
      </c>
      <c r="M237" s="174">
        <f t="shared" ca="1" si="55"/>
        <v>1.0448661716322665</v>
      </c>
      <c r="N237" s="174">
        <f ca="1">IF(SUMIFS('Merged Trusts and MFF year'!$C$1:$C$24,'Merged Trusts and MFF year'!$A$1:$A$24,$B237,'Merged Trusts and MFF year'!$D$1:$D$24,"2013-14")=0,M237,SUMIFS('Merged Trusts and MFF year'!$C$1:$C$24,'Merged Trusts and MFF year'!$A$1:$A$24,$B237,'Merged Trusts and MFF year'!$D$1:$D$24,"2013-14"))</f>
        <v>1.0448661716322665</v>
      </c>
      <c r="O237" s="498">
        <f ca="1">IF(SUMIFS('Merged Trusts and MFF year'!$C$1:$C$24,'Merged Trusts and MFF year'!$A$1:$A$24,$B237,'Merged Trusts and MFF year'!$D$1:$D$24,"2014-15")=0,N237,SUMIFS('Merged Trusts and MFF year'!$C$1:$C$24,'Merged Trusts and MFF year'!$A$1:$A$24,$B237,'Merged Trusts and MFF year'!$D$1:$D$24,"2014-15"))</f>
        <v>1.0448661716322665</v>
      </c>
      <c r="P237" s="504">
        <f t="shared" ca="1" si="48"/>
        <v>0</v>
      </c>
      <c r="Q237" s="498">
        <f ca="1">IF(SUMIFS('Merged Trusts and MFF year'!$C$1:$C$24,'Merged Trusts and MFF year'!$A$1:$A$24,$B237,'Merged Trusts and MFF year'!$D$1:$D$24,"2015-16")=0,O237,SUMIFS('Merged Trusts and MFF year'!$C$1:$C$24,'Merged Trusts and MFF year'!$A$1:$A$24,$B237,'Merged Trusts and MFF year'!$D$1:$D$24,"2015-16"))</f>
        <v>1.0448661716322665</v>
      </c>
      <c r="R237" s="504">
        <f t="shared" ca="1" si="49"/>
        <v>0</v>
      </c>
      <c r="S237" s="498">
        <f ca="1">IF(SUMIFS('Merged Trusts and MFF year'!$C$1:$C$24,'Merged Trusts and MFF year'!$A$1:$A$24,$B237,'Merged Trusts and MFF year'!$D$1:$D$24,"2016-17")=0,Q237,SUMIFS('Merged Trusts and MFF year'!$C$1:$C$24,'Merged Trusts and MFF year'!$A$1:$A$24,$B237,'Merged Trusts and MFF year'!$D$1:$D$24,"2016-17"))</f>
        <v>1.0448661716322665</v>
      </c>
      <c r="T237" s="504">
        <f t="shared" ca="1" si="50"/>
        <v>0</v>
      </c>
      <c r="U237" s="459"/>
    </row>
    <row r="238" spans="1:21" s="161" customFormat="1" x14ac:dyDescent="0.2">
      <c r="A238" s="171" t="s">
        <v>3528</v>
      </c>
      <c r="B238" s="172" t="s">
        <v>664</v>
      </c>
      <c r="C238" s="172" t="s">
        <v>665</v>
      </c>
      <c r="D238" s="175">
        <f>INDEX('Base MFF calcs'!$I$7:$I$258,MATCH($B238,'Base MFF calcs'!$B$7:$B$258,0),1)</f>
        <v>1.0041997814839629</v>
      </c>
      <c r="E238" s="176">
        <f ca="1">D238/MIN('Base MFF calcs'!$I$7:$I$258)</f>
        <v>1.0840691052846774</v>
      </c>
      <c r="F238" s="176">
        <v>1.0840689999999999</v>
      </c>
      <c r="G238" s="511">
        <f t="shared" ca="1" si="51"/>
        <v>9.7119904118869727E-8</v>
      </c>
      <c r="H238" s="174">
        <f t="shared" ca="1" si="52"/>
        <v>1.0840691052846774</v>
      </c>
      <c r="I238" s="501">
        <v>1.0840689999999999</v>
      </c>
      <c r="J238" s="171"/>
      <c r="K238" s="173">
        <f t="shared" ca="1" si="53"/>
        <v>1.0840691052846774</v>
      </c>
      <c r="L238" s="508">
        <f t="shared" ca="1" si="54"/>
        <v>0</v>
      </c>
      <c r="M238" s="174">
        <f t="shared" ca="1" si="55"/>
        <v>1.0840691052846774</v>
      </c>
      <c r="N238" s="174">
        <f ca="1">IF(SUMIFS('Merged Trusts and MFF year'!$C$1:$C$24,'Merged Trusts and MFF year'!$A$1:$A$24,$B238,'Merged Trusts and MFF year'!$D$1:$D$24,"2013-14")=0,M238,SUMIFS('Merged Trusts and MFF year'!$C$1:$C$24,'Merged Trusts and MFF year'!$A$1:$A$24,$B238,'Merged Trusts and MFF year'!$D$1:$D$24,"2013-14"))</f>
        <v>1.0840691052846774</v>
      </c>
      <c r="O238" s="498">
        <f ca="1">IF(SUMIFS('Merged Trusts and MFF year'!$C$1:$C$24,'Merged Trusts and MFF year'!$A$1:$A$24,$B238,'Merged Trusts and MFF year'!$D$1:$D$24,"2014-15")=0,N238,SUMIFS('Merged Trusts and MFF year'!$C$1:$C$24,'Merged Trusts and MFF year'!$A$1:$A$24,$B238,'Merged Trusts and MFF year'!$D$1:$D$24,"2014-15"))</f>
        <v>1.0840691052846774</v>
      </c>
      <c r="P238" s="504">
        <f t="shared" ca="1" si="48"/>
        <v>0</v>
      </c>
      <c r="Q238" s="498">
        <f ca="1">IF(SUMIFS('Merged Trusts and MFF year'!$C$1:$C$24,'Merged Trusts and MFF year'!$A$1:$A$24,$B238,'Merged Trusts and MFF year'!$D$1:$D$24,"2015-16")=0,O238,SUMIFS('Merged Trusts and MFF year'!$C$1:$C$24,'Merged Trusts and MFF year'!$A$1:$A$24,$B238,'Merged Trusts and MFF year'!$D$1:$D$24,"2015-16"))</f>
        <v>1.0840691052846774</v>
      </c>
      <c r="R238" s="504">
        <f t="shared" ca="1" si="49"/>
        <v>0</v>
      </c>
      <c r="S238" s="498">
        <f ca="1">IF(SUMIFS('Merged Trusts and MFF year'!$C$1:$C$24,'Merged Trusts and MFF year'!$A$1:$A$24,$B238,'Merged Trusts and MFF year'!$D$1:$D$24,"2016-17")=0,Q238,SUMIFS('Merged Trusts and MFF year'!$C$1:$C$24,'Merged Trusts and MFF year'!$A$1:$A$24,$B238,'Merged Trusts and MFF year'!$D$1:$D$24,"2016-17"))</f>
        <v>1.0840691052846774</v>
      </c>
      <c r="T238" s="504">
        <f t="shared" ca="1" si="50"/>
        <v>0</v>
      </c>
      <c r="U238" s="459"/>
    </row>
    <row r="239" spans="1:21" s="161" customFormat="1" x14ac:dyDescent="0.2">
      <c r="A239" s="171" t="s">
        <v>2133</v>
      </c>
      <c r="B239" s="172" t="s">
        <v>666</v>
      </c>
      <c r="C239" s="172" t="s">
        <v>667</v>
      </c>
      <c r="D239" s="175">
        <f>INDEX('Base MFF calcs'!$I$7:$I$258,MATCH($B239,'Base MFF calcs'!$B$7:$B$258,0),1)</f>
        <v>0.98062374494958537</v>
      </c>
      <c r="E239" s="176">
        <f ca="1">D239/MIN('Base MFF calcs'!$I$7:$I$258)</f>
        <v>1.0586179417779367</v>
      </c>
      <c r="F239" s="176">
        <v>1.0586180000000001</v>
      </c>
      <c r="G239" s="511">
        <f t="shared" ca="1" si="51"/>
        <v>-5.4998180121224038E-8</v>
      </c>
      <c r="H239" s="174">
        <f t="shared" ca="1" si="52"/>
        <v>1.0586179417779367</v>
      </c>
      <c r="I239" s="501">
        <v>1.0586180000000001</v>
      </c>
      <c r="J239" s="171"/>
      <c r="K239" s="173">
        <f t="shared" ca="1" si="53"/>
        <v>1.0586179417779367</v>
      </c>
      <c r="L239" s="508">
        <f t="shared" ca="1" si="54"/>
        <v>0</v>
      </c>
      <c r="M239" s="174">
        <f t="shared" ca="1" si="55"/>
        <v>1.0586179417779367</v>
      </c>
      <c r="N239" s="174">
        <f ca="1">IF(SUMIFS('Merged Trusts and MFF year'!$C$1:$C$24,'Merged Trusts and MFF year'!$A$1:$A$24,$B239,'Merged Trusts and MFF year'!$D$1:$D$24,"2013-14")=0,M239,SUMIFS('Merged Trusts and MFF year'!$C$1:$C$24,'Merged Trusts and MFF year'!$A$1:$A$24,$B239,'Merged Trusts and MFF year'!$D$1:$D$24,"2013-14"))</f>
        <v>1.0586179417779367</v>
      </c>
      <c r="O239" s="498">
        <f ca="1">IF(SUMIFS('Merged Trusts and MFF year'!$C$1:$C$24,'Merged Trusts and MFF year'!$A$1:$A$24,$B239,'Merged Trusts and MFF year'!$D$1:$D$24,"2014-15")=0,N239,SUMIFS('Merged Trusts and MFF year'!$C$1:$C$24,'Merged Trusts and MFF year'!$A$1:$A$24,$B239,'Merged Trusts and MFF year'!$D$1:$D$24,"2014-15"))</f>
        <v>1.0586179417779367</v>
      </c>
      <c r="P239" s="504">
        <f t="shared" ca="1" si="48"/>
        <v>0</v>
      </c>
      <c r="Q239" s="498">
        <f ca="1">IF(SUMIFS('Merged Trusts and MFF year'!$C$1:$C$24,'Merged Trusts and MFF year'!$A$1:$A$24,$B239,'Merged Trusts and MFF year'!$D$1:$D$24,"2015-16")=0,O239,SUMIFS('Merged Trusts and MFF year'!$C$1:$C$24,'Merged Trusts and MFF year'!$A$1:$A$24,$B239,'Merged Trusts and MFF year'!$D$1:$D$24,"2015-16"))</f>
        <v>1.0586179417779367</v>
      </c>
      <c r="R239" s="504">
        <f t="shared" ca="1" si="49"/>
        <v>0</v>
      </c>
      <c r="S239" s="498">
        <f ca="1">IF(SUMIFS('Merged Trusts and MFF year'!$C$1:$C$24,'Merged Trusts and MFF year'!$A$1:$A$24,$B239,'Merged Trusts and MFF year'!$D$1:$D$24,"2016-17")=0,Q239,SUMIFS('Merged Trusts and MFF year'!$C$1:$C$24,'Merged Trusts and MFF year'!$A$1:$A$24,$B239,'Merged Trusts and MFF year'!$D$1:$D$24,"2016-17"))</f>
        <v>1.0586179417779367</v>
      </c>
      <c r="T239" s="504">
        <f t="shared" ca="1" si="50"/>
        <v>0</v>
      </c>
      <c r="U239" s="459"/>
    </row>
    <row r="240" spans="1:21" s="161" customFormat="1" x14ac:dyDescent="0.2">
      <c r="A240" s="171" t="s">
        <v>3069</v>
      </c>
      <c r="B240" s="172" t="s">
        <v>668</v>
      </c>
      <c r="C240" s="172" t="s">
        <v>669</v>
      </c>
      <c r="D240" s="175">
        <f>INDEX('Base MFF calcs'!$I$7:$I$258,MATCH($B240,'Base MFF calcs'!$B$7:$B$258,0),1)</f>
        <v>0.96653043670378813</v>
      </c>
      <c r="E240" s="176">
        <f ca="1">D240/MIN('Base MFF calcs'!$I$7:$I$258)</f>
        <v>1.0434037181321745</v>
      </c>
      <c r="F240" s="176">
        <v>1.043404</v>
      </c>
      <c r="G240" s="511">
        <f t="shared" ca="1" si="51"/>
        <v>-2.7014255798984976E-7</v>
      </c>
      <c r="H240" s="174">
        <f t="shared" ca="1" si="52"/>
        <v>1.0434037181321745</v>
      </c>
      <c r="I240" s="501">
        <v>1.043404</v>
      </c>
      <c r="J240" s="171"/>
      <c r="K240" s="173">
        <f t="shared" ca="1" si="53"/>
        <v>1.0434037181321745</v>
      </c>
      <c r="L240" s="508">
        <f t="shared" ca="1" si="54"/>
        <v>0</v>
      </c>
      <c r="M240" s="174">
        <f t="shared" ca="1" si="55"/>
        <v>1.0434037181321745</v>
      </c>
      <c r="N240" s="174">
        <f ca="1">IF(SUMIFS('Merged Trusts and MFF year'!$C$1:$C$24,'Merged Trusts and MFF year'!$A$1:$A$24,$B240,'Merged Trusts and MFF year'!$D$1:$D$24,"2013-14")=0,M240,SUMIFS('Merged Trusts and MFF year'!$C$1:$C$24,'Merged Trusts and MFF year'!$A$1:$A$24,$B240,'Merged Trusts and MFF year'!$D$1:$D$24,"2013-14"))</f>
        <v>1.0434037181321745</v>
      </c>
      <c r="O240" s="498">
        <f ca="1">IF(SUMIFS('Merged Trusts and MFF year'!$C$1:$C$24,'Merged Trusts and MFF year'!$A$1:$A$24,$B240,'Merged Trusts and MFF year'!$D$1:$D$24,"2014-15")=0,N240,SUMIFS('Merged Trusts and MFF year'!$C$1:$C$24,'Merged Trusts and MFF year'!$A$1:$A$24,$B240,'Merged Trusts and MFF year'!$D$1:$D$24,"2014-15"))</f>
        <v>1.0434037181321745</v>
      </c>
      <c r="P240" s="504">
        <f t="shared" ca="1" si="48"/>
        <v>0</v>
      </c>
      <c r="Q240" s="498">
        <f ca="1">IF(SUMIFS('Merged Trusts and MFF year'!$C$1:$C$24,'Merged Trusts and MFF year'!$A$1:$A$24,$B240,'Merged Trusts and MFF year'!$D$1:$D$24,"2015-16")=0,O240,SUMIFS('Merged Trusts and MFF year'!$C$1:$C$24,'Merged Trusts and MFF year'!$A$1:$A$24,$B240,'Merged Trusts and MFF year'!$D$1:$D$24,"2015-16"))</f>
        <v>1.0434037181321745</v>
      </c>
      <c r="R240" s="504">
        <f t="shared" ca="1" si="49"/>
        <v>0</v>
      </c>
      <c r="S240" s="498">
        <f ca="1">IF(SUMIFS('Merged Trusts and MFF year'!$C$1:$C$24,'Merged Trusts and MFF year'!$A$1:$A$24,$B240,'Merged Trusts and MFF year'!$D$1:$D$24,"2016-17")=0,Q240,SUMIFS('Merged Trusts and MFF year'!$C$1:$C$24,'Merged Trusts and MFF year'!$A$1:$A$24,$B240,'Merged Trusts and MFF year'!$D$1:$D$24,"2016-17"))</f>
        <v>1.0434037181321745</v>
      </c>
      <c r="T240" s="504">
        <f t="shared" ca="1" si="50"/>
        <v>0</v>
      </c>
      <c r="U240" s="459"/>
    </row>
    <row r="241" spans="1:21" s="161" customFormat="1" x14ac:dyDescent="0.2">
      <c r="A241" s="171" t="s">
        <v>2975</v>
      </c>
      <c r="B241" s="172" t="s">
        <v>670</v>
      </c>
      <c r="C241" s="468" t="s">
        <v>1309</v>
      </c>
      <c r="D241" s="175">
        <f>INDEX('Base MFF calcs'!$I$7:$I$258,MATCH($B241,'Base MFF calcs'!$B$7:$B$258,0),1)</f>
        <v>0.9534902610706053</v>
      </c>
      <c r="E241" s="176">
        <f ca="1">D241/MIN('Base MFF calcs'!$I$7:$I$258)</f>
        <v>1.0293263883098862</v>
      </c>
      <c r="F241" s="176">
        <v>1.029326</v>
      </c>
      <c r="G241" s="511">
        <f t="shared" ca="1" si="51"/>
        <v>3.7724674806227654E-7</v>
      </c>
      <c r="H241" s="174">
        <f t="shared" ca="1" si="52"/>
        <v>1.0293263883098862</v>
      </c>
      <c r="I241" s="501">
        <v>1.029326</v>
      </c>
      <c r="J241" s="171"/>
      <c r="K241" s="173">
        <f t="shared" ca="1" si="53"/>
        <v>1.0293263883098862</v>
      </c>
      <c r="L241" s="508">
        <f t="shared" ca="1" si="54"/>
        <v>0</v>
      </c>
      <c r="M241" s="174">
        <f t="shared" ca="1" si="55"/>
        <v>1.0293263883098862</v>
      </c>
      <c r="N241" s="174">
        <f ca="1">IF(SUMIFS('Merged Trusts and MFF year'!$C$1:$C$24,'Merged Trusts and MFF year'!$A$1:$A$24,$B241,'Merged Trusts and MFF year'!$D$1:$D$24,"2013-14")=0,M241,SUMIFS('Merged Trusts and MFF year'!$C$1:$C$24,'Merged Trusts and MFF year'!$A$1:$A$24,$B241,'Merged Trusts and MFF year'!$D$1:$D$24,"2013-14"))</f>
        <v>1.0293263883098862</v>
      </c>
      <c r="O241" s="498">
        <f ca="1">IF(SUMIFS('Merged Trusts and MFF year'!$C$1:$C$24,'Merged Trusts and MFF year'!$A$1:$A$24,$B241,'Merged Trusts and MFF year'!$D$1:$D$24,"2014-15")=0,N241,SUMIFS('Merged Trusts and MFF year'!$C$1:$C$24,'Merged Trusts and MFF year'!$A$1:$A$24,$B241,'Merged Trusts and MFF year'!$D$1:$D$24,"2014-15"))</f>
        <v>1.0293263883098862</v>
      </c>
      <c r="P241" s="504">
        <f t="shared" ca="1" si="48"/>
        <v>0</v>
      </c>
      <c r="Q241" s="498">
        <f ca="1">IF(SUMIFS('Merged Trusts and MFF year'!$C$1:$C$24,'Merged Trusts and MFF year'!$A$1:$A$24,$B241,'Merged Trusts and MFF year'!$D$1:$D$24,"2015-16")=0,O241,SUMIFS('Merged Trusts and MFF year'!$C$1:$C$24,'Merged Trusts and MFF year'!$A$1:$A$24,$B241,'Merged Trusts and MFF year'!$D$1:$D$24,"2015-16"))</f>
        <v>1.0293263883098862</v>
      </c>
      <c r="R241" s="504">
        <f t="shared" ca="1" si="49"/>
        <v>0</v>
      </c>
      <c r="S241" s="498">
        <f ca="1">IF(SUMIFS('Merged Trusts and MFF year'!$C$1:$C$24,'Merged Trusts and MFF year'!$A$1:$A$24,$B241,'Merged Trusts and MFF year'!$D$1:$D$24,"2016-17")=0,Q241,SUMIFS('Merged Trusts and MFF year'!$C$1:$C$24,'Merged Trusts and MFF year'!$A$1:$A$24,$B241,'Merged Trusts and MFF year'!$D$1:$D$24,"2016-17"))</f>
        <v>1.0293263883098862</v>
      </c>
      <c r="T241" s="504">
        <f t="shared" ca="1" si="50"/>
        <v>0</v>
      </c>
      <c r="U241" s="464"/>
    </row>
    <row r="242" spans="1:21" s="161" customFormat="1" x14ac:dyDescent="0.2">
      <c r="A242" s="171" t="s">
        <v>2133</v>
      </c>
      <c r="B242" s="172" t="s">
        <v>672</v>
      </c>
      <c r="C242" s="172" t="s">
        <v>1288</v>
      </c>
      <c r="D242" s="175">
        <f>INDEX('Base MFF calcs'!$I$7:$I$258,MATCH($B242,'Base MFF calcs'!$B$7:$B$258,0),1)</f>
        <v>0.95819261287159074</v>
      </c>
      <c r="E242" s="176">
        <f ca="1">D242/MIN('Base MFF calcs'!$I$7:$I$258)</f>
        <v>1.0344027430389173</v>
      </c>
      <c r="F242" s="176">
        <v>1.034403</v>
      </c>
      <c r="G242" s="511">
        <f t="shared" ca="1" si="51"/>
        <v>-2.4841486601090423E-7</v>
      </c>
      <c r="H242" s="174">
        <f t="shared" ca="1" si="52"/>
        <v>1.0344027430389173</v>
      </c>
      <c r="I242" s="501">
        <v>1.034403</v>
      </c>
      <c r="J242" s="171"/>
      <c r="K242" s="173">
        <f t="shared" ca="1" si="53"/>
        <v>1.0344027430389173</v>
      </c>
      <c r="L242" s="508">
        <f t="shared" ca="1" si="54"/>
        <v>0</v>
      </c>
      <c r="M242" s="174">
        <f t="shared" ca="1" si="55"/>
        <v>1.0344027430389173</v>
      </c>
      <c r="N242" s="174">
        <f ca="1">IF(SUMIFS('Merged Trusts and MFF year'!$C$1:$C$24,'Merged Trusts and MFF year'!$A$1:$A$24,$B242,'Merged Trusts and MFF year'!$D$1:$D$24,"2013-14")=0,M242,SUMIFS('Merged Trusts and MFF year'!$C$1:$C$24,'Merged Trusts and MFF year'!$A$1:$A$24,$B242,'Merged Trusts and MFF year'!$D$1:$D$24,"2013-14"))</f>
        <v>1.0344027430389173</v>
      </c>
      <c r="O242" s="498">
        <f ca="1">IF(SUMIFS('Merged Trusts and MFF year'!$C$1:$C$24,'Merged Trusts and MFF year'!$A$1:$A$24,$B242,'Merged Trusts and MFF year'!$D$1:$D$24,"2014-15")=0,N242,SUMIFS('Merged Trusts and MFF year'!$C$1:$C$24,'Merged Trusts and MFF year'!$A$1:$A$24,$B242,'Merged Trusts and MFF year'!$D$1:$D$24,"2014-15"))</f>
        <v>1.0344027430389173</v>
      </c>
      <c r="P242" s="504">
        <f t="shared" ca="1" si="48"/>
        <v>0</v>
      </c>
      <c r="Q242" s="498">
        <f ca="1">IF(SUMIFS('Merged Trusts and MFF year'!$C$1:$C$24,'Merged Trusts and MFF year'!$A$1:$A$24,$B242,'Merged Trusts and MFF year'!$D$1:$D$24,"2015-16")=0,O242,SUMIFS('Merged Trusts and MFF year'!$C$1:$C$24,'Merged Trusts and MFF year'!$A$1:$A$24,$B242,'Merged Trusts and MFF year'!$D$1:$D$24,"2015-16"))</f>
        <v>1.0344027430389173</v>
      </c>
      <c r="R242" s="504">
        <f t="shared" ca="1" si="49"/>
        <v>0</v>
      </c>
      <c r="S242" s="498">
        <f ca="1">IF(SUMIFS('Merged Trusts and MFF year'!$C$1:$C$24,'Merged Trusts and MFF year'!$A$1:$A$24,$B242,'Merged Trusts and MFF year'!$D$1:$D$24,"2016-17")=0,Q242,SUMIFS('Merged Trusts and MFF year'!$C$1:$C$24,'Merged Trusts and MFF year'!$A$1:$A$24,$B242,'Merged Trusts and MFF year'!$D$1:$D$24,"2016-17"))</f>
        <v>1.0344027430389173</v>
      </c>
      <c r="T242" s="504">
        <f t="shared" ca="1" si="50"/>
        <v>0</v>
      </c>
      <c r="U242" s="464"/>
    </row>
    <row r="243" spans="1:21" s="161" customFormat="1" ht="12.75" customHeight="1" x14ac:dyDescent="0.2">
      <c r="A243" s="171" t="s">
        <v>2975</v>
      </c>
      <c r="B243" s="172" t="s">
        <v>674</v>
      </c>
      <c r="C243" s="172" t="s">
        <v>675</v>
      </c>
      <c r="D243" s="175">
        <f>INDEX('Base MFF calcs'!$I$7:$I$258,MATCH($B243,'Base MFF calcs'!$B$7:$B$258,0),1)</f>
        <v>0.97267206790443583</v>
      </c>
      <c r="E243" s="176">
        <f ca="1">D243/MIN('Base MFF calcs'!$I$7:$I$258)</f>
        <v>1.0500338257695569</v>
      </c>
      <c r="F243" s="176">
        <v>1.0500339999999999</v>
      </c>
      <c r="G243" s="511">
        <f t="shared" ca="1" si="51"/>
        <v>-1.6592838225637507E-7</v>
      </c>
      <c r="H243" s="174">
        <f t="shared" ca="1" si="52"/>
        <v>1.0500338257695569</v>
      </c>
      <c r="I243" s="501">
        <v>1.0500339999999999</v>
      </c>
      <c r="J243" s="171"/>
      <c r="K243" s="173">
        <f t="shared" ca="1" si="53"/>
        <v>1.0500338257695569</v>
      </c>
      <c r="L243" s="508">
        <f t="shared" ca="1" si="54"/>
        <v>0</v>
      </c>
      <c r="M243" s="174">
        <f t="shared" ca="1" si="55"/>
        <v>1.0500338257695569</v>
      </c>
      <c r="N243" s="174">
        <f ca="1">IF(SUMIFS('Merged Trusts and MFF year'!$C$1:$C$24,'Merged Trusts and MFF year'!$A$1:$A$24,$B243,'Merged Trusts and MFF year'!$D$1:$D$24,"2013-14")=0,M243,SUMIFS('Merged Trusts and MFF year'!$C$1:$C$24,'Merged Trusts and MFF year'!$A$1:$A$24,$B243,'Merged Trusts and MFF year'!$D$1:$D$24,"2013-14"))</f>
        <v>1.0500338257695569</v>
      </c>
      <c r="O243" s="498">
        <f ca="1">IF(SUMIFS('Merged Trusts and MFF year'!$C$1:$C$24,'Merged Trusts and MFF year'!$A$1:$A$24,$B243,'Merged Trusts and MFF year'!$D$1:$D$24,"2014-15")=0,N243,SUMIFS('Merged Trusts and MFF year'!$C$1:$C$24,'Merged Trusts and MFF year'!$A$1:$A$24,$B243,'Merged Trusts and MFF year'!$D$1:$D$24,"2014-15"))</f>
        <v>1.0500338257695569</v>
      </c>
      <c r="P243" s="504">
        <f t="shared" ca="1" si="48"/>
        <v>0</v>
      </c>
      <c r="Q243" s="498">
        <f ca="1">IF(SUMIFS('Merged Trusts and MFF year'!$C$1:$C$24,'Merged Trusts and MFF year'!$A$1:$A$24,$B243,'Merged Trusts and MFF year'!$D$1:$D$24,"2015-16")=0,O243,SUMIFS('Merged Trusts and MFF year'!$C$1:$C$24,'Merged Trusts and MFF year'!$A$1:$A$24,$B243,'Merged Trusts and MFF year'!$D$1:$D$24,"2015-16"))</f>
        <v>1.0500338257695569</v>
      </c>
      <c r="R243" s="504">
        <f t="shared" ca="1" si="49"/>
        <v>0</v>
      </c>
      <c r="S243" s="498">
        <f ca="1">IF(SUMIFS('Merged Trusts and MFF year'!$C$1:$C$24,'Merged Trusts and MFF year'!$A$1:$A$24,$B243,'Merged Trusts and MFF year'!$D$1:$D$24,"2016-17")=0,Q243,SUMIFS('Merged Trusts and MFF year'!$C$1:$C$24,'Merged Trusts and MFF year'!$A$1:$A$24,$B243,'Merged Trusts and MFF year'!$D$1:$D$24,"2016-17"))</f>
        <v>1.0500338257695569</v>
      </c>
      <c r="T243" s="504">
        <f t="shared" ca="1" si="50"/>
        <v>0</v>
      </c>
      <c r="U243" s="459"/>
    </row>
    <row r="244" spans="1:21" s="161" customFormat="1" ht="12.75" customHeight="1" x14ac:dyDescent="0.2">
      <c r="A244" s="171" t="s">
        <v>1127</v>
      </c>
      <c r="B244" s="172" t="s">
        <v>676</v>
      </c>
      <c r="C244" s="172" t="s">
        <v>677</v>
      </c>
      <c r="D244" s="175">
        <f>INDEX('Base MFF calcs'!$I$7:$I$258,MATCH($B244,'Base MFF calcs'!$B$7:$B$258,0),1)</f>
        <v>1.0845041962350026</v>
      </c>
      <c r="E244" s="176">
        <f ca="1">D244/MIN('Base MFF calcs'!$I$7:$I$258)</f>
        <v>1.1707605551881242</v>
      </c>
      <c r="F244" s="176">
        <v>1.1707609999999999</v>
      </c>
      <c r="G244" s="511">
        <f t="shared" ca="1" si="51"/>
        <v>-3.7993397095092973E-7</v>
      </c>
      <c r="H244" s="174">
        <f t="shared" ca="1" si="52"/>
        <v>1.1707605551881242</v>
      </c>
      <c r="I244" s="501">
        <v>1.1707609999999999</v>
      </c>
      <c r="J244" s="485"/>
      <c r="K244" s="173">
        <f t="shared" ca="1" si="53"/>
        <v>1.1707605551881242</v>
      </c>
      <c r="L244" s="508">
        <f t="shared" ca="1" si="54"/>
        <v>0</v>
      </c>
      <c r="M244" s="174">
        <f t="shared" ca="1" si="55"/>
        <v>1.1707605551881242</v>
      </c>
      <c r="N244" s="174">
        <f ca="1">IF(SUMIFS('Merged Trusts and MFF year'!$C$1:$C$24,'Merged Trusts and MFF year'!$A$1:$A$24,$B244,'Merged Trusts and MFF year'!$D$1:$D$24,"2013-14")=0,M244,SUMIFS('Merged Trusts and MFF year'!$C$1:$C$24,'Merged Trusts and MFF year'!$A$1:$A$24,$B244,'Merged Trusts and MFF year'!$D$1:$D$24,"2013-14"))</f>
        <v>1.1707605551881242</v>
      </c>
      <c r="O244" s="498">
        <f ca="1">IF(SUMIFS('Merged Trusts and MFF year'!$C$1:$C$24,'Merged Trusts and MFF year'!$A$1:$A$24,$B244,'Merged Trusts and MFF year'!$D$1:$D$24,"2014-15")=0,N244,SUMIFS('Merged Trusts and MFF year'!$C$1:$C$24,'Merged Trusts and MFF year'!$A$1:$A$24,$B244,'Merged Trusts and MFF year'!$D$1:$D$24,"2014-15"))</f>
        <v>1.1707605551881242</v>
      </c>
      <c r="P244" s="504">
        <f t="shared" ca="1" si="48"/>
        <v>0</v>
      </c>
      <c r="Q244" s="498">
        <f ca="1">IF(SUMIFS('Merged Trusts and MFF year'!$C$1:$C$24,'Merged Trusts and MFF year'!$A$1:$A$24,$B244,'Merged Trusts and MFF year'!$D$1:$D$24,"2015-16")=0,O244,SUMIFS('Merged Trusts and MFF year'!$C$1:$C$24,'Merged Trusts and MFF year'!$A$1:$A$24,$B244,'Merged Trusts and MFF year'!$D$1:$D$24,"2015-16"))</f>
        <v>1.1707605551881242</v>
      </c>
      <c r="R244" s="504">
        <f t="shared" ca="1" si="49"/>
        <v>0</v>
      </c>
      <c r="S244" s="498">
        <f ca="1">IF(SUMIFS('Merged Trusts and MFF year'!$C$1:$C$24,'Merged Trusts and MFF year'!$A$1:$A$24,$B244,'Merged Trusts and MFF year'!$D$1:$D$24,"2016-17")=0,Q244,SUMIFS('Merged Trusts and MFF year'!$C$1:$C$24,'Merged Trusts and MFF year'!$A$1:$A$24,$B244,'Merged Trusts and MFF year'!$D$1:$D$24,"2016-17"))</f>
        <v>1.1707605551881242</v>
      </c>
      <c r="T244" s="504">
        <f t="shared" ca="1" si="50"/>
        <v>0</v>
      </c>
      <c r="U244" s="477"/>
    </row>
    <row r="245" spans="1:21" s="161" customFormat="1" ht="12.75" customHeight="1" x14ac:dyDescent="0.2">
      <c r="A245" s="171" t="s">
        <v>1167</v>
      </c>
      <c r="B245" s="172" t="s">
        <v>678</v>
      </c>
      <c r="C245" s="172" t="s">
        <v>679</v>
      </c>
      <c r="D245" s="175">
        <f>INDEX('Base MFF calcs'!$I$7:$I$258,MATCH($B245,'Base MFF calcs'!$B$7:$B$258,0),1)</f>
        <v>1.0920586185719638</v>
      </c>
      <c r="E245" s="176">
        <f ca="1">D245/MIN('Base MFF calcs'!$I$7:$I$258)</f>
        <v>1.178915820718724</v>
      </c>
      <c r="F245" s="176">
        <v>1.1789160000000001</v>
      </c>
      <c r="G245" s="511">
        <f t="shared" ca="1" si="51"/>
        <v>-1.5207298575958816E-7</v>
      </c>
      <c r="H245" s="174">
        <f t="shared" ca="1" si="52"/>
        <v>1.178915820718724</v>
      </c>
      <c r="I245" s="501">
        <v>1.1789159999999999</v>
      </c>
      <c r="J245" s="171"/>
      <c r="K245" s="173">
        <f t="shared" ca="1" si="53"/>
        <v>1.178915820718724</v>
      </c>
      <c r="L245" s="508">
        <f t="shared" ca="1" si="54"/>
        <v>0</v>
      </c>
      <c r="M245" s="174">
        <f t="shared" ca="1" si="55"/>
        <v>1.178915820718724</v>
      </c>
      <c r="N245" s="174">
        <f ca="1">IF(SUMIFS('Merged Trusts and MFF year'!$C$1:$C$24,'Merged Trusts and MFF year'!$A$1:$A$24,$B245,'Merged Trusts and MFF year'!$D$1:$D$24,"2013-14")=0,M245,SUMIFS('Merged Trusts and MFF year'!$C$1:$C$24,'Merged Trusts and MFF year'!$A$1:$A$24,$B245,'Merged Trusts and MFF year'!$D$1:$D$24,"2013-14"))</f>
        <v>1.178915820718724</v>
      </c>
      <c r="O245" s="498">
        <f ca="1">IF(SUMIFS('Merged Trusts and MFF year'!$C$1:$C$24,'Merged Trusts and MFF year'!$A$1:$A$24,$B245,'Merged Trusts and MFF year'!$D$1:$D$24,"2014-15")=0,N245,SUMIFS('Merged Trusts and MFF year'!$C$1:$C$24,'Merged Trusts and MFF year'!$A$1:$A$24,$B245,'Merged Trusts and MFF year'!$D$1:$D$24,"2014-15"))</f>
        <v>1.178915820718724</v>
      </c>
      <c r="P245" s="504">
        <f t="shared" ca="1" si="48"/>
        <v>0</v>
      </c>
      <c r="Q245" s="498">
        <f ca="1">IF(SUMIFS('Merged Trusts and MFF year'!$C$1:$C$24,'Merged Trusts and MFF year'!$A$1:$A$24,$B245,'Merged Trusts and MFF year'!$D$1:$D$24,"2015-16")=0,O245,SUMIFS('Merged Trusts and MFF year'!$C$1:$C$24,'Merged Trusts and MFF year'!$A$1:$A$24,$B245,'Merged Trusts and MFF year'!$D$1:$D$24,"2015-16"))</f>
        <v>1.178915820718724</v>
      </c>
      <c r="R245" s="504">
        <f t="shared" ca="1" si="49"/>
        <v>0</v>
      </c>
      <c r="S245" s="498">
        <f ca="1">IF(SUMIFS('Merged Trusts and MFF year'!$C$1:$C$24,'Merged Trusts and MFF year'!$A$1:$A$24,$B245,'Merged Trusts and MFF year'!$D$1:$D$24,"2016-17")=0,Q245,SUMIFS('Merged Trusts and MFF year'!$C$1:$C$24,'Merged Trusts and MFF year'!$A$1:$A$24,$B245,'Merged Trusts and MFF year'!$D$1:$D$24,"2016-17"))</f>
        <v>1.178915820718724</v>
      </c>
      <c r="T245" s="504">
        <f t="shared" ca="1" si="50"/>
        <v>0</v>
      </c>
      <c r="U245" s="459"/>
    </row>
    <row r="246" spans="1:21" s="19" customFormat="1" ht="22.5" x14ac:dyDescent="0.2">
      <c r="A246" s="171" t="s">
        <v>1167</v>
      </c>
      <c r="B246" s="172" t="s">
        <v>680</v>
      </c>
      <c r="C246" s="172" t="s">
        <v>681</v>
      </c>
      <c r="D246" s="175">
        <f>INDEX('Base MFF calcs'!$I$7:$I$258,MATCH($B246,'Base MFF calcs'!$B$7:$B$258,0),1)</f>
        <v>1.1129285504377118</v>
      </c>
      <c r="E246" s="176">
        <f ca="1">D246/MIN('Base MFF calcs'!$I$7:$I$258)</f>
        <v>1.2014456487292622</v>
      </c>
      <c r="F246" s="176">
        <v>1.201446</v>
      </c>
      <c r="G246" s="511">
        <f t="shared" ca="1" si="51"/>
        <v>-2.9237330501086234E-7</v>
      </c>
      <c r="H246" s="174">
        <f t="shared" ca="1" si="52"/>
        <v>1.2014456487292622</v>
      </c>
      <c r="I246" s="501">
        <v>1.201446</v>
      </c>
      <c r="J246" s="171"/>
      <c r="K246" s="173">
        <f t="shared" ca="1" si="53"/>
        <v>1.2014456487292622</v>
      </c>
      <c r="L246" s="508">
        <f t="shared" ca="1" si="54"/>
        <v>0</v>
      </c>
      <c r="M246" s="174">
        <f t="shared" ca="1" si="55"/>
        <v>1.2014456487292622</v>
      </c>
      <c r="N246" s="174">
        <f ca="1">IF(SUMIFS('Merged Trusts and MFF year'!$C$1:$C$24,'Merged Trusts and MFF year'!$A$1:$A$24,$B246,'Merged Trusts and MFF year'!$D$1:$D$24,"2013-14")=0,M246,SUMIFS('Merged Trusts and MFF year'!$C$1:$C$24,'Merged Trusts and MFF year'!$A$1:$A$24,$B246,'Merged Trusts and MFF year'!$D$1:$D$24,"2013-14"))</f>
        <v>1.2014456487292622</v>
      </c>
      <c r="O246" s="498">
        <f ca="1">IF(SUMIFS('Merged Trusts and MFF year'!$C$1:$C$24,'Merged Trusts and MFF year'!$A$1:$A$24,$B246,'Merged Trusts and MFF year'!$D$1:$D$24,"2014-15")=0,N246,SUMIFS('Merged Trusts and MFF year'!$C$1:$C$24,'Merged Trusts and MFF year'!$A$1:$A$24,$B246,'Merged Trusts and MFF year'!$D$1:$D$24,"2014-15"))</f>
        <v>1.2014456487292622</v>
      </c>
      <c r="P246" s="504">
        <f t="shared" ca="1" si="48"/>
        <v>0</v>
      </c>
      <c r="Q246" s="498">
        <f ca="1">IF(SUMIFS('Merged Trusts and MFF year'!$C$1:$C$24,'Merged Trusts and MFF year'!$A$1:$A$24,$B246,'Merged Trusts and MFF year'!$D$1:$D$24,"2015-16")=0,O246,SUMIFS('Merged Trusts and MFF year'!$C$1:$C$24,'Merged Trusts and MFF year'!$A$1:$A$24,$B246,'Merged Trusts and MFF year'!$D$1:$D$24,"2015-16"))</f>
        <v>1.2014456487292622</v>
      </c>
      <c r="R246" s="504">
        <f t="shared" ca="1" si="49"/>
        <v>0</v>
      </c>
      <c r="S246" s="498">
        <f ca="1">IF(SUMIFS('Merged Trusts and MFF year'!$C$1:$C$24,'Merged Trusts and MFF year'!$A$1:$A$24,$B246,'Merged Trusts and MFF year'!$D$1:$D$24,"2016-17")=0,Q246,SUMIFS('Merged Trusts and MFF year'!$C$1:$C$24,'Merged Trusts and MFF year'!$A$1:$A$24,$B246,'Merged Trusts and MFF year'!$D$1:$D$24,"2016-17"))</f>
        <v>1.2014456487292622</v>
      </c>
      <c r="T246" s="504">
        <f t="shared" ca="1" si="50"/>
        <v>0</v>
      </c>
      <c r="U246" s="459" t="s">
        <v>4231</v>
      </c>
    </row>
    <row r="247" spans="1:21" s="19" customFormat="1" ht="12.75" x14ac:dyDescent="0.2">
      <c r="A247" s="172" t="s">
        <v>2133</v>
      </c>
      <c r="B247" s="171" t="s">
        <v>682</v>
      </c>
      <c r="C247" s="174" t="s">
        <v>648</v>
      </c>
      <c r="D247" s="174">
        <f>INDEX('Base MFF calcs'!$I$7:$I$258,MATCH($B247,'Base MFF calcs'!$B$7:$B$258,0),1)</f>
        <v>0.96363481958904806</v>
      </c>
      <c r="E247" s="176">
        <f ca="1">D247/MIN('Base MFF calcs'!$I$7:$I$258)</f>
        <v>1.0402777972619424</v>
      </c>
      <c r="F247" s="175">
        <v>1.040278</v>
      </c>
      <c r="G247" s="513">
        <f t="shared" ca="1" si="51"/>
        <v>-1.9488834490655194E-7</v>
      </c>
      <c r="H247" s="174">
        <f t="shared" ca="1" si="52"/>
        <v>1.0402777972619424</v>
      </c>
      <c r="I247" s="501">
        <v>1.040278</v>
      </c>
      <c r="J247" s="171"/>
      <c r="K247" s="173">
        <f t="shared" ca="1" si="53"/>
        <v>1.0402777972619424</v>
      </c>
      <c r="L247" s="508">
        <f t="shared" ca="1" si="54"/>
        <v>0</v>
      </c>
      <c r="M247" s="174">
        <f t="shared" ca="1" si="55"/>
        <v>1.0402777972619424</v>
      </c>
      <c r="N247" s="174">
        <f ca="1">IF(SUMIFS('Merged Trusts and MFF year'!$C$1:$C$24,'Merged Trusts and MFF year'!$A$1:$A$24,$B247,'Merged Trusts and MFF year'!$D$1:$D$24,"2013-14")=0,M247,SUMIFS('Merged Trusts and MFF year'!$C$1:$C$24,'Merged Trusts and MFF year'!$A$1:$A$24,$B247,'Merged Trusts and MFF year'!$D$1:$D$24,"2013-14"))</f>
        <v>1.0402777972619424</v>
      </c>
      <c r="O247" s="498">
        <f ca="1">IF(SUMIFS('Merged Trusts and MFF year'!$C$1:$C$24,'Merged Trusts and MFF year'!$A$1:$A$24,$B247,'Merged Trusts and MFF year'!$D$1:$D$24,"2014-15")=0,N247,SUMIFS('Merged Trusts and MFF year'!$C$1:$C$24,'Merged Trusts and MFF year'!$A$1:$A$24,$B247,'Merged Trusts and MFF year'!$D$1:$D$24,"2014-15"))</f>
        <v>1.0402777972619424</v>
      </c>
      <c r="P247" s="504">
        <f t="shared" ca="1" si="48"/>
        <v>0</v>
      </c>
      <c r="Q247" s="498">
        <f ca="1">IF(SUMIFS('Merged Trusts and MFF year'!$C$1:$C$24,'Merged Trusts and MFF year'!$A$1:$A$24,$B247,'Merged Trusts and MFF year'!$D$1:$D$24,"2015-16")=0,O247,SUMIFS('Merged Trusts and MFF year'!$C$1:$C$24,'Merged Trusts and MFF year'!$A$1:$A$24,$B247,'Merged Trusts and MFF year'!$D$1:$D$24,"2015-16"))</f>
        <v>1.0402777972619424</v>
      </c>
      <c r="R247" s="504">
        <f t="shared" ca="1" si="49"/>
        <v>0</v>
      </c>
      <c r="S247" s="498">
        <f ca="1">IF(SUMIFS('Merged Trusts and MFF year'!$C$1:$C$24,'Merged Trusts and MFF year'!$A$1:$A$24,$B247,'Merged Trusts and MFF year'!$D$1:$D$24,"2016-17")=0,Q247,SUMIFS('Merged Trusts and MFF year'!$C$1:$C$24,'Merged Trusts and MFF year'!$A$1:$A$24,$B247,'Merged Trusts and MFF year'!$D$1:$D$24,"2016-17"))</f>
        <v>1.0402777972619424</v>
      </c>
      <c r="T247" s="504">
        <f t="shared" ca="1" si="50"/>
        <v>0</v>
      </c>
      <c r="U247" s="479"/>
    </row>
    <row r="248" spans="1:21" s="161" customFormat="1" x14ac:dyDescent="0.2">
      <c r="A248" s="171" t="s">
        <v>1127</v>
      </c>
      <c r="B248" s="172" t="s">
        <v>683</v>
      </c>
      <c r="C248" s="468" t="s">
        <v>1296</v>
      </c>
      <c r="D248" s="175">
        <f>INDEX('Base MFF calcs'!$I$7:$I$258,MATCH($B248,'Base MFF calcs'!$B$7:$B$258,0),1)</f>
        <v>0.96687140258551585</v>
      </c>
      <c r="E248" s="176">
        <f ca="1">D248/MIN('Base MFF calcs'!$I$7:$I$258)</f>
        <v>1.0437718028351914</v>
      </c>
      <c r="F248" s="176">
        <v>1.0437719999999999</v>
      </c>
      <c r="G248" s="511">
        <f t="shared" ref="G248:G254" ca="1" si="56">IF(F248="",0,E248/F248-1)</f>
        <v>-1.8889643382813404E-7</v>
      </c>
      <c r="H248" s="174">
        <f t="shared" ref="H248:H254" ca="1" si="57">IF(ISERR(G248),E248,IF(G248&gt;2%,F248*1.02,IF(G248&lt;-2%,F248*0.98,E248)))</f>
        <v>1.0437718028351914</v>
      </c>
      <c r="I248" s="501">
        <v>1.0437719999999999</v>
      </c>
      <c r="J248" s="171"/>
      <c r="K248" s="173">
        <f t="shared" ref="K248:K254" ca="1" si="58">IF(LEFT(U248,6)="Merged","Merged",E248)</f>
        <v>1.0437718028351914</v>
      </c>
      <c r="L248" s="508">
        <f t="shared" ref="L248:L254" ca="1" si="59">IF(K248="Merged","N/A",K248/H248-1)</f>
        <v>0</v>
      </c>
      <c r="M248" s="174">
        <f t="shared" ref="M248:M254" ca="1" si="60">IF(L248="N/A",K248,IF(L248&gt;2%,1.02*H248,IF(L248&lt;-2%,0.98*H248,K248)))</f>
        <v>1.0437718028351914</v>
      </c>
      <c r="N248" s="174">
        <f ca="1">IF(SUMIFS('Merged Trusts and MFF year'!$C$1:$C$24,'Merged Trusts and MFF year'!$A$1:$A$24,$B248,'Merged Trusts and MFF year'!$D$1:$D$24,"2013-14")=0,M248,SUMIFS('Merged Trusts and MFF year'!$C$1:$C$24,'Merged Trusts and MFF year'!$A$1:$A$24,$B248,'Merged Trusts and MFF year'!$D$1:$D$24,"2013-14"))</f>
        <v>1.0437718028351914</v>
      </c>
      <c r="O248" s="498">
        <f ca="1">IF(SUMIFS('Merged Trusts and MFF year'!$C$1:$C$24,'Merged Trusts and MFF year'!$A$1:$A$24,$B248,'Merged Trusts and MFF year'!$D$1:$D$24,"2014-15")=0,N248,SUMIFS('Merged Trusts and MFF year'!$C$1:$C$24,'Merged Trusts and MFF year'!$A$1:$A$24,$B248,'Merged Trusts and MFF year'!$D$1:$D$24,"2014-15"))</f>
        <v>1.0437718028351914</v>
      </c>
      <c r="P248" s="504">
        <f t="shared" ca="1" si="48"/>
        <v>0</v>
      </c>
      <c r="Q248" s="498">
        <f ca="1">IF(SUMIFS('Merged Trusts and MFF year'!$C$1:$C$24,'Merged Trusts and MFF year'!$A$1:$A$24,$B248,'Merged Trusts and MFF year'!$D$1:$D$24,"2015-16")=0,O248,SUMIFS('Merged Trusts and MFF year'!$C$1:$C$24,'Merged Trusts and MFF year'!$A$1:$A$24,$B248,'Merged Trusts and MFF year'!$D$1:$D$24,"2015-16"))</f>
        <v>1.0437718028351914</v>
      </c>
      <c r="R248" s="504">
        <f t="shared" ca="1" si="49"/>
        <v>0</v>
      </c>
      <c r="S248" s="498">
        <f ca="1">IF(SUMIFS('Merged Trusts and MFF year'!$C$1:$C$24,'Merged Trusts and MFF year'!$A$1:$A$24,$B248,'Merged Trusts and MFF year'!$D$1:$D$24,"2016-17")=0,Q248,SUMIFS('Merged Trusts and MFF year'!$C$1:$C$24,'Merged Trusts and MFF year'!$A$1:$A$24,$B248,'Merged Trusts and MFF year'!$D$1:$D$24,"2016-17"))</f>
        <v>1.0437718028351914</v>
      </c>
      <c r="T248" s="504">
        <f t="shared" ca="1" si="50"/>
        <v>0</v>
      </c>
      <c r="U248" s="464"/>
    </row>
    <row r="249" spans="1:21" s="161" customFormat="1" x14ac:dyDescent="0.2">
      <c r="A249" s="484" t="s">
        <v>3496</v>
      </c>
      <c r="B249" s="460" t="s">
        <v>685</v>
      </c>
      <c r="C249" s="460" t="s">
        <v>686</v>
      </c>
      <c r="D249" s="175">
        <f>INDEX('Base MFF calcs'!$I$7:$I$258,MATCH($B249,'Base MFF calcs'!$B$7:$B$258,0),1)</f>
        <v>1.0012716521923057</v>
      </c>
      <c r="E249" s="461">
        <f ca="1">D249/MIN('Base MFF calcs'!$I$7:$I$258)</f>
        <v>1.0809080863720124</v>
      </c>
      <c r="F249" s="461">
        <v>1.080908</v>
      </c>
      <c r="G249" s="510">
        <f t="shared" ca="1" si="56"/>
        <v>7.9906904648652244E-8</v>
      </c>
      <c r="H249" s="173">
        <f t="shared" ca="1" si="57"/>
        <v>1.0809080863720124</v>
      </c>
      <c r="I249" s="500">
        <v>1.080908</v>
      </c>
      <c r="J249" s="177"/>
      <c r="K249" s="173">
        <f t="shared" ca="1" si="58"/>
        <v>1.0809080863720124</v>
      </c>
      <c r="L249" s="508">
        <f t="shared" ca="1" si="59"/>
        <v>0</v>
      </c>
      <c r="M249" s="174">
        <f t="shared" ca="1" si="60"/>
        <v>1.0809080863720124</v>
      </c>
      <c r="N249" s="174">
        <f ca="1">IF(SUMIFS('Merged Trusts and MFF year'!$C$1:$C$24,'Merged Trusts and MFF year'!$A$1:$A$24,$B249,'Merged Trusts and MFF year'!$D$1:$D$24,"2013-14")=0,M249,SUMIFS('Merged Trusts and MFF year'!$C$1:$C$24,'Merged Trusts and MFF year'!$A$1:$A$24,$B249,'Merged Trusts and MFF year'!$D$1:$D$24,"2013-14"))</f>
        <v>1.0809080863720124</v>
      </c>
      <c r="O249" s="498">
        <f ca="1">IF(SUMIFS('Merged Trusts and MFF year'!$C$1:$C$24,'Merged Trusts and MFF year'!$A$1:$A$24,$B249,'Merged Trusts and MFF year'!$D$1:$D$24,"2014-15")=0,N249,SUMIFS('Merged Trusts and MFF year'!$C$1:$C$24,'Merged Trusts and MFF year'!$A$1:$A$24,$B249,'Merged Trusts and MFF year'!$D$1:$D$24,"2014-15"))</f>
        <v>1.0809080863720124</v>
      </c>
      <c r="P249" s="504">
        <f t="shared" ca="1" si="48"/>
        <v>0</v>
      </c>
      <c r="Q249" s="498">
        <f ca="1">IF(SUMIFS('Merged Trusts and MFF year'!$C$1:$C$24,'Merged Trusts and MFF year'!$A$1:$A$24,$B249,'Merged Trusts and MFF year'!$D$1:$D$24,"2015-16")=0,O249,SUMIFS('Merged Trusts and MFF year'!$C$1:$C$24,'Merged Trusts and MFF year'!$A$1:$A$24,$B249,'Merged Trusts and MFF year'!$D$1:$D$24,"2015-16"))</f>
        <v>1.0809080863720124</v>
      </c>
      <c r="R249" s="504">
        <f t="shared" ca="1" si="49"/>
        <v>0</v>
      </c>
      <c r="S249" s="498">
        <f ca="1">IF(SUMIFS('Merged Trusts and MFF year'!$C$1:$C$24,'Merged Trusts and MFF year'!$A$1:$A$24,$B249,'Merged Trusts and MFF year'!$D$1:$D$24,"2016-17")=0,Q249,SUMIFS('Merged Trusts and MFF year'!$C$1:$C$24,'Merged Trusts and MFF year'!$A$1:$A$24,$B249,'Merged Trusts and MFF year'!$D$1:$D$24,"2016-17"))</f>
        <v>1.0809080863720124</v>
      </c>
      <c r="T249" s="504">
        <f t="shared" ca="1" si="50"/>
        <v>0</v>
      </c>
      <c r="U249" s="462"/>
    </row>
    <row r="250" spans="1:21" s="161" customFormat="1" x14ac:dyDescent="0.2">
      <c r="A250" s="171" t="s">
        <v>3528</v>
      </c>
      <c r="B250" s="172" t="s">
        <v>687</v>
      </c>
      <c r="C250" s="172" t="s">
        <v>688</v>
      </c>
      <c r="D250" s="175">
        <f>INDEX('Base MFF calcs'!$I$7:$I$258,MATCH($B250,'Base MFF calcs'!$B$7:$B$258,0),1)</f>
        <v>0.97542593191039439</v>
      </c>
      <c r="E250" s="176">
        <f ca="1">D250/MIN('Base MFF calcs'!$I$7:$I$258)</f>
        <v>1.053006719155974</v>
      </c>
      <c r="F250" s="176">
        <v>1.053007</v>
      </c>
      <c r="G250" s="510">
        <f t="shared" ca="1" si="56"/>
        <v>-2.6670670383310835E-7</v>
      </c>
      <c r="H250" s="173">
        <f t="shared" ca="1" si="57"/>
        <v>1.053006719155974</v>
      </c>
      <c r="I250" s="501">
        <v>1.053007</v>
      </c>
      <c r="J250" s="177"/>
      <c r="K250" s="173">
        <f t="shared" ca="1" si="58"/>
        <v>1.053006719155974</v>
      </c>
      <c r="L250" s="508">
        <f t="shared" ca="1" si="59"/>
        <v>0</v>
      </c>
      <c r="M250" s="174">
        <f t="shared" ca="1" si="60"/>
        <v>1.053006719155974</v>
      </c>
      <c r="N250" s="174">
        <f ca="1">IF(SUMIFS('Merged Trusts and MFF year'!$C$1:$C$24,'Merged Trusts and MFF year'!$A$1:$A$24,$B250,'Merged Trusts and MFF year'!$D$1:$D$24,"2013-14")=0,M250,SUMIFS('Merged Trusts and MFF year'!$C$1:$C$24,'Merged Trusts and MFF year'!$A$1:$A$24,$B250,'Merged Trusts and MFF year'!$D$1:$D$24,"2013-14"))</f>
        <v>1.053006719155974</v>
      </c>
      <c r="O250" s="498">
        <f ca="1">IF(SUMIFS('Merged Trusts and MFF year'!$C$1:$C$24,'Merged Trusts and MFF year'!$A$1:$A$24,$B250,'Merged Trusts and MFF year'!$D$1:$D$24,"2014-15")=0,N250,SUMIFS('Merged Trusts and MFF year'!$C$1:$C$24,'Merged Trusts and MFF year'!$A$1:$A$24,$B250,'Merged Trusts and MFF year'!$D$1:$D$24,"2014-15"))</f>
        <v>1.053006719155974</v>
      </c>
      <c r="P250" s="504">
        <f t="shared" ca="1" si="48"/>
        <v>0</v>
      </c>
      <c r="Q250" s="498">
        <f ca="1">IF(SUMIFS('Merged Trusts and MFF year'!$C$1:$C$24,'Merged Trusts and MFF year'!$A$1:$A$24,$B250,'Merged Trusts and MFF year'!$D$1:$D$24,"2015-16")=0,O250,SUMIFS('Merged Trusts and MFF year'!$C$1:$C$24,'Merged Trusts and MFF year'!$A$1:$A$24,$B250,'Merged Trusts and MFF year'!$D$1:$D$24,"2015-16"))</f>
        <v>1.053006719155974</v>
      </c>
      <c r="R250" s="504">
        <f t="shared" ca="1" si="49"/>
        <v>0</v>
      </c>
      <c r="S250" s="498">
        <f ca="1">IF(SUMIFS('Merged Trusts and MFF year'!$C$1:$C$24,'Merged Trusts and MFF year'!$A$1:$A$24,$B250,'Merged Trusts and MFF year'!$D$1:$D$24,"2016-17")=0,Q250,SUMIFS('Merged Trusts and MFF year'!$C$1:$C$24,'Merged Trusts and MFF year'!$A$1:$A$24,$B250,'Merged Trusts and MFF year'!$D$1:$D$24,"2016-17"))</f>
        <v>1.053006719155974</v>
      </c>
      <c r="T250" s="504">
        <f t="shared" ca="1" si="50"/>
        <v>0</v>
      </c>
      <c r="U250" s="459"/>
    </row>
    <row r="251" spans="1:21" s="161" customFormat="1" x14ac:dyDescent="0.2">
      <c r="A251" s="171" t="s">
        <v>1167</v>
      </c>
      <c r="B251" s="172" t="s">
        <v>689</v>
      </c>
      <c r="C251" s="172" t="s">
        <v>690</v>
      </c>
      <c r="D251" s="175">
        <f>INDEX('Base MFF calcs'!$I$7:$I$258,MATCH($B251,'Base MFF calcs'!$B$7:$B$258,0),1)</f>
        <v>1.1112957504971901</v>
      </c>
      <c r="E251" s="176">
        <f ca="1">D251/MIN('Base MFF calcs'!$I$7:$I$258)</f>
        <v>1.1996829835671421</v>
      </c>
      <c r="F251" s="176">
        <v>1.1996830000000001</v>
      </c>
      <c r="G251" s="510">
        <f t="shared" ca="1" si="56"/>
        <v>-1.3697666778611506E-8</v>
      </c>
      <c r="H251" s="173">
        <f t="shared" ca="1" si="57"/>
        <v>1.1996829835671421</v>
      </c>
      <c r="I251" s="501">
        <v>1.1996830000000001</v>
      </c>
      <c r="J251" s="177"/>
      <c r="K251" s="173" t="str">
        <f t="shared" si="58"/>
        <v>Merged</v>
      </c>
      <c r="L251" s="508" t="str">
        <f t="shared" si="59"/>
        <v>N/A</v>
      </c>
      <c r="M251" s="174" t="str">
        <f t="shared" si="60"/>
        <v>Merged</v>
      </c>
      <c r="N251" s="174" t="str">
        <f>IF(SUMIFS('Merged Trusts and MFF year'!$C$1:$C$24,'Merged Trusts and MFF year'!$A$1:$A$24,$B251,'Merged Trusts and MFF year'!$D$1:$D$24,"2013-14")=0,M251,SUMIFS('Merged Trusts and MFF year'!$C$1:$C$24,'Merged Trusts and MFF year'!$A$1:$A$24,$B251,'Merged Trusts and MFF year'!$D$1:$D$24,"2013-14"))</f>
        <v>Merged</v>
      </c>
      <c r="O251" s="498" t="str">
        <f>IF(SUMIFS('Merged Trusts and MFF year'!$C$1:$C$24,'Merged Trusts and MFF year'!$A$1:$A$24,$B251,'Merged Trusts and MFF year'!$D$1:$D$24,"2014-15")=0,N251,SUMIFS('Merged Trusts and MFF year'!$C$1:$C$24,'Merged Trusts and MFF year'!$A$1:$A$24,$B251,'Merged Trusts and MFF year'!$D$1:$D$24,"2014-15"))</f>
        <v>Merged</v>
      </c>
      <c r="P251" s="504" t="str">
        <f t="shared" si="48"/>
        <v>N/A</v>
      </c>
      <c r="Q251" s="498" t="str">
        <f>IF(SUMIFS('Merged Trusts and MFF year'!$C$1:$C$24,'Merged Trusts and MFF year'!$A$1:$A$24,$B251,'Merged Trusts and MFF year'!$D$1:$D$24,"2015-16")=0,O251,SUMIFS('Merged Trusts and MFF year'!$C$1:$C$24,'Merged Trusts and MFF year'!$A$1:$A$24,$B251,'Merged Trusts and MFF year'!$D$1:$D$24,"2015-16"))</f>
        <v>Merged</v>
      </c>
      <c r="R251" s="504" t="str">
        <f t="shared" si="49"/>
        <v>N/A</v>
      </c>
      <c r="S251" s="498" t="str">
        <f>IF(SUMIFS('Merged Trusts and MFF year'!$C$1:$C$24,'Merged Trusts and MFF year'!$A$1:$A$24,$B251,'Merged Trusts and MFF year'!$D$1:$D$24,"2016-17")=0,Q251,SUMIFS('Merged Trusts and MFF year'!$C$1:$C$24,'Merged Trusts and MFF year'!$A$1:$A$24,$B251,'Merged Trusts and MFF year'!$D$1:$D$24,"2016-17"))</f>
        <v>Merged</v>
      </c>
      <c r="T251" s="504" t="str">
        <f t="shared" si="50"/>
        <v>N/A</v>
      </c>
      <c r="U251" s="459" t="s">
        <v>4204</v>
      </c>
    </row>
    <row r="252" spans="1:21" s="161" customFormat="1" x14ac:dyDescent="0.2">
      <c r="A252" s="468" t="s">
        <v>2975</v>
      </c>
      <c r="B252" s="468" t="s">
        <v>691</v>
      </c>
      <c r="C252" s="468" t="s">
        <v>692</v>
      </c>
      <c r="D252" s="469">
        <f>INDEX('Base MFF calcs'!$I$7:$I$258,MATCH($B252,'Base MFF calcs'!$B$7:$B$258,0),1)</f>
        <v>0.9633179713413651</v>
      </c>
      <c r="E252" s="469">
        <f ca="1">D252/MIN('Base MFF calcs'!$I$7:$I$258)</f>
        <v>1.0399357483960592</v>
      </c>
      <c r="F252" s="469"/>
      <c r="G252" s="514">
        <f t="shared" si="56"/>
        <v>0</v>
      </c>
      <c r="H252" s="471">
        <f t="shared" ca="1" si="57"/>
        <v>1.0399357483960592</v>
      </c>
      <c r="I252" s="502">
        <v>1.039936</v>
      </c>
      <c r="J252" s="470"/>
      <c r="K252" s="173">
        <f t="shared" ca="1" si="58"/>
        <v>1.0399357483960592</v>
      </c>
      <c r="L252" s="508">
        <f t="shared" ca="1" si="59"/>
        <v>0</v>
      </c>
      <c r="M252" s="174">
        <f t="shared" ca="1" si="60"/>
        <v>1.0399357483960592</v>
      </c>
      <c r="N252" s="174">
        <f ca="1">IF(SUMIFS('Merged Trusts and MFF year'!$C$1:$C$24,'Merged Trusts and MFF year'!$A$1:$A$24,$B252,'Merged Trusts and MFF year'!$D$1:$D$24,"2013-14")=0,M252,SUMIFS('Merged Trusts and MFF year'!$C$1:$C$24,'Merged Trusts and MFF year'!$A$1:$A$24,$B252,'Merged Trusts and MFF year'!$D$1:$D$24,"2013-14"))</f>
        <v>1.0399357483960592</v>
      </c>
      <c r="O252" s="498">
        <f ca="1">IF(SUMIFS('Merged Trusts and MFF year'!$C$1:$C$24,'Merged Trusts and MFF year'!$A$1:$A$24,$B252,'Merged Trusts and MFF year'!$D$1:$D$24,"2014-15")=0,N252,SUMIFS('Merged Trusts and MFF year'!$C$1:$C$24,'Merged Trusts and MFF year'!$A$1:$A$24,$B252,'Merged Trusts and MFF year'!$D$1:$D$24,"2014-15"))</f>
        <v>1.0399357483960592</v>
      </c>
      <c r="P252" s="504">
        <f t="shared" ca="1" si="48"/>
        <v>0</v>
      </c>
      <c r="Q252" s="498">
        <f ca="1">IF(SUMIFS('Merged Trusts and MFF year'!$C$1:$C$24,'Merged Trusts and MFF year'!$A$1:$A$24,$B252,'Merged Trusts and MFF year'!$D$1:$D$24,"2015-16")=0,O252,SUMIFS('Merged Trusts and MFF year'!$C$1:$C$24,'Merged Trusts and MFF year'!$A$1:$A$24,$B252,'Merged Trusts and MFF year'!$D$1:$D$24,"2015-16"))</f>
        <v>1.0399357483960592</v>
      </c>
      <c r="R252" s="504">
        <f t="shared" ca="1" si="49"/>
        <v>0</v>
      </c>
      <c r="S252" s="498">
        <f ca="1">IF(SUMIFS('Merged Trusts and MFF year'!$C$1:$C$24,'Merged Trusts and MFF year'!$A$1:$A$24,$B252,'Merged Trusts and MFF year'!$D$1:$D$24,"2016-17")=0,Q252,SUMIFS('Merged Trusts and MFF year'!$C$1:$C$24,'Merged Trusts and MFF year'!$A$1:$A$24,$B252,'Merged Trusts and MFF year'!$D$1:$D$24,"2016-17"))</f>
        <v>1.0399357483960592</v>
      </c>
      <c r="T252" s="504">
        <f t="shared" ca="1" si="50"/>
        <v>0</v>
      </c>
      <c r="U252" s="472"/>
    </row>
    <row r="253" spans="1:21" s="161" customFormat="1" x14ac:dyDescent="0.2">
      <c r="A253" s="171" t="s">
        <v>2975</v>
      </c>
      <c r="B253" s="172" t="s">
        <v>693</v>
      </c>
      <c r="C253" s="172" t="s">
        <v>694</v>
      </c>
      <c r="D253" s="175">
        <f>INDEX('Base MFF calcs'!$I$7:$I$258,MATCH($B253,'Base MFF calcs'!$B$7:$B$258,0),1)</f>
        <v>0.96232534202629805</v>
      </c>
      <c r="E253" s="176">
        <f ca="1">D253/MIN('Base MFF calcs'!$I$7:$I$258)</f>
        <v>1.0388641700176275</v>
      </c>
      <c r="F253" s="176">
        <v>1.038864</v>
      </c>
      <c r="G253" s="510">
        <f t="shared" ca="1" si="56"/>
        <v>1.6365725219458227E-7</v>
      </c>
      <c r="H253" s="173">
        <f t="shared" ca="1" si="57"/>
        <v>1.0388641700176275</v>
      </c>
      <c r="I253" s="501">
        <v>1.038864</v>
      </c>
      <c r="J253" s="177"/>
      <c r="K253" s="173">
        <f t="shared" ca="1" si="58"/>
        <v>1.0388641700176275</v>
      </c>
      <c r="L253" s="508">
        <f t="shared" ca="1" si="59"/>
        <v>0</v>
      </c>
      <c r="M253" s="174">
        <f t="shared" ca="1" si="60"/>
        <v>1.0388641700176275</v>
      </c>
      <c r="N253" s="174">
        <f ca="1">IF(SUMIFS('Merged Trusts and MFF year'!$C$1:$C$24,'Merged Trusts and MFF year'!$A$1:$A$24,$B253,'Merged Trusts and MFF year'!$D$1:$D$24,"2013-14")=0,M253,SUMIFS('Merged Trusts and MFF year'!$C$1:$C$24,'Merged Trusts and MFF year'!$A$1:$A$24,$B253,'Merged Trusts and MFF year'!$D$1:$D$24,"2013-14"))</f>
        <v>1.0388641700176275</v>
      </c>
      <c r="O253" s="498">
        <f ca="1">IF(SUMIFS('Merged Trusts and MFF year'!$C$1:$C$24,'Merged Trusts and MFF year'!$A$1:$A$24,$B253,'Merged Trusts and MFF year'!$D$1:$D$24,"2014-15")=0,N253,SUMIFS('Merged Trusts and MFF year'!$C$1:$C$24,'Merged Trusts and MFF year'!$A$1:$A$24,$B253,'Merged Trusts and MFF year'!$D$1:$D$24,"2014-15"))</f>
        <v>1.0388641700176275</v>
      </c>
      <c r="P253" s="504">
        <f t="shared" ca="1" si="48"/>
        <v>0</v>
      </c>
      <c r="Q253" s="498">
        <f ca="1">IF(SUMIFS('Merged Trusts and MFF year'!$C$1:$C$24,'Merged Trusts and MFF year'!$A$1:$A$24,$B253,'Merged Trusts and MFF year'!$D$1:$D$24,"2015-16")=0,O253,SUMIFS('Merged Trusts and MFF year'!$C$1:$C$24,'Merged Trusts and MFF year'!$A$1:$A$24,$B253,'Merged Trusts and MFF year'!$D$1:$D$24,"2015-16"))</f>
        <v>1.0388641700176275</v>
      </c>
      <c r="R253" s="504">
        <f t="shared" ca="1" si="49"/>
        <v>0</v>
      </c>
      <c r="S253" s="498">
        <f ca="1">IF(SUMIFS('Merged Trusts and MFF year'!$C$1:$C$24,'Merged Trusts and MFF year'!$A$1:$A$24,$B253,'Merged Trusts and MFF year'!$D$1:$D$24,"2016-17")=0,Q253,SUMIFS('Merged Trusts and MFF year'!$C$1:$C$24,'Merged Trusts and MFF year'!$A$1:$A$24,$B253,'Merged Trusts and MFF year'!$D$1:$D$24,"2016-17"))</f>
        <v>1.0388641700176275</v>
      </c>
      <c r="T253" s="504">
        <f t="shared" ca="1" si="50"/>
        <v>0</v>
      </c>
      <c r="U253" s="459"/>
    </row>
    <row r="254" spans="1:21" s="161" customFormat="1" x14ac:dyDescent="0.2">
      <c r="A254" s="171" t="s">
        <v>2133</v>
      </c>
      <c r="B254" s="172" t="s">
        <v>695</v>
      </c>
      <c r="C254" s="172" t="s">
        <v>696</v>
      </c>
      <c r="D254" s="175">
        <f>INDEX('Base MFF calcs'!$I$7:$I$258,MATCH($B254,'Base MFF calcs'!$B$7:$B$258,0),1)</f>
        <v>0.96116289759207629</v>
      </c>
      <c r="E254" s="176">
        <f ca="1">D254/MIN('Base MFF calcs'!$I$7:$I$258)</f>
        <v>1.0376092702247917</v>
      </c>
      <c r="F254" s="176">
        <v>1.037609</v>
      </c>
      <c r="G254" s="510">
        <f t="shared" ca="1" si="56"/>
        <v>2.6043026957189852E-7</v>
      </c>
      <c r="H254" s="173">
        <f t="shared" ca="1" si="57"/>
        <v>1.0376092702247917</v>
      </c>
      <c r="I254" s="501">
        <v>1.037609</v>
      </c>
      <c r="J254" s="177"/>
      <c r="K254" s="173">
        <f t="shared" ca="1" si="58"/>
        <v>1.0376092702247917</v>
      </c>
      <c r="L254" s="508">
        <f t="shared" ca="1" si="59"/>
        <v>0</v>
      </c>
      <c r="M254" s="174">
        <f t="shared" ca="1" si="60"/>
        <v>1.0376092702247917</v>
      </c>
      <c r="N254" s="174">
        <f ca="1">IF(SUMIFS('Merged Trusts and MFF year'!$C$1:$C$24,'Merged Trusts and MFF year'!$A$1:$A$24,$B254,'Merged Trusts and MFF year'!$D$1:$D$24,"2013-14")=0,M254,SUMIFS('Merged Trusts and MFF year'!$C$1:$C$24,'Merged Trusts and MFF year'!$A$1:$A$24,$B254,'Merged Trusts and MFF year'!$D$1:$D$24,"2013-14"))</f>
        <v>1.0376092702247917</v>
      </c>
      <c r="O254" s="498">
        <f ca="1">IF(SUMIFS('Merged Trusts and MFF year'!$C$1:$C$24,'Merged Trusts and MFF year'!$A$1:$A$24,$B254,'Merged Trusts and MFF year'!$D$1:$D$24,"2014-15")=0,N254,SUMIFS('Merged Trusts and MFF year'!$C$1:$C$24,'Merged Trusts and MFF year'!$A$1:$A$24,$B254,'Merged Trusts and MFF year'!$D$1:$D$24,"2014-15"))</f>
        <v>1.0376092702247917</v>
      </c>
      <c r="P254" s="504">
        <f t="shared" ca="1" si="48"/>
        <v>0</v>
      </c>
      <c r="Q254" s="498">
        <f ca="1">IF(SUMIFS('Merged Trusts and MFF year'!$C$1:$C$24,'Merged Trusts and MFF year'!$A$1:$A$24,$B254,'Merged Trusts and MFF year'!$D$1:$D$24,"2015-16")=0,O254,SUMIFS('Merged Trusts and MFF year'!$C$1:$C$24,'Merged Trusts and MFF year'!$A$1:$A$24,$B254,'Merged Trusts and MFF year'!$D$1:$D$24,"2015-16"))</f>
        <v>1.0376092702247917</v>
      </c>
      <c r="R254" s="504">
        <f t="shared" ca="1" si="49"/>
        <v>0</v>
      </c>
      <c r="S254" s="498">
        <f ca="1">IF(SUMIFS('Merged Trusts and MFF year'!$C$1:$C$24,'Merged Trusts and MFF year'!$A$1:$A$24,$B254,'Merged Trusts and MFF year'!$D$1:$D$24,"2016-17")=0,Q254,SUMIFS('Merged Trusts and MFF year'!$C$1:$C$24,'Merged Trusts and MFF year'!$A$1:$A$24,$B254,'Merged Trusts and MFF year'!$D$1:$D$24,"2016-17"))</f>
        <v>1.0376092702247917</v>
      </c>
      <c r="T254" s="504">
        <f t="shared" ca="1" si="50"/>
        <v>0</v>
      </c>
      <c r="U254" s="459"/>
    </row>
    <row r="255" spans="1:21" s="161" customFormat="1" ht="33.75" x14ac:dyDescent="0.2">
      <c r="A255" s="172"/>
      <c r="B255" s="171" t="s">
        <v>3516</v>
      </c>
      <c r="C255" s="174" t="s">
        <v>3517</v>
      </c>
      <c r="D255" s="174"/>
      <c r="E255" s="176"/>
      <c r="F255" s="175"/>
      <c r="G255" s="508"/>
      <c r="H255" s="173"/>
      <c r="I255" s="501"/>
      <c r="J255" s="177"/>
      <c r="K255" s="478"/>
      <c r="L255" s="508"/>
      <c r="M255" s="173"/>
      <c r="N255" s="174">
        <f ca="1">IF(SUMIFS('Merged Trusts and MFF year'!$C$1:$C$24,'Merged Trusts and MFF year'!$A$1:$A$24,$B255,'Merged Trusts and MFF year'!$D$1:$D$24,"2013-14")=0,M255,SUMIFS('Merged Trusts and MFF year'!$C$1:$C$24,'Merged Trusts and MFF year'!$A$1:$A$24,$B255,'Merged Trusts and MFF year'!$D$1:$D$24,"2013-14"))</f>
        <v>1.0363907313533507</v>
      </c>
      <c r="O255" s="498">
        <f ca="1">IF(SUMIFS('Merged Trusts and MFF year'!$C$1:$C$24,'Merged Trusts and MFF year'!$A$1:$A$24,$B255,'Merged Trusts and MFF year'!$D$1:$D$24,"2014-15")=0,N255,SUMIFS('Merged Trusts and MFF year'!$C$1:$C$24,'Merged Trusts and MFF year'!$A$1:$A$24,$B255,'Merged Trusts and MFF year'!$D$1:$D$24,"2014-15"))</f>
        <v>1.0363907313533507</v>
      </c>
      <c r="P255" s="504">
        <f t="shared" ca="1" si="48"/>
        <v>0</v>
      </c>
      <c r="Q255" s="498">
        <f ca="1">IF(SUMIFS('Merged Trusts and MFF year'!$C$1:$C$24,'Merged Trusts and MFF year'!$A$1:$A$24,$B255,'Merged Trusts and MFF year'!$D$1:$D$24,"2015-16")=0,O255,SUMIFS('Merged Trusts and MFF year'!$C$1:$C$24,'Merged Trusts and MFF year'!$A$1:$A$24,$B255,'Merged Trusts and MFF year'!$D$1:$D$24,"2015-16"))</f>
        <v>1.0363907313533507</v>
      </c>
      <c r="R255" s="504">
        <f t="shared" ca="1" si="49"/>
        <v>0</v>
      </c>
      <c r="S255" s="498">
        <f ca="1">IF(SUMIFS('Merged Trusts and MFF year'!$C$1:$C$24,'Merged Trusts and MFF year'!$A$1:$A$24,$B255,'Merged Trusts and MFF year'!$D$1:$D$24,"2016-17")=0,Q255,SUMIFS('Merged Trusts and MFF year'!$C$1:$C$24,'Merged Trusts and MFF year'!$A$1:$A$24,$B255,'Merged Trusts and MFF year'!$D$1:$D$24,"2016-17"))</f>
        <v>1.0363907313533507</v>
      </c>
      <c r="T255" s="504">
        <f t="shared" ca="1" si="50"/>
        <v>0</v>
      </c>
      <c r="U255" s="459" t="s">
        <v>4218</v>
      </c>
    </row>
    <row r="256" spans="1:21" s="161" customFormat="1" ht="33.75" x14ac:dyDescent="0.2">
      <c r="A256" s="171" t="s">
        <v>2133</v>
      </c>
      <c r="B256" s="172" t="s">
        <v>697</v>
      </c>
      <c r="C256" s="172" t="s">
        <v>698</v>
      </c>
      <c r="D256" s="175">
        <f>INDEX('Base MFF calcs'!$I$7:$I$258,MATCH($B256,'Base MFF calcs'!$B$7:$B$258,0),1)</f>
        <v>0.96003413517050595</v>
      </c>
      <c r="E256" s="176">
        <f ca="1">D256/MIN('Base MFF calcs'!$I$7:$I$258)</f>
        <v>1.0363907313533507</v>
      </c>
      <c r="F256" s="176">
        <v>1.0363910000000001</v>
      </c>
      <c r="G256" s="510">
        <f t="shared" ref="G256:G261" ca="1" si="61">IF(F256="",0,E256/F256-1)</f>
        <v>-2.592136070234119E-7</v>
      </c>
      <c r="H256" s="173">
        <f t="shared" ref="H256:H261" ca="1" si="62">IF(ISERR(G256),E256,IF(G256&gt;2%,F256*1.02,IF(G256&lt;-2%,F256*0.98,E256)))</f>
        <v>1.0363907313533507</v>
      </c>
      <c r="I256" s="501">
        <v>1.0363910000000001</v>
      </c>
      <c r="J256" s="177"/>
      <c r="K256" s="173" t="str">
        <f t="shared" ref="K256:K261" si="63">IF(LEFT(U256,6)="Merged","Merged",E256)</f>
        <v>Merged</v>
      </c>
      <c r="L256" s="509" t="str">
        <f t="shared" ref="L256:L261" si="64">IF(K256="Merged","N/A",K256/H256-1)</f>
        <v>N/A</v>
      </c>
      <c r="M256" s="465" t="str">
        <f t="shared" ref="M256:M261" si="65">IF(L256="N/A",K256,IF(L256&gt;2%,1.02*H256,IF(L256&lt;-2%,0.98*H256,K256)))</f>
        <v>Merged</v>
      </c>
      <c r="N256" s="174" t="str">
        <f>IF(SUMIFS('Merged Trusts and MFF year'!$C$1:$C$24,'Merged Trusts and MFF year'!$A$1:$A$24,$B256,'Merged Trusts and MFF year'!$D$1:$D$24,"2013-14")=0,M256,SUMIFS('Merged Trusts and MFF year'!$C$1:$C$24,'Merged Trusts and MFF year'!$A$1:$A$24,$B256,'Merged Trusts and MFF year'!$D$1:$D$24,"2013-14"))</f>
        <v>Merged</v>
      </c>
      <c r="O256" s="498" t="str">
        <f>IF(SUMIFS('Merged Trusts and MFF year'!$C$1:$C$24,'Merged Trusts and MFF year'!$A$1:$A$24,$B256,'Merged Trusts and MFF year'!$D$1:$D$24,"2014-15")=0,N256,SUMIFS('Merged Trusts and MFF year'!$C$1:$C$24,'Merged Trusts and MFF year'!$A$1:$A$24,$B256,'Merged Trusts and MFF year'!$D$1:$D$24,"2014-15"))</f>
        <v>Merged</v>
      </c>
      <c r="P256" s="505" t="str">
        <f t="shared" si="48"/>
        <v>N/A</v>
      </c>
      <c r="Q256" s="498" t="str">
        <f>IF(SUMIFS('Merged Trusts and MFF year'!$C$1:$C$24,'Merged Trusts and MFF year'!$A$1:$A$24,$B256,'Merged Trusts and MFF year'!$D$1:$D$24,"2015-16")=0,O256,SUMIFS('Merged Trusts and MFF year'!$C$1:$C$24,'Merged Trusts and MFF year'!$A$1:$A$24,$B256,'Merged Trusts and MFF year'!$D$1:$D$24,"2015-16"))</f>
        <v>Merged</v>
      </c>
      <c r="R256" s="507" t="str">
        <f t="shared" si="49"/>
        <v>N/A</v>
      </c>
      <c r="S256" s="498" t="str">
        <f>IF(SUMIFS('Merged Trusts and MFF year'!$C$1:$C$24,'Merged Trusts and MFF year'!$A$1:$A$24,$B256,'Merged Trusts and MFF year'!$D$1:$D$24,"2016-17")=0,Q256,SUMIFS('Merged Trusts and MFF year'!$C$1:$C$24,'Merged Trusts and MFF year'!$A$1:$A$24,$B256,'Merged Trusts and MFF year'!$D$1:$D$24,"2016-17"))</f>
        <v>Merged</v>
      </c>
      <c r="T256" s="505" t="str">
        <f t="shared" si="50"/>
        <v>N/A</v>
      </c>
      <c r="U256" s="459" t="s">
        <v>4215</v>
      </c>
    </row>
    <row r="257" spans="1:21" s="161" customFormat="1" x14ac:dyDescent="0.2">
      <c r="A257" s="484" t="s">
        <v>2975</v>
      </c>
      <c r="B257" s="460" t="s">
        <v>699</v>
      </c>
      <c r="C257" s="460" t="s">
        <v>700</v>
      </c>
      <c r="D257" s="175">
        <f>INDEX('Base MFF calcs'!$I$7:$I$258,MATCH($B257,'Base MFF calcs'!$B$7:$B$258,0),1)</f>
        <v>0.96502744987391775</v>
      </c>
      <c r="E257" s="461">
        <f ca="1">D257/MIN('Base MFF calcs'!$I$7:$I$258)</f>
        <v>1.0417811908044903</v>
      </c>
      <c r="F257" s="461">
        <v>1.0417810000000001</v>
      </c>
      <c r="G257" s="510">
        <f t="shared" ca="1" si="61"/>
        <v>1.8315220784437258E-7</v>
      </c>
      <c r="H257" s="173">
        <f t="shared" ca="1" si="62"/>
        <v>1.0417811908044903</v>
      </c>
      <c r="I257" s="500">
        <v>1.0417809999999998</v>
      </c>
      <c r="J257" s="177"/>
      <c r="K257" s="173">
        <f t="shared" ca="1" si="63"/>
        <v>1.0417811908044903</v>
      </c>
      <c r="L257" s="508">
        <f t="shared" ca="1" si="64"/>
        <v>0</v>
      </c>
      <c r="M257" s="173">
        <f t="shared" ca="1" si="65"/>
        <v>1.0417811908044903</v>
      </c>
      <c r="N257" s="174">
        <f ca="1">IF(SUMIFS('Merged Trusts and MFF year'!$C$1:$C$24,'Merged Trusts and MFF year'!$A$1:$A$24,$B257,'Merged Trusts and MFF year'!$D$1:$D$24,"2013-14")=0,M257,SUMIFS('Merged Trusts and MFF year'!$C$1:$C$24,'Merged Trusts and MFF year'!$A$1:$A$24,$B257,'Merged Trusts and MFF year'!$D$1:$D$24,"2013-14"))</f>
        <v>1.0417811908044903</v>
      </c>
      <c r="O257" s="498">
        <f ca="1">IF(SUMIFS('Merged Trusts and MFF year'!$C$1:$C$24,'Merged Trusts and MFF year'!$A$1:$A$24,$B257,'Merged Trusts and MFF year'!$D$1:$D$24,"2014-15")=0,N257,SUMIFS('Merged Trusts and MFF year'!$C$1:$C$24,'Merged Trusts and MFF year'!$A$1:$A$24,$B257,'Merged Trusts and MFF year'!$D$1:$D$24,"2014-15"))</f>
        <v>1.0417811908044903</v>
      </c>
      <c r="P257" s="504">
        <f t="shared" ca="1" si="48"/>
        <v>0</v>
      </c>
      <c r="Q257" s="498">
        <f ca="1">IF(SUMIFS('Merged Trusts and MFF year'!$C$1:$C$24,'Merged Trusts and MFF year'!$A$1:$A$24,$B257,'Merged Trusts and MFF year'!$D$1:$D$24,"2015-16")=0,O257,SUMIFS('Merged Trusts and MFF year'!$C$1:$C$24,'Merged Trusts and MFF year'!$A$1:$A$24,$B257,'Merged Trusts and MFF year'!$D$1:$D$24,"2015-16"))</f>
        <v>1.0417811908044903</v>
      </c>
      <c r="R257" s="504">
        <f t="shared" ca="1" si="49"/>
        <v>0</v>
      </c>
      <c r="S257" s="498">
        <f ca="1">IF(SUMIFS('Merged Trusts and MFF year'!$C$1:$C$24,'Merged Trusts and MFF year'!$A$1:$A$24,$B257,'Merged Trusts and MFF year'!$D$1:$D$24,"2016-17")=0,Q257,SUMIFS('Merged Trusts and MFF year'!$C$1:$C$24,'Merged Trusts and MFF year'!$A$1:$A$24,$B257,'Merged Trusts and MFF year'!$D$1:$D$24,"2016-17"))</f>
        <v>1.0417811908044903</v>
      </c>
      <c r="T257" s="504">
        <f t="shared" ca="1" si="50"/>
        <v>0</v>
      </c>
      <c r="U257" s="462"/>
    </row>
    <row r="258" spans="1:21" s="161" customFormat="1" x14ac:dyDescent="0.2">
      <c r="A258" s="171" t="s">
        <v>2133</v>
      </c>
      <c r="B258" s="172" t="s">
        <v>2393</v>
      </c>
      <c r="C258" s="172" t="s">
        <v>1317</v>
      </c>
      <c r="D258" s="175">
        <f>INDEX('Base MFF calcs'!$I$7:$I$258,MATCH($B258,'Base MFF calcs'!$B$7:$B$258,0),1)</f>
        <v>0.94903835058907848</v>
      </c>
      <c r="E258" s="176">
        <f ca="1">D258/MIN('Base MFF calcs'!$I$7:$I$258)</f>
        <v>1.0245203938240237</v>
      </c>
      <c r="F258" s="176">
        <v>1.0245200000000001</v>
      </c>
      <c r="G258" s="510">
        <f t="shared" ca="1" si="61"/>
        <v>3.8439857075189821E-7</v>
      </c>
      <c r="H258" s="173">
        <f t="shared" ca="1" si="62"/>
        <v>1.0245203938240237</v>
      </c>
      <c r="I258" s="501">
        <v>1.0245199999999999</v>
      </c>
      <c r="J258" s="177"/>
      <c r="K258" s="173">
        <f t="shared" ca="1" si="63"/>
        <v>1.0245203938240237</v>
      </c>
      <c r="L258" s="508">
        <f t="shared" ca="1" si="64"/>
        <v>0</v>
      </c>
      <c r="M258" s="173">
        <f t="shared" ca="1" si="65"/>
        <v>1.0245203938240237</v>
      </c>
      <c r="N258" s="174">
        <f ca="1">IF(SUMIFS('Merged Trusts and MFF year'!$C$1:$C$24,'Merged Trusts and MFF year'!$A$1:$A$24,$B258,'Merged Trusts and MFF year'!$D$1:$D$24,"2013-14")=0,M258,SUMIFS('Merged Trusts and MFF year'!$C$1:$C$24,'Merged Trusts and MFF year'!$A$1:$A$24,$B258,'Merged Trusts and MFF year'!$D$1:$D$24,"2013-14"))</f>
        <v>1.0245203938240237</v>
      </c>
      <c r="O258" s="498">
        <f ca="1">IF(SUMIFS('Merged Trusts and MFF year'!$C$1:$C$24,'Merged Trusts and MFF year'!$A$1:$A$24,$B258,'Merged Trusts and MFF year'!$D$1:$D$24,"2014-15")=0,N258,SUMIFS('Merged Trusts and MFF year'!$C$1:$C$24,'Merged Trusts and MFF year'!$A$1:$A$24,$B258,'Merged Trusts and MFF year'!$D$1:$D$24,"2014-15"))</f>
        <v>1.0245203938240237</v>
      </c>
      <c r="P258" s="504">
        <f t="shared" ca="1" si="48"/>
        <v>0</v>
      </c>
      <c r="Q258" s="498">
        <f ca="1">IF(SUMIFS('Merged Trusts and MFF year'!$C$1:$C$24,'Merged Trusts and MFF year'!$A$1:$A$24,$B258,'Merged Trusts and MFF year'!$D$1:$D$24,"2015-16")=0,O258,SUMIFS('Merged Trusts and MFF year'!$C$1:$C$24,'Merged Trusts and MFF year'!$A$1:$A$24,$B258,'Merged Trusts and MFF year'!$D$1:$D$24,"2015-16"))</f>
        <v>1.0245203938240237</v>
      </c>
      <c r="R258" s="504">
        <f t="shared" ca="1" si="49"/>
        <v>0</v>
      </c>
      <c r="S258" s="498">
        <f ca="1">IF(SUMIFS('Merged Trusts and MFF year'!$C$1:$C$24,'Merged Trusts and MFF year'!$A$1:$A$24,$B258,'Merged Trusts and MFF year'!$D$1:$D$24,"2016-17")=0,Q258,SUMIFS('Merged Trusts and MFF year'!$C$1:$C$24,'Merged Trusts and MFF year'!$A$1:$A$24,$B258,'Merged Trusts and MFF year'!$D$1:$D$24,"2016-17"))</f>
        <v>1.0245203938240237</v>
      </c>
      <c r="T258" s="504">
        <f t="shared" ca="1" si="50"/>
        <v>0</v>
      </c>
      <c r="U258" s="459"/>
    </row>
    <row r="259" spans="1:21" s="161" customFormat="1" x14ac:dyDescent="0.2">
      <c r="A259" s="171" t="s">
        <v>3528</v>
      </c>
      <c r="B259" s="172" t="s">
        <v>701</v>
      </c>
      <c r="C259" s="172" t="s">
        <v>702</v>
      </c>
      <c r="D259" s="175">
        <f>INDEX('Base MFF calcs'!$I$7:$I$258,MATCH($B259,'Base MFF calcs'!$B$7:$B$258,0),1)</f>
        <v>0.95934261187923031</v>
      </c>
      <c r="E259" s="176">
        <f ca="1">D259/MIN('Base MFF calcs'!$I$7:$I$258)</f>
        <v>1.0356442075545218</v>
      </c>
      <c r="F259" s="176">
        <v>1.035644</v>
      </c>
      <c r="G259" s="510">
        <f t="shared" ca="1" si="61"/>
        <v>2.0041106951751431E-7</v>
      </c>
      <c r="H259" s="173">
        <f t="shared" ca="1" si="62"/>
        <v>1.0356442075545218</v>
      </c>
      <c r="I259" s="501">
        <v>1.035644</v>
      </c>
      <c r="J259" s="484"/>
      <c r="K259" s="173">
        <f t="shared" ca="1" si="63"/>
        <v>1.0356442075545218</v>
      </c>
      <c r="L259" s="508">
        <f t="shared" ca="1" si="64"/>
        <v>0</v>
      </c>
      <c r="M259" s="173">
        <f t="shared" ca="1" si="65"/>
        <v>1.0356442075545218</v>
      </c>
      <c r="N259" s="174">
        <f ca="1">IF(SUMIFS('Merged Trusts and MFF year'!$C$1:$C$24,'Merged Trusts and MFF year'!$A$1:$A$24,$B259,'Merged Trusts and MFF year'!$D$1:$D$24,"2013-14")=0,M259,SUMIFS('Merged Trusts and MFF year'!$C$1:$C$24,'Merged Trusts and MFF year'!$A$1:$A$24,$B259,'Merged Trusts and MFF year'!$D$1:$D$24,"2013-14"))</f>
        <v>1.0356442075545218</v>
      </c>
      <c r="O259" s="498">
        <f ca="1">IF(SUMIFS('Merged Trusts and MFF year'!$C$1:$C$24,'Merged Trusts and MFF year'!$A$1:$A$24,$B259,'Merged Trusts and MFF year'!$D$1:$D$24,"2014-15")=0,N259,SUMIFS('Merged Trusts and MFF year'!$C$1:$C$24,'Merged Trusts and MFF year'!$A$1:$A$24,$B259,'Merged Trusts and MFF year'!$D$1:$D$24,"2014-15"))</f>
        <v>1.0356442075545218</v>
      </c>
      <c r="P259" s="504">
        <f t="shared" ca="1" si="48"/>
        <v>0</v>
      </c>
      <c r="Q259" s="498">
        <f ca="1">IF(SUMIFS('Merged Trusts and MFF year'!$C$1:$C$24,'Merged Trusts and MFF year'!$A$1:$A$24,$B259,'Merged Trusts and MFF year'!$D$1:$D$24,"2015-16")=0,O259,SUMIFS('Merged Trusts and MFF year'!$C$1:$C$24,'Merged Trusts and MFF year'!$A$1:$A$24,$B259,'Merged Trusts and MFF year'!$D$1:$D$24,"2015-16"))</f>
        <v>1.0356442075545218</v>
      </c>
      <c r="R259" s="504">
        <f t="shared" ca="1" si="49"/>
        <v>0</v>
      </c>
      <c r="S259" s="498">
        <f ca="1">IF(SUMIFS('Merged Trusts and MFF year'!$C$1:$C$24,'Merged Trusts and MFF year'!$A$1:$A$24,$B259,'Merged Trusts and MFF year'!$D$1:$D$24,"2016-17")=0,Q259,SUMIFS('Merged Trusts and MFF year'!$C$1:$C$24,'Merged Trusts and MFF year'!$A$1:$A$24,$B259,'Merged Trusts and MFF year'!$D$1:$D$24,"2016-17"))</f>
        <v>1.0356442075545218</v>
      </c>
      <c r="T259" s="504">
        <f t="shared" ca="1" si="50"/>
        <v>0</v>
      </c>
      <c r="U259" s="459"/>
    </row>
    <row r="260" spans="1:21" s="161" customFormat="1" ht="22.5" x14ac:dyDescent="0.2">
      <c r="A260" s="171" t="s">
        <v>3034</v>
      </c>
      <c r="B260" s="172" t="s">
        <v>703</v>
      </c>
      <c r="C260" s="468" t="s">
        <v>1289</v>
      </c>
      <c r="D260" s="175">
        <f>INDEX('Base MFF calcs'!$I$7:$I$258,MATCH($B260,'Base MFF calcs'!$B$7:$B$258,0),1)</f>
        <v>0.96293952918840531</v>
      </c>
      <c r="E260" s="176">
        <f ca="1">D260/MIN('Base MFF calcs'!$I$7:$I$258)</f>
        <v>1.0395272067355992</v>
      </c>
      <c r="F260" s="176">
        <v>1.0395270000000001</v>
      </c>
      <c r="G260" s="510">
        <f t="shared" ca="1" si="61"/>
        <v>1.9887467961332561E-7</v>
      </c>
      <c r="H260" s="173">
        <f t="shared" ca="1" si="62"/>
        <v>1.0395272067355992</v>
      </c>
      <c r="I260" s="501">
        <v>1.0395269999999999</v>
      </c>
      <c r="J260" s="484"/>
      <c r="K260" s="173" t="str">
        <f t="shared" si="63"/>
        <v>Merged</v>
      </c>
      <c r="L260" s="508" t="str">
        <f t="shared" si="64"/>
        <v>N/A</v>
      </c>
      <c r="M260" s="173" t="str">
        <f t="shared" si="65"/>
        <v>Merged</v>
      </c>
      <c r="N260" s="174">
        <f ca="1">IF(SUMIFS('Merged Trusts and MFF year'!$C$1:$C$24,'Merged Trusts and MFF year'!$A$1:$A$24,$B260,'Merged Trusts and MFF year'!$D$1:$D$24,"2013-14")=0,M260,SUMIFS('Merged Trusts and MFF year'!$C$1:$C$24,'Merged Trusts and MFF year'!$A$1:$A$24,$B260,'Merged Trusts and MFF year'!$D$1:$D$24,"2013-14"))</f>
        <v>1.0340419674053025</v>
      </c>
      <c r="O260" s="498">
        <f ca="1">IF(SUMIFS('Merged Trusts and MFF year'!$C$1:$C$24,'Merged Trusts and MFF year'!$A$1:$A$24,$B260,'Merged Trusts and MFF year'!$D$1:$D$24,"2014-15")=0,N260,SUMIFS('Merged Trusts and MFF year'!$C$1:$C$24,'Merged Trusts and MFF year'!$A$1:$A$24,$B260,'Merged Trusts and MFF year'!$D$1:$D$24,"2014-15"))</f>
        <v>1.0340419674053025</v>
      </c>
      <c r="P260" s="504">
        <f t="shared" ca="1" si="48"/>
        <v>0</v>
      </c>
      <c r="Q260" s="498">
        <f ca="1">IF(SUMIFS('Merged Trusts and MFF year'!$C$1:$C$24,'Merged Trusts and MFF year'!$A$1:$A$24,$B260,'Merged Trusts and MFF year'!$D$1:$D$24,"2015-16")=0,O260,SUMIFS('Merged Trusts and MFF year'!$C$1:$C$24,'Merged Trusts and MFF year'!$A$1:$A$24,$B260,'Merged Trusts and MFF year'!$D$1:$D$24,"2015-16"))</f>
        <v>1.0340419674053025</v>
      </c>
      <c r="R260" s="504">
        <f t="shared" ca="1" si="49"/>
        <v>0</v>
      </c>
      <c r="S260" s="498">
        <f ca="1">IF(SUMIFS('Merged Trusts and MFF year'!$C$1:$C$24,'Merged Trusts and MFF year'!$A$1:$A$24,$B260,'Merged Trusts and MFF year'!$D$1:$D$24,"2016-17")=0,Q260,SUMIFS('Merged Trusts and MFF year'!$C$1:$C$24,'Merged Trusts and MFF year'!$A$1:$A$24,$B260,'Merged Trusts and MFF year'!$D$1:$D$24,"2016-17"))</f>
        <v>1.0340419674053025</v>
      </c>
      <c r="T260" s="504">
        <f t="shared" ca="1" si="50"/>
        <v>0</v>
      </c>
      <c r="U260" s="494" t="s">
        <v>4210</v>
      </c>
    </row>
    <row r="261" spans="1:21" ht="12.75" customHeight="1" thickBot="1" x14ac:dyDescent="0.25">
      <c r="A261" s="172" t="s">
        <v>3034</v>
      </c>
      <c r="B261" s="171" t="s">
        <v>705</v>
      </c>
      <c r="C261" s="174" t="s">
        <v>706</v>
      </c>
      <c r="D261" s="174">
        <f>INDEX('Base MFF calcs'!$I$7:$I$258,MATCH($B261,'Base MFF calcs'!$B$7:$B$258,0),1)</f>
        <v>0.96407968182086057</v>
      </c>
      <c r="E261" s="176">
        <f ca="1">D261/MIN('Base MFF calcs'!$I$7:$I$258)</f>
        <v>1.0407580417416844</v>
      </c>
      <c r="F261" s="175">
        <v>1.0407580000000001</v>
      </c>
      <c r="G261" s="508">
        <f t="shared" ca="1" si="61"/>
        <v>4.0107003052014534E-8</v>
      </c>
      <c r="H261" s="173">
        <f t="shared" ca="1" si="62"/>
        <v>1.0407580417416844</v>
      </c>
      <c r="I261" s="501">
        <v>1.0407579999999998</v>
      </c>
      <c r="J261" s="484"/>
      <c r="K261" s="173">
        <f t="shared" ca="1" si="63"/>
        <v>1.0407580417416844</v>
      </c>
      <c r="L261" s="508">
        <f t="shared" ca="1" si="64"/>
        <v>0</v>
      </c>
      <c r="M261" s="173">
        <f t="shared" ca="1" si="65"/>
        <v>1.0407580417416844</v>
      </c>
      <c r="N261" s="174">
        <f ca="1">IF(SUMIFS('Merged Trusts and MFF year'!$C$1:$C$24,'Merged Trusts and MFF year'!$A$1:$A$24,$B261,'Merged Trusts and MFF year'!$D$1:$D$24,"2013-14")=0,M261,SUMIFS('Merged Trusts and MFF year'!$C$1:$C$24,'Merged Trusts and MFF year'!$A$1:$A$24,$B261,'Merged Trusts and MFF year'!$D$1:$D$24,"2013-14"))</f>
        <v>1.0407580417416844</v>
      </c>
      <c r="O261" s="499">
        <f ca="1">IF(SUMIFS('Merged Trusts and MFF year'!$C$1:$C$24,'Merged Trusts and MFF year'!$A$1:$A$24,$B261,'Merged Trusts and MFF year'!$D$1:$D$24,"2014-15")=0,N261,SUMIFS('Merged Trusts and MFF year'!$C$1:$C$24,'Merged Trusts and MFF year'!$A$1:$A$24,$B261,'Merged Trusts and MFF year'!$D$1:$D$24,"2014-15"))</f>
        <v>1.0407580417416844</v>
      </c>
      <c r="P261" s="506">
        <f t="shared" ca="1" si="48"/>
        <v>0</v>
      </c>
      <c r="Q261" s="499">
        <f ca="1">IF(SUMIFS('Merged Trusts and MFF year'!$C$1:$C$24,'Merged Trusts and MFF year'!$A$1:$A$24,$B261,'Merged Trusts and MFF year'!$D$1:$D$24,"2015-16")=0,O261,SUMIFS('Merged Trusts and MFF year'!$C$1:$C$24,'Merged Trusts and MFF year'!$A$1:$A$24,$B261,'Merged Trusts and MFF year'!$D$1:$D$24,"2015-16"))</f>
        <v>1.0407580417416844</v>
      </c>
      <c r="R261" s="506">
        <f t="shared" ca="1" si="49"/>
        <v>0</v>
      </c>
      <c r="S261" s="499">
        <f ca="1">IF(SUMIFS('Merged Trusts and MFF year'!$C$1:$C$24,'Merged Trusts and MFF year'!$A$1:$A$24,$B261,'Merged Trusts and MFF year'!$D$1:$D$24,"2016-17")=0,Q261,SUMIFS('Merged Trusts and MFF year'!$C$1:$C$24,'Merged Trusts and MFF year'!$A$1:$A$24,$B261,'Merged Trusts and MFF year'!$D$1:$D$24,"2016-17"))</f>
        <v>1.0407580417416844</v>
      </c>
      <c r="T261" s="506">
        <f t="shared" ca="1" si="50"/>
        <v>0</v>
      </c>
      <c r="U261" s="486"/>
    </row>
  </sheetData>
  <autoFilter ref="A6:U261"/>
  <mergeCells count="1">
    <mergeCell ref="A2:C2"/>
  </mergeCells>
  <phoneticPr fontId="7" type="noConversion"/>
  <pageMargins left="0.75" right="0.75" top="1" bottom="1" header="0.5" footer="0.5"/>
  <pageSetup paperSize="9" orientation="portrait"/>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autoPageBreaks="0"/>
  </sheetPr>
  <dimension ref="A1:I258"/>
  <sheetViews>
    <sheetView workbookViewId="0"/>
  </sheetViews>
  <sheetFormatPr defaultRowHeight="12.75" customHeight="1" x14ac:dyDescent="0.2"/>
  <cols>
    <col min="1" max="1" width="11.42578125" style="6" customWidth="1"/>
    <col min="2" max="2" width="7.85546875" style="7" customWidth="1"/>
    <col min="3" max="3" width="68" style="7" bestFit="1" customWidth="1"/>
    <col min="4" max="4" width="11.42578125" style="7" customWidth="1"/>
    <col min="5" max="5" width="8.85546875" style="7" customWidth="1"/>
    <col min="6" max="9" width="11.42578125" style="7" customWidth="1"/>
    <col min="10" max="241" width="11.42578125" style="6" customWidth="1"/>
    <col min="242" max="16384" width="9.140625" style="6"/>
  </cols>
  <sheetData>
    <row r="1" spans="1:9" ht="19.5" x14ac:dyDescent="0.3">
      <c r="A1" s="547" t="s">
        <v>4324</v>
      </c>
    </row>
    <row r="2" spans="1:9" ht="15" x14ac:dyDescent="0.2">
      <c r="A2" s="548" t="s">
        <v>4282</v>
      </c>
    </row>
    <row r="3" spans="1:9" ht="12.75" customHeight="1" x14ac:dyDescent="0.2">
      <c r="D3" s="3"/>
      <c r="E3" s="8" t="s">
        <v>2734</v>
      </c>
      <c r="F3" s="9" t="s">
        <v>2735</v>
      </c>
      <c r="G3" s="8" t="s">
        <v>2753</v>
      </c>
      <c r="H3" s="10" t="s">
        <v>2733</v>
      </c>
      <c r="I3" s="11" t="s">
        <v>632</v>
      </c>
    </row>
    <row r="4" spans="1:9" ht="12.75" customHeight="1" x14ac:dyDescent="0.2">
      <c r="D4" s="8" t="s">
        <v>631</v>
      </c>
      <c r="E4" s="12">
        <v>0.54914759484508857</v>
      </c>
      <c r="F4" s="12">
        <v>0.13904710383678176</v>
      </c>
      <c r="G4" s="12">
        <v>2.6635675286214532E-2</v>
      </c>
      <c r="H4" s="12">
        <v>4.4820020140147153E-3</v>
      </c>
      <c r="I4" s="12">
        <v>0.28068762401790043</v>
      </c>
    </row>
    <row r="5" spans="1:9" ht="13.5" customHeight="1" thickBot="1" x14ac:dyDescent="0.25">
      <c r="C5" s="14" t="s">
        <v>4155</v>
      </c>
    </row>
    <row r="6" spans="1:9" s="13" customFormat="1" ht="23.25" thickBot="1" x14ac:dyDescent="0.25">
      <c r="A6" s="450" t="s">
        <v>3572</v>
      </c>
      <c r="B6" s="493" t="s">
        <v>3368</v>
      </c>
      <c r="C6" s="1" t="s">
        <v>3369</v>
      </c>
      <c r="D6" s="493" t="s">
        <v>3571</v>
      </c>
      <c r="E6" s="493" t="s">
        <v>2734</v>
      </c>
      <c r="F6" s="493" t="s">
        <v>2735</v>
      </c>
      <c r="G6" s="493" t="s">
        <v>2753</v>
      </c>
      <c r="H6" s="493" t="s">
        <v>2733</v>
      </c>
      <c r="I6" s="220" t="s">
        <v>634</v>
      </c>
    </row>
    <row r="7" spans="1:9" ht="12.75" customHeight="1" x14ac:dyDescent="0.2">
      <c r="A7" s="549" t="s">
        <v>3528</v>
      </c>
      <c r="B7" s="460" t="s">
        <v>3372</v>
      </c>
      <c r="C7" s="460" t="s">
        <v>3373</v>
      </c>
      <c r="D7" s="484" t="s">
        <v>3530</v>
      </c>
      <c r="E7" s="173">
        <f>IF(SUMIF('Staff data'!B:B,'Base MFF calcs'!B7,'Staff data'!O:O)=0,VLOOKUP(D7,'PCT data'!$B$3:$I$159,7,FALSE),SUMIF('Staff data'!B:B,'Base MFF calcs'!B7,'Staff data'!O:O))</f>
        <v>0.96277524229960476</v>
      </c>
      <c r="F7" s="173">
        <f>VLOOKUP(B7,'M&amp;D data'!$C$13:$G$266,5,FALSE)</f>
        <v>0.99619990923086066</v>
      </c>
      <c r="G7" s="173">
        <f>IF(SUMIF('Buildings data'!B:B,'Base MFF calcs'!B7,'Buildings data'!L:L)=0,VLOOKUP(D7,'PCT data'!$B$3:$K$154,10,FALSE),SUMIF('Buildings data'!B:B,'Base MFF calcs'!B7,'Buildings data'!L:L))</f>
        <v>0.97520705353611459</v>
      </c>
      <c r="H7" s="173">
        <f>IF(ISNA(VLOOKUP(B7,'Land data'!$B$2:$J$240,9,FALSE)),SUMIF('PCT data'!$F$3:$F$159,'Base MFF calcs'!B7,'PCT data'!$R$3:$R$159)/SUMIF('PCT data'!$F$3:$F$159,'Base MFF calcs'!B7,'PCT data'!$D$3:$D$159),VLOOKUP(B7,'Land data'!$B$2:$J$240,9,FALSE))</f>
        <v>1.9326730893830359</v>
      </c>
      <c r="I7" s="550">
        <f t="shared" ref="I7:I70" si="0">E7*$E$4+F7*$F$4+G7*$G$4+H7*$H$4+$I$4</f>
        <v>0.98254958801800263</v>
      </c>
    </row>
    <row r="8" spans="1:9" ht="12.75" customHeight="1" x14ac:dyDescent="0.2">
      <c r="A8" s="451" t="s">
        <v>2975</v>
      </c>
      <c r="B8" s="172" t="s">
        <v>3376</v>
      </c>
      <c r="C8" s="482" t="s">
        <v>1311</v>
      </c>
      <c r="D8" s="171" t="s">
        <v>2977</v>
      </c>
      <c r="E8" s="173">
        <f>IF(SUMIF('Staff data'!B:B,'Base MFF calcs'!B8,'Staff data'!O:O)=0,VLOOKUP(D8,'PCT data'!$B$3:$I$159,7,FALSE),SUMIF('Staff data'!B:B,'Base MFF calcs'!B8,'Staff data'!O:O))</f>
        <v>0.95257524962638773</v>
      </c>
      <c r="F8" s="174">
        <f>VLOOKUP(B8,'M&amp;D data'!$C$13:$G$266,5,FALSE)</f>
        <v>0.99619990923086066</v>
      </c>
      <c r="G8" s="173">
        <f>IF(SUMIF('Buildings data'!B:B,'Base MFF calcs'!B8,'Buildings data'!L:L)=0,VLOOKUP(D8,'PCT data'!$B$3:$K$154,10,FALSE),SUMIF('Buildings data'!B:B,'Base MFF calcs'!B8,'Buildings data'!L:L))</f>
        <v>0.9025695467732352</v>
      </c>
      <c r="H8" s="174">
        <f>IF(ISNA(VLOOKUP(B8,'Land data'!$B$2:$J$240,9,FALSE)),SUMIF('PCT data'!$F$3:$F$159,'Base MFF calcs'!B8,'PCT data'!$R$3:$R$159)/SUMIF('PCT data'!$F$3:$F$159,'Base MFF calcs'!B8,'PCT data'!$D$3:$D$159),VLOOKUP(B8,'Land data'!$B$2:$J$240,9,FALSE))</f>
        <v>0.49291401272919849</v>
      </c>
      <c r="I8" s="551">
        <f t="shared" si="0"/>
        <v>0.96856053444907331</v>
      </c>
    </row>
    <row r="9" spans="1:9" ht="12.75" customHeight="1" x14ac:dyDescent="0.2">
      <c r="A9" s="451" t="s">
        <v>2975</v>
      </c>
      <c r="B9" s="172" t="s">
        <v>3378</v>
      </c>
      <c r="C9" s="172" t="s">
        <v>3379</v>
      </c>
      <c r="D9" s="171" t="s">
        <v>2979</v>
      </c>
      <c r="E9" s="173">
        <f>IF(SUMIF('Staff data'!B:B,'Base MFF calcs'!B9,'Staff data'!O:O)=0,VLOOKUP(D9,'PCT data'!$B$3:$I$159,7,FALSE),SUMIF('Staff data'!B:B,'Base MFF calcs'!B9,'Staff data'!O:O))</f>
        <v>0.94208267448785432</v>
      </c>
      <c r="F9" s="174">
        <f>VLOOKUP(B9,'M&amp;D data'!$C$13:$G$266,5,FALSE)</f>
        <v>0.99619990923086066</v>
      </c>
      <c r="G9" s="173">
        <f>IF(SUMIF('Buildings data'!B:B,'Base MFF calcs'!B9,'Buildings data'!L:L)=0,VLOOKUP(D9,'PCT data'!$B$3:$K$154,10,FALSE),SUMIF('Buildings data'!B:B,'Base MFF calcs'!B9,'Buildings data'!L:L))</f>
        <v>0.91550049923798604</v>
      </c>
      <c r="H9" s="174">
        <f>IF(ISNA(VLOOKUP(B9,'Land data'!$B$2:$J$240,9,FALSE)),SUMIF('PCT data'!$F$3:$F$159,'Base MFF calcs'!B9,'PCT data'!$R$3:$R$159)/SUMIF('PCT data'!$F$3:$F$159,'Base MFF calcs'!B9,'PCT data'!$D$3:$D$159),VLOOKUP(B9,'Land data'!$B$2:$J$240,9,FALSE))</f>
        <v>0.28062756049730736</v>
      </c>
      <c r="I9" s="551">
        <f t="shared" si="0"/>
        <v>0.96219151839255734</v>
      </c>
    </row>
    <row r="10" spans="1:9" ht="12.75" customHeight="1" x14ac:dyDescent="0.2">
      <c r="A10" s="451" t="s">
        <v>3034</v>
      </c>
      <c r="B10" s="172" t="s">
        <v>3380</v>
      </c>
      <c r="C10" s="172" t="s">
        <v>1290</v>
      </c>
      <c r="D10" s="171" t="s">
        <v>3036</v>
      </c>
      <c r="E10" s="173">
        <f>IF(SUMIF('Staff data'!B:B,'Base MFF calcs'!B10,'Staff data'!O:O)=0,VLOOKUP(D10,'PCT data'!$B$3:$I$159,7,FALSE),SUMIF('Staff data'!B:B,'Base MFF calcs'!B10,'Staff data'!O:O))</f>
        <v>0.92955570143188326</v>
      </c>
      <c r="F10" s="174">
        <f>VLOOKUP(B10,'M&amp;D data'!$C$13:$G$266,5,FALSE)</f>
        <v>0.99619990923086066</v>
      </c>
      <c r="G10" s="173">
        <f>IF(SUMIF('Buildings data'!B:B,'Base MFF calcs'!B10,'Buildings data'!L:L)=0,VLOOKUP(D10,'PCT data'!$B$3:$K$154,10,FALSE),SUMIF('Buildings data'!B:B,'Base MFF calcs'!B10,'Buildings data'!L:L))</f>
        <v>0.91550049923798604</v>
      </c>
      <c r="H10" s="174">
        <f>IF(ISNA(VLOOKUP(B10,'Land data'!$B$2:$J$240,9,FALSE)),SUMIF('PCT data'!$F$3:$F$159,'Base MFF calcs'!B10,'PCT data'!$R$3:$R$159)/SUMIF('PCT data'!$F$3:$F$159,'Base MFF calcs'!B10,'PCT data'!$D$3:$D$159),VLOOKUP(B10,'Land data'!$B$2:$J$240,9,FALSE))</f>
        <v>0.10905523694792191</v>
      </c>
      <c r="I10" s="551">
        <f t="shared" si="0"/>
        <v>0.9545433737684843</v>
      </c>
    </row>
    <row r="11" spans="1:9" ht="12.75" customHeight="1" x14ac:dyDescent="0.2">
      <c r="A11" s="451" t="s">
        <v>2975</v>
      </c>
      <c r="B11" s="172" t="s">
        <v>3382</v>
      </c>
      <c r="C11" s="172" t="s">
        <v>3383</v>
      </c>
      <c r="D11" s="171" t="s">
        <v>2979</v>
      </c>
      <c r="E11" s="173">
        <f>IF(SUMIF('Staff data'!B:B,'Base MFF calcs'!B11,'Staff data'!O:O)=0,VLOOKUP(D11,'PCT data'!$B$3:$I$159,7,FALSE),SUMIF('Staff data'!B:B,'Base MFF calcs'!B11,'Staff data'!O:O))</f>
        <v>0.94380671232576829</v>
      </c>
      <c r="F11" s="174">
        <f>VLOOKUP(B11,'M&amp;D data'!$C$13:$G$266,5,FALSE)</f>
        <v>0.99619990923086066</v>
      </c>
      <c r="G11" s="173">
        <f>IF(SUMIF('Buildings data'!B:B,'Base MFF calcs'!B11,'Buildings data'!L:L)=0,VLOOKUP(D11,'PCT data'!$B$3:$K$154,10,FALSE),SUMIF('Buildings data'!B:B,'Base MFF calcs'!B11,'Buildings data'!L:L))</f>
        <v>0.91550049923798604</v>
      </c>
      <c r="H11" s="174">
        <f>IF(ISNA(VLOOKUP(B11,'Land data'!$B$2:$J$240,9,FALSE)),SUMIF('PCT data'!$F$3:$F$159,'Base MFF calcs'!B11,'PCT data'!$R$3:$R$159)/SUMIF('PCT data'!$F$3:$F$159,'Base MFF calcs'!B11,'PCT data'!$D$3:$D$159),VLOOKUP(B11,'Land data'!$B$2:$J$240,9,FALSE))</f>
        <v>0.30558829546334554</v>
      </c>
      <c r="I11" s="551">
        <f t="shared" si="0"/>
        <v>0.96325014368905904</v>
      </c>
    </row>
    <row r="12" spans="1:9" ht="12.75" customHeight="1" x14ac:dyDescent="0.2">
      <c r="A12" s="451" t="s">
        <v>3496</v>
      </c>
      <c r="B12" s="172" t="s">
        <v>3384</v>
      </c>
      <c r="C12" s="482" t="s">
        <v>1308</v>
      </c>
      <c r="D12" s="171" t="s">
        <v>3498</v>
      </c>
      <c r="E12" s="173">
        <f>IF(SUMIF('Staff data'!B:B,'Base MFF calcs'!B12,'Staff data'!O:O)=0,VLOOKUP(D12,'PCT data'!$B$3:$I$159,7,FALSE),SUMIF('Staff data'!B:B,'Base MFF calcs'!B12,'Staff data'!O:O))</f>
        <v>1.1486075605759605</v>
      </c>
      <c r="F12" s="174">
        <f>VLOOKUP(B12,'M&amp;D data'!$C$13:$G$266,5,FALSE)</f>
        <v>0.99619990923086066</v>
      </c>
      <c r="G12" s="173">
        <f>IF(SUMIF('Buildings data'!B:B,'Base MFF calcs'!B12,'Buildings data'!L:L)=0,VLOOKUP(D12,'PCT data'!$B$3:$K$154,10,FALSE),SUMIF('Buildings data'!B:B,'Base MFF calcs'!B12,'Buildings data'!L:L))</f>
        <v>1.1045712545153963</v>
      </c>
      <c r="H12" s="174">
        <f>IF(ISNA(VLOOKUP(B12,'Land data'!$B$2:$J$240,9,FALSE)),SUMIF('PCT data'!$F$3:$F$159,'Base MFF calcs'!B12,'PCT data'!$R$3:$R$159)/SUMIF('PCT data'!$F$3:$F$159,'Base MFF calcs'!B12,'PCT data'!$D$3:$D$159),VLOOKUP(B12,'Land data'!$B$2:$J$240,9,FALSE))</f>
        <v>0.98502599010524738</v>
      </c>
      <c r="I12" s="551">
        <f t="shared" si="0"/>
        <v>1.0837973052873568</v>
      </c>
    </row>
    <row r="13" spans="1:9" ht="12.75" customHeight="1" x14ac:dyDescent="0.2">
      <c r="A13" s="451" t="s">
        <v>3528</v>
      </c>
      <c r="B13" s="172" t="s">
        <v>3386</v>
      </c>
      <c r="C13" s="172" t="s">
        <v>3387</v>
      </c>
      <c r="D13" s="171" t="s">
        <v>3532</v>
      </c>
      <c r="E13" s="173">
        <f>IF(SUMIF('Staff data'!B:B,'Base MFF calcs'!B13,'Staff data'!O:O)=0,VLOOKUP(D13,'PCT data'!$B$3:$I$159,7,FALSE),SUMIF('Staff data'!B:B,'Base MFF calcs'!B13,'Staff data'!O:O))</f>
        <v>0.99270971151853349</v>
      </c>
      <c r="F13" s="174">
        <f>VLOOKUP(B13,'M&amp;D data'!$C$13:$G$266,5,FALSE)</f>
        <v>0.99619990923086066</v>
      </c>
      <c r="G13" s="173">
        <f>IF(SUMIF('Buildings data'!B:B,'Base MFF calcs'!B13,'Buildings data'!L:L)=0,VLOOKUP(D13,'PCT data'!$B$3:$K$154,10,FALSE),SUMIF('Buildings data'!B:B,'Base MFF calcs'!B13,'Buildings data'!L:L))</f>
        <v>0.99969539392215989</v>
      </c>
      <c r="H13" s="174">
        <f>IF(ISNA(VLOOKUP(B13,'Land data'!$B$2:$J$240,9,FALSE)),SUMIF('PCT data'!$F$3:$F$159,'Base MFF calcs'!B13,'PCT data'!$R$3:$R$159)/SUMIF('PCT data'!$F$3:$F$159,'Base MFF calcs'!B13,'PCT data'!$D$3:$D$159),VLOOKUP(B13,'Land data'!$B$2:$J$240,9,FALSE))</f>
        <v>1.0175600299343475</v>
      </c>
      <c r="I13" s="452">
        <f t="shared" si="0"/>
        <v>0.99553875469986242</v>
      </c>
    </row>
    <row r="14" spans="1:9" ht="12.75" customHeight="1" x14ac:dyDescent="0.2">
      <c r="A14" s="451" t="s">
        <v>1167</v>
      </c>
      <c r="B14" s="172" t="s">
        <v>3388</v>
      </c>
      <c r="C14" s="172" t="s">
        <v>3389</v>
      </c>
      <c r="D14" s="171" t="s">
        <v>1169</v>
      </c>
      <c r="E14" s="173">
        <f>IF(SUMIF('Staff data'!B:B,'Base MFF calcs'!B14,'Staff data'!O:O)=0,VLOOKUP(D14,'PCT data'!$B$3:$I$159,7,FALSE),SUMIF('Staff data'!B:B,'Base MFF calcs'!B14,'Staff data'!O:O))</f>
        <v>1.1494894681535537</v>
      </c>
      <c r="F14" s="174">
        <f>VLOOKUP(B14,'M&amp;D data'!$C$13:$G$266,5,FALSE)</f>
        <v>1.0185025427599708</v>
      </c>
      <c r="G14" s="173">
        <f>IF(SUMIF('Buildings data'!B:B,'Base MFF calcs'!B14,'Buildings data'!L:L)=0,VLOOKUP(D14,'PCT data'!$B$3:$K$154,10,FALSE),SUMIF('Buildings data'!B:B,'Base MFF calcs'!B14,'Buildings data'!L:L))</f>
        <v>1.0434884853132316</v>
      </c>
      <c r="H14" s="174">
        <f>IF(ISNA(VLOOKUP(B14,'Land data'!$B$2:$J$240,9,FALSE)),SUMIF('PCT data'!$F$3:$F$159,'Base MFF calcs'!B14,'PCT data'!$R$3:$R$159)/SUMIF('PCT data'!$F$3:$F$159,'Base MFF calcs'!B14,'PCT data'!$D$3:$D$159),VLOOKUP(B14,'Land data'!$B$2:$J$240,9,FALSE))</f>
        <v>1.456982884953411</v>
      </c>
      <c r="I14" s="452">
        <f t="shared" si="0"/>
        <v>1.0878710502598095</v>
      </c>
    </row>
    <row r="15" spans="1:9" ht="12.75" customHeight="1" x14ac:dyDescent="0.2">
      <c r="A15" s="451" t="s">
        <v>1167</v>
      </c>
      <c r="B15" s="172" t="s">
        <v>3224</v>
      </c>
      <c r="C15" s="172" t="s">
        <v>2262</v>
      </c>
      <c r="D15" s="171" t="s">
        <v>1171</v>
      </c>
      <c r="E15" s="173">
        <f>IF(SUMIF('Staff data'!B:B,'Base MFF calcs'!B15,'Staff data'!O:O)=0,VLOOKUP(D15,'PCT data'!$B$3:$I$159,7,FALSE),SUMIF('Staff data'!B:B,'Base MFF calcs'!B15,'Staff data'!O:O))</f>
        <v>1.1680875191350411</v>
      </c>
      <c r="F15" s="174">
        <f>VLOOKUP(B15,'M&amp;D data'!$C$13:$G$266,5,FALSE)</f>
        <v>1.0185025427599708</v>
      </c>
      <c r="G15" s="173">
        <f>IF(SUMIF('Buildings data'!B:B,'Base MFF calcs'!B15,'Buildings data'!L:L)=0,VLOOKUP(D15,'PCT data'!$B$3:$K$154,10,FALSE),SUMIF('Buildings data'!B:B,'Base MFF calcs'!B15,'Buildings data'!L:L))</f>
        <v>1.1190435309236237</v>
      </c>
      <c r="H15" s="174">
        <f>IF(ISNA(VLOOKUP(B15,'Land data'!$B$2:$J$240,9,FALSE)),SUMIF('PCT data'!$F$3:$F$159,'Base MFF calcs'!B15,'PCT data'!$R$3:$R$159)/SUMIF('PCT data'!$F$3:$F$159,'Base MFF calcs'!B15,'PCT data'!$D$3:$D$159),VLOOKUP(B15,'Land data'!$B$2:$J$240,9,FALSE))</f>
        <v>3.4595943568866052</v>
      </c>
      <c r="I15" s="452">
        <f t="shared" si="0"/>
        <v>1.109072293536707</v>
      </c>
    </row>
    <row r="16" spans="1:9" ht="12.75" customHeight="1" x14ac:dyDescent="0.2">
      <c r="A16" s="451" t="s">
        <v>1167</v>
      </c>
      <c r="B16" s="172" t="s">
        <v>2263</v>
      </c>
      <c r="C16" s="172" t="s">
        <v>2264</v>
      </c>
      <c r="D16" s="171" t="s">
        <v>1173</v>
      </c>
      <c r="E16" s="173">
        <f>IF(SUMIF('Staff data'!B:B,'Base MFF calcs'!B16,'Staff data'!O:O)=0,VLOOKUP(D16,'PCT data'!$B$3:$I$159,7,FALSE),SUMIF('Staff data'!B:B,'Base MFF calcs'!B16,'Staff data'!O:O))</f>
        <v>1.1758159563257282</v>
      </c>
      <c r="F16" s="174">
        <f>VLOOKUP(B16,'M&amp;D data'!$C$13:$G$266,5,FALSE)</f>
        <v>1.0185025427599708</v>
      </c>
      <c r="G16" s="173">
        <f>IF(SUMIF('Buildings data'!B:B,'Base MFF calcs'!B16,'Buildings data'!L:L)=0,VLOOKUP(D16,'PCT data'!$B$3:$K$154,10,FALSE),SUMIF('Buildings data'!B:B,'Base MFF calcs'!B16,'Buildings data'!L:L))</f>
        <v>1.143917048361629</v>
      </c>
      <c r="H16" s="174">
        <f>IF(ISNA(VLOOKUP(B16,'Land data'!$B$2:$J$240,9,FALSE)),SUMIF('PCT data'!$F$3:$F$159,'Base MFF calcs'!B16,'PCT data'!$R$3:$R$159)/SUMIF('PCT data'!$F$3:$F$159,'Base MFF calcs'!B16,'PCT data'!$D$3:$D$159),VLOOKUP(B16,'Land data'!$B$2:$J$240,9,FALSE))</f>
        <v>2.992363700443772</v>
      </c>
      <c r="I16" s="452">
        <f t="shared" si="0"/>
        <v>1.1118847404224024</v>
      </c>
    </row>
    <row r="17" spans="1:9" ht="12.75" customHeight="1" x14ac:dyDescent="0.2">
      <c r="A17" s="451" t="s">
        <v>3034</v>
      </c>
      <c r="B17" s="172" t="s">
        <v>2265</v>
      </c>
      <c r="C17" s="172" t="s">
        <v>2266</v>
      </c>
      <c r="D17" s="171" t="s">
        <v>3038</v>
      </c>
      <c r="E17" s="173">
        <f>IF(SUMIF('Staff data'!B:B,'Base MFF calcs'!B17,'Staff data'!O:O)=0,VLOOKUP(D17,'PCT data'!$B$3:$I$159,7,FALSE),SUMIF('Staff data'!B:B,'Base MFF calcs'!B17,'Staff data'!O:O))</f>
        <v>0.92897194245831016</v>
      </c>
      <c r="F17" s="174">
        <f>VLOOKUP(B17,'M&amp;D data'!$C$13:$G$266,5,FALSE)</f>
        <v>0.99619990923086066</v>
      </c>
      <c r="G17" s="173">
        <f>IF(SUMIF('Buildings data'!B:B,'Base MFF calcs'!B17,'Buildings data'!L:L)=0,VLOOKUP(D17,'PCT data'!$B$3:$K$154,10,FALSE),SUMIF('Buildings data'!B:B,'Base MFF calcs'!B17,'Buildings data'!L:L))</f>
        <v>0.92545159162100765</v>
      </c>
      <c r="H17" s="174">
        <f>IF(ISNA(VLOOKUP(B17,'Land data'!$B$2:$J$240,9,FALSE)),SUMIF('PCT data'!$F$3:$F$159,'Base MFF calcs'!B17,'PCT data'!$R$3:$R$159)/SUMIF('PCT data'!$F$3:$F$159,'Base MFF calcs'!B17,'PCT data'!$D$3:$D$159),VLOOKUP(B17,'Land data'!$B$2:$J$240,9,FALSE))</f>
        <v>0.5069020167217958</v>
      </c>
      <c r="I17" s="452">
        <f t="shared" si="0"/>
        <v>0.9562710080658503</v>
      </c>
    </row>
    <row r="18" spans="1:9" ht="12.75" customHeight="1" x14ac:dyDescent="0.2">
      <c r="A18" s="451" t="s">
        <v>1167</v>
      </c>
      <c r="B18" s="172" t="s">
        <v>2267</v>
      </c>
      <c r="C18" s="172" t="s">
        <v>2268</v>
      </c>
      <c r="D18" s="171" t="s">
        <v>1175</v>
      </c>
      <c r="E18" s="173">
        <f>IF(SUMIF('Staff data'!B:B,'Base MFF calcs'!B18,'Staff data'!O:O)=0,VLOOKUP(D18,'PCT data'!$B$3:$I$159,7,FALSE),SUMIF('Staff data'!B:B,'Base MFF calcs'!B18,'Staff data'!O:O))</f>
        <v>1.1934145240505634</v>
      </c>
      <c r="F18" s="174">
        <f>VLOOKUP(B18,'M&amp;D data'!$C$13:$G$266,5,FALSE)</f>
        <v>1.0185025427599708</v>
      </c>
      <c r="G18" s="173">
        <f>IF(SUMIF('Buildings data'!B:B,'Base MFF calcs'!B18,'Buildings data'!L:L)=0,VLOOKUP(D18,'PCT data'!$B$3:$K$154,10,FALSE),SUMIF('Buildings data'!B:B,'Base MFF calcs'!B18,'Buildings data'!L:L))</f>
        <v>1.1890000539525871</v>
      </c>
      <c r="H18" s="174">
        <f>IF(ISNA(VLOOKUP(B18,'Land data'!$B$2:$J$240,9,FALSE)),SUMIF('PCT data'!$F$3:$F$159,'Base MFF calcs'!B18,'PCT data'!$R$3:$R$159)/SUMIF('PCT data'!$F$3:$F$159,'Base MFF calcs'!B18,'PCT data'!$D$3:$D$159),VLOOKUP(B18,'Land data'!$B$2:$J$240,9,FALSE))</f>
        <v>6.1647518624839464</v>
      </c>
      <c r="I18" s="452">
        <f t="shared" si="0"/>
        <v>1.1369684179905619</v>
      </c>
    </row>
    <row r="19" spans="1:9" ht="12.75" customHeight="1" x14ac:dyDescent="0.2">
      <c r="A19" s="451" t="s">
        <v>1127</v>
      </c>
      <c r="B19" s="172" t="s">
        <v>2269</v>
      </c>
      <c r="C19" s="172" t="s">
        <v>2270</v>
      </c>
      <c r="D19" s="171" t="s">
        <v>1129</v>
      </c>
      <c r="E19" s="173">
        <f>IF(SUMIF('Staff data'!B:B,'Base MFF calcs'!B19,'Staff data'!O:O)=0,VLOOKUP(D19,'PCT data'!$B$3:$I$159,7,FALSE),SUMIF('Staff data'!B:B,'Base MFF calcs'!B19,'Staff data'!O:O))</f>
        <v>1.0678308165723296</v>
      </c>
      <c r="F19" s="174">
        <f>VLOOKUP(B19,'M&amp;D data'!$C$13:$G$266,5,FALSE)</f>
        <v>0.99619990923086066</v>
      </c>
      <c r="G19" s="173">
        <f>IF(SUMIF('Buildings data'!B:B,'Base MFF calcs'!B19,'Buildings data'!L:L)=0,VLOOKUP(D19,'PCT data'!$B$3:$K$154,10,FALSE),SUMIF('Buildings data'!B:B,'Base MFF calcs'!B19,'Buildings data'!L:L))</f>
        <v>1.0349136078342451</v>
      </c>
      <c r="H19" s="174">
        <f>IF(ISNA(VLOOKUP(B19,'Land data'!$B$2:$J$240,9,FALSE)),SUMIF('PCT data'!$F$3:$F$159,'Base MFF calcs'!B19,'PCT data'!$R$3:$R$159)/SUMIF('PCT data'!$F$3:$F$159,'Base MFF calcs'!B19,'PCT data'!$D$3:$D$159),VLOOKUP(B19,'Land data'!$B$2:$J$240,9,FALSE))</f>
        <v>1.5506531830650414</v>
      </c>
      <c r="I19" s="452">
        <f t="shared" si="0"/>
        <v>1.0401187143581718</v>
      </c>
    </row>
    <row r="20" spans="1:9" ht="12.75" customHeight="1" x14ac:dyDescent="0.2">
      <c r="A20" s="451" t="s">
        <v>1127</v>
      </c>
      <c r="B20" s="172" t="s">
        <v>2271</v>
      </c>
      <c r="C20" s="172" t="s">
        <v>2272</v>
      </c>
      <c r="D20" s="171" t="s">
        <v>1131</v>
      </c>
      <c r="E20" s="173">
        <f>IF(SUMIF('Staff data'!B:B,'Base MFF calcs'!B20,'Staff data'!O:O)=0,VLOOKUP(D20,'PCT data'!$B$3:$I$159,7,FALSE),SUMIF('Staff data'!B:B,'Base MFF calcs'!B20,'Staff data'!O:O))</f>
        <v>1.0127292473477008</v>
      </c>
      <c r="F20" s="174">
        <f>VLOOKUP(B20,'M&amp;D data'!$C$13:$G$266,5,FALSE)</f>
        <v>0.99619990923086066</v>
      </c>
      <c r="G20" s="173">
        <f>IF(SUMIF('Buildings data'!B:B,'Base MFF calcs'!B20,'Buildings data'!L:L)=0,VLOOKUP(D20,'PCT data'!$B$3:$K$154,10,FALSE),SUMIF('Buildings data'!B:B,'Base MFF calcs'!B20,'Buildings data'!L:L))</f>
        <v>1.0150114230682019</v>
      </c>
      <c r="H20" s="174">
        <f>IF(ISNA(VLOOKUP(B20,'Land data'!$B$2:$J$240,9,FALSE)),SUMIF('PCT data'!$F$3:$F$159,'Base MFF calcs'!B20,'PCT data'!$R$3:$R$159)/SUMIF('PCT data'!$F$3:$F$159,'Base MFF calcs'!B20,'PCT data'!$D$3:$D$159),VLOOKUP(B20,'Land data'!$B$2:$J$240,9,FALSE))</f>
        <v>1.3614166114298478</v>
      </c>
      <c r="I20" s="452">
        <f t="shared" si="0"/>
        <v>1.0084815533201679</v>
      </c>
    </row>
    <row r="21" spans="1:9" ht="12.75" customHeight="1" x14ac:dyDescent="0.2">
      <c r="A21" s="451" t="s">
        <v>1127</v>
      </c>
      <c r="B21" s="172" t="s">
        <v>2273</v>
      </c>
      <c r="C21" s="172" t="s">
        <v>2274</v>
      </c>
      <c r="D21" s="171" t="s">
        <v>1149</v>
      </c>
      <c r="E21" s="173">
        <f>IF(SUMIF('Staff data'!B:B,'Base MFF calcs'!B21,'Staff data'!O:O)=0,VLOOKUP(D21,'PCT data'!$B$3:$I$159,7,FALSE),SUMIF('Staff data'!B:B,'Base MFF calcs'!B21,'Staff data'!O:O))</f>
        <v>1.0590185676380754</v>
      </c>
      <c r="F21" s="174">
        <f>VLOOKUP(B21,'M&amp;D data'!$C$13:$G$266,5,FALSE)</f>
        <v>0.99619990923086066</v>
      </c>
      <c r="G21" s="173">
        <f>IF(SUMIF('Buildings data'!B:B,'Base MFF calcs'!B21,'Buildings data'!L:L)=0,VLOOKUP(D21,'PCT data'!$B$3:$K$154,10,FALSE),SUMIF('Buildings data'!B:B,'Base MFF calcs'!B21,'Buildings data'!L:L))</f>
        <v>1.0410373569930278</v>
      </c>
      <c r="H21" s="174">
        <f>IF(ISNA(VLOOKUP(B21,'Land data'!$B$2:$J$240,9,FALSE)),SUMIF('PCT data'!$F$3:$F$159,'Base MFF calcs'!B21,'PCT data'!$R$3:$R$159)/SUMIF('PCT data'!$F$3:$F$159,'Base MFF calcs'!B21,'PCT data'!$D$3:$D$159),VLOOKUP(B21,'Land data'!$B$2:$J$240,9,FALSE))</f>
        <v>1.0821035458770647</v>
      </c>
      <c r="I21" s="452">
        <f t="shared" si="0"/>
        <v>1.0333425588273353</v>
      </c>
    </row>
    <row r="22" spans="1:9" ht="12.75" customHeight="1" x14ac:dyDescent="0.2">
      <c r="A22" s="451" t="s">
        <v>191</v>
      </c>
      <c r="B22" s="172" t="s">
        <v>2275</v>
      </c>
      <c r="C22" s="172" t="s">
        <v>2276</v>
      </c>
      <c r="D22" s="171" t="s">
        <v>194</v>
      </c>
      <c r="E22" s="173">
        <f>IF(SUMIF('Staff data'!B:B,'Base MFF calcs'!B22,'Staff data'!O:O)=0,VLOOKUP(D22,'PCT data'!$B$3:$I$159,7,FALSE),SUMIF('Staff data'!B:B,'Base MFF calcs'!B22,'Staff data'!O:O))</f>
        <v>1.1169403921866685</v>
      </c>
      <c r="F22" s="174">
        <f>VLOOKUP(B22,'M&amp;D data'!$C$13:$G$266,5,FALSE)</f>
        <v>0.99619990923086066</v>
      </c>
      <c r="G22" s="173">
        <f>IF(SUMIF('Buildings data'!B:B,'Base MFF calcs'!B22,'Buildings data'!L:L)=0,VLOOKUP(D22,'PCT data'!$B$3:$K$154,10,FALSE),SUMIF('Buildings data'!B:B,'Base MFF calcs'!B22,'Buildings data'!L:L))</f>
        <v>1.0499790066611303</v>
      </c>
      <c r="H22" s="174">
        <f>IF(ISNA(VLOOKUP(B22,'Land data'!$B$2:$J$240,9,FALSE)),SUMIF('PCT data'!$F$3:$F$159,'Base MFF calcs'!B22,'PCT data'!$R$3:$R$159)/SUMIF('PCT data'!$F$3:$F$159,'Base MFF calcs'!B22,'PCT data'!$D$3:$D$159),VLOOKUP(B22,'Land data'!$B$2:$J$240,9,FALSE))</f>
        <v>1.1397551404255146</v>
      </c>
      <c r="I22" s="452">
        <f t="shared" si="0"/>
        <v>1.0656467509071943</v>
      </c>
    </row>
    <row r="23" spans="1:9" ht="12.75" customHeight="1" x14ac:dyDescent="0.2">
      <c r="A23" s="451" t="s">
        <v>2133</v>
      </c>
      <c r="B23" s="172" t="s">
        <v>2277</v>
      </c>
      <c r="C23" s="172" t="s">
        <v>2278</v>
      </c>
      <c r="D23" s="171" t="s">
        <v>2135</v>
      </c>
      <c r="E23" s="173">
        <f>IF(SUMIF('Staff data'!B:B,'Base MFF calcs'!B23,'Staff data'!O:O)=0,VLOOKUP(D23,'PCT data'!$B$3:$I$159,7,FALSE),SUMIF('Staff data'!B:B,'Base MFF calcs'!B23,'Staff data'!O:O))</f>
        <v>0.94565588742492868</v>
      </c>
      <c r="F23" s="174">
        <f>VLOOKUP(B23,'M&amp;D data'!$C$13:$G$266,5,FALSE)</f>
        <v>0.99619990923086066</v>
      </c>
      <c r="G23" s="173">
        <f>IF(SUMIF('Buildings data'!B:B,'Base MFF calcs'!B23,'Buildings data'!L:L)=0,VLOOKUP(D23,'PCT data'!$B$3:$K$154,10,FALSE),SUMIF('Buildings data'!B:B,'Base MFF calcs'!B23,'Buildings data'!L:L))</f>
        <v>0.94535377638704965</v>
      </c>
      <c r="H23" s="174">
        <f>IF(ISNA(VLOOKUP(B23,'Land data'!$B$2:$J$240,9,FALSE)),SUMIF('PCT data'!$F$3:$F$159,'Base MFF calcs'!B23,'PCT data'!$R$3:$R$159)/SUMIF('PCT data'!$F$3:$F$159,'Base MFF calcs'!B23,'PCT data'!$D$3:$D$159),VLOOKUP(B23,'Land data'!$B$2:$J$240,9,FALSE))</f>
        <v>1.032290748371794</v>
      </c>
      <c r="I23" s="452">
        <f t="shared" si="0"/>
        <v>0.96831785780110713</v>
      </c>
    </row>
    <row r="24" spans="1:9" ht="12.75" customHeight="1" x14ac:dyDescent="0.2">
      <c r="A24" s="451" t="s">
        <v>2133</v>
      </c>
      <c r="B24" s="172" t="s">
        <v>2279</v>
      </c>
      <c r="C24" s="172" t="s">
        <v>2280</v>
      </c>
      <c r="D24" s="171" t="s">
        <v>2135</v>
      </c>
      <c r="E24" s="173">
        <f>IF(SUMIF('Staff data'!B:B,'Base MFF calcs'!B24,'Staff data'!O:O)=0,VLOOKUP(D24,'PCT data'!$B$3:$I$159,7,FALSE),SUMIF('Staff data'!B:B,'Base MFF calcs'!B24,'Staff data'!O:O))</f>
        <v>0.9469497037947342</v>
      </c>
      <c r="F24" s="174">
        <f>VLOOKUP(B24,'M&amp;D data'!$C$13:$G$266,5,FALSE)</f>
        <v>0.99619990923086066</v>
      </c>
      <c r="G24" s="173">
        <f>IF(SUMIF('Buildings data'!B:B,'Base MFF calcs'!B24,'Buildings data'!L:L)=0,VLOOKUP(D24,'PCT data'!$B$3:$K$154,10,FALSE),SUMIF('Buildings data'!B:B,'Base MFF calcs'!B24,'Buildings data'!L:L))</f>
        <v>0.94535377638704976</v>
      </c>
      <c r="H24" s="174">
        <f>IF(ISNA(VLOOKUP(B24,'Land data'!$B$2:$J$240,9,FALSE)),SUMIF('PCT data'!$F$3:$F$159,'Base MFF calcs'!B24,'PCT data'!$R$3:$R$159)/SUMIF('PCT data'!$F$3:$F$159,'Base MFF calcs'!B24,'PCT data'!$D$3:$D$159),VLOOKUP(B24,'Land data'!$B$2:$J$240,9,FALSE))</f>
        <v>2.1760804549385706</v>
      </c>
      <c r="I24" s="452">
        <f t="shared" si="0"/>
        <v>0.97415482171719869</v>
      </c>
    </row>
    <row r="25" spans="1:9" ht="12.75" customHeight="1" x14ac:dyDescent="0.2">
      <c r="A25" s="451" t="s">
        <v>2133</v>
      </c>
      <c r="B25" s="172" t="s">
        <v>2283</v>
      </c>
      <c r="C25" s="172" t="s">
        <v>2284</v>
      </c>
      <c r="D25" s="171" t="s">
        <v>2138</v>
      </c>
      <c r="E25" s="173">
        <f>IF(SUMIF('Staff data'!B:B,'Base MFF calcs'!B25,'Staff data'!O:O)=0,VLOOKUP(D25,'PCT data'!$B$3:$I$159,7,FALSE),SUMIF('Staff data'!B:B,'Base MFF calcs'!B25,'Staff data'!O:O))</f>
        <v>0.94466202809518385</v>
      </c>
      <c r="F25" s="174">
        <f>VLOOKUP(B25,'M&amp;D data'!$C$13:$G$266,5,FALSE)</f>
        <v>0.99619990923086066</v>
      </c>
      <c r="G25" s="173">
        <f>IF(SUMIF('Buildings data'!B:B,'Base MFF calcs'!B25,'Buildings data'!L:L)=0,VLOOKUP(D25,'PCT data'!$B$3:$K$154,10,FALSE),SUMIF('Buildings data'!B:B,'Base MFF calcs'!B25,'Buildings data'!L:L))</f>
        <v>0.94535377638704965</v>
      </c>
      <c r="H25" s="174">
        <f ca="1">IF(ISNA(VLOOKUP(B25,'Land data'!$B$2:$J$240,9,FALSE)),SUMIF('PCT data'!$F$3:$F$159,'Base MFF calcs'!B25,'PCT data'!$R$3:$R$159)/SUMIF('PCT data'!$F$3:$F$159,'Base MFF calcs'!B25,'PCT data'!$D$3:$D$159),VLOOKUP(B25,'Land data'!$B$2:$J$240,9,FALSE))</f>
        <v>0.8598831525314794</v>
      </c>
      <c r="I25" s="452">
        <f t="shared" ca="1" si="0"/>
        <v>0.96699935114877578</v>
      </c>
    </row>
    <row r="26" spans="1:9" ht="12.75" customHeight="1" x14ac:dyDescent="0.2">
      <c r="A26" s="451" t="s">
        <v>2975</v>
      </c>
      <c r="B26" s="172" t="s">
        <v>2285</v>
      </c>
      <c r="C26" s="482" t="s">
        <v>1313</v>
      </c>
      <c r="D26" s="171" t="s">
        <v>2982</v>
      </c>
      <c r="E26" s="173">
        <f>IF(SUMIF('Staff data'!B:B,'Base MFF calcs'!B26,'Staff data'!O:O)=0,VLOOKUP(D26,'PCT data'!$B$3:$I$159,7,FALSE),SUMIF('Staff data'!B:B,'Base MFF calcs'!B26,'Staff data'!O:O))</f>
        <v>0.92007706404070766</v>
      </c>
      <c r="F26" s="174">
        <f>VLOOKUP(B26,'M&amp;D data'!$C$13:$G$266,5,FALSE)</f>
        <v>0.99619990923086066</v>
      </c>
      <c r="G26" s="173">
        <f>IF(SUMIF('Buildings data'!B:B,'Base MFF calcs'!B26,'Buildings data'!L:L)=0,VLOOKUP(D26,'PCT data'!$B$3:$K$154,10,FALSE),SUMIF('Buildings data'!B:B,'Base MFF calcs'!B26,'Buildings data'!L:L))</f>
        <v>0.93646313410727822</v>
      </c>
      <c r="H26" s="174">
        <f>IF(ISNA(VLOOKUP(B26,'Land data'!$B$2:$J$240,9,FALSE)),SUMIF('PCT data'!$F$3:$F$159,'Base MFF calcs'!B26,'PCT data'!$R$3:$R$159)/SUMIF('PCT data'!$F$3:$F$159,'Base MFF calcs'!B26,'PCT data'!$D$3:$D$159),VLOOKUP(B26,'Land data'!$B$2:$J$240,9,FALSE))</f>
        <v>0.32806384736592281</v>
      </c>
      <c r="I26" s="452">
        <f t="shared" si="0"/>
        <v>0.95087815381121343</v>
      </c>
    </row>
    <row r="27" spans="1:9" ht="12.75" customHeight="1" x14ac:dyDescent="0.2">
      <c r="A27" s="451" t="s">
        <v>3034</v>
      </c>
      <c r="B27" s="172" t="s">
        <v>2287</v>
      </c>
      <c r="C27" s="172" t="s">
        <v>2288</v>
      </c>
      <c r="D27" s="171" t="s">
        <v>3036</v>
      </c>
      <c r="E27" s="173">
        <f>IF(SUMIF('Staff data'!B:B,'Base MFF calcs'!B27,'Staff data'!O:O)=0,VLOOKUP(D27,'PCT data'!$B$3:$I$159,7,FALSE),SUMIF('Staff data'!B:B,'Base MFF calcs'!B27,'Staff data'!O:O))</f>
        <v>0.93033278385931917</v>
      </c>
      <c r="F27" s="174">
        <f>VLOOKUP(B27,'M&amp;D data'!$C$13:$G$266,5,FALSE)</f>
        <v>0.99619990923086066</v>
      </c>
      <c r="G27" s="173">
        <f>IF(SUMIF('Buildings data'!B:B,'Base MFF calcs'!B27,'Buildings data'!L:L)=0,VLOOKUP(D27,'PCT data'!$B$3:$K$154,10,FALSE),SUMIF('Buildings data'!B:B,'Base MFF calcs'!B27,'Buildings data'!L:L))</f>
        <v>0.91550049923798604</v>
      </c>
      <c r="H27" s="174">
        <f>IF(ISNA(VLOOKUP(B27,'Land data'!$B$2:$J$240,9,FALSE)),SUMIF('PCT data'!$F$3:$F$159,'Base MFF calcs'!B27,'PCT data'!$R$3:$R$159)/SUMIF('PCT data'!$F$3:$F$159,'Base MFF calcs'!B27,'PCT data'!$D$3:$D$159),VLOOKUP(B27,'Land data'!$B$2:$J$240,9,FALSE))</f>
        <v>0.72247093449278943</v>
      </c>
      <c r="I27" s="452">
        <f t="shared" si="0"/>
        <v>0.95771943710633134</v>
      </c>
    </row>
    <row r="28" spans="1:9" ht="12.75" customHeight="1" x14ac:dyDescent="0.2">
      <c r="A28" s="451" t="s">
        <v>3034</v>
      </c>
      <c r="B28" s="172" t="s">
        <v>2289</v>
      </c>
      <c r="C28" s="172" t="s">
        <v>2290</v>
      </c>
      <c r="D28" s="171" t="s">
        <v>3036</v>
      </c>
      <c r="E28" s="173">
        <f>IF(SUMIF('Staff data'!B:B,'Base MFF calcs'!B28,'Staff data'!O:O)=0,VLOOKUP(D28,'PCT data'!$B$3:$I$159,7,FALSE),SUMIF('Staff data'!B:B,'Base MFF calcs'!B28,'Staff data'!O:O))</f>
        <v>0.92969153944150029</v>
      </c>
      <c r="F28" s="174">
        <f>VLOOKUP(B28,'M&amp;D data'!$C$13:$G$266,5,FALSE)</f>
        <v>0.99619990923086066</v>
      </c>
      <c r="G28" s="173">
        <f>IF(SUMIF('Buildings data'!B:B,'Base MFF calcs'!B28,'Buildings data'!L:L)=0,VLOOKUP(D28,'PCT data'!$B$3:$K$154,10,FALSE),SUMIF('Buildings data'!B:B,'Base MFF calcs'!B28,'Buildings data'!L:L))</f>
        <v>0.91550049923798604</v>
      </c>
      <c r="H28" s="174">
        <f>IF(ISNA(VLOOKUP(B28,'Land data'!$B$2:$J$240,9,FALSE)),SUMIF('PCT data'!$F$3:$F$159,'Base MFF calcs'!B28,'PCT data'!$R$3:$R$159)/SUMIF('PCT data'!$F$3:$F$159,'Base MFF calcs'!B28,'PCT data'!$D$3:$D$159),VLOOKUP(B28,'Land data'!$B$2:$J$240,9,FALSE))</f>
        <v>0.75979240191118536</v>
      </c>
      <c r="I28" s="452">
        <f t="shared" si="0"/>
        <v>0.95753457416871357</v>
      </c>
    </row>
    <row r="29" spans="1:9" ht="12.75" customHeight="1" x14ac:dyDescent="0.2">
      <c r="A29" s="451" t="s">
        <v>3496</v>
      </c>
      <c r="B29" s="172" t="s">
        <v>2292</v>
      </c>
      <c r="C29" s="172" t="s">
        <v>2293</v>
      </c>
      <c r="D29" s="171" t="s">
        <v>3500</v>
      </c>
      <c r="E29" s="173">
        <f>IF(SUMIF('Staff data'!B:B,'Base MFF calcs'!B29,'Staff data'!O:O)=0,VLOOKUP(D29,'PCT data'!$B$3:$I$159,7,FALSE),SUMIF('Staff data'!B:B,'Base MFF calcs'!B29,'Staff data'!O:O))</f>
        <v>0.98793758775301699</v>
      </c>
      <c r="F29" s="174">
        <f>VLOOKUP(B29,'M&amp;D data'!$C$13:$G$266,5,FALSE)</f>
        <v>0.99619990923086066</v>
      </c>
      <c r="G29" s="173">
        <f>IF(SUMIF('Buildings data'!B:B,'Base MFF calcs'!B29,'Buildings data'!L:L)=0,VLOOKUP(D29,'PCT data'!$B$3:$K$154,10,FALSE),SUMIF('Buildings data'!B:B,'Base MFF calcs'!B29,'Buildings data'!L:L))</f>
        <v>1.0689163265473327</v>
      </c>
      <c r="H29" s="174">
        <f>IF(ISNA(VLOOKUP(B29,'Land data'!$B$2:$J$240,9,FALSE)),SUMIF('PCT data'!$F$3:$F$159,'Base MFF calcs'!B29,'PCT data'!$R$3:$R$159)/SUMIF('PCT data'!$F$3:$F$159,'Base MFF calcs'!B29,'PCT data'!$D$3:$D$159),VLOOKUP(B29,'Land data'!$B$2:$J$240,9,FALSE))</f>
        <v>1.1230395218822253</v>
      </c>
      <c r="I29" s="452">
        <f t="shared" si="0"/>
        <v>0.99523465999148675</v>
      </c>
    </row>
    <row r="30" spans="1:9" ht="12.75" customHeight="1" x14ac:dyDescent="0.2">
      <c r="A30" s="451" t="s">
        <v>191</v>
      </c>
      <c r="B30" s="172" t="s">
        <v>2294</v>
      </c>
      <c r="C30" s="482" t="s">
        <v>1315</v>
      </c>
      <c r="D30" s="171" t="s">
        <v>196</v>
      </c>
      <c r="E30" s="173">
        <f>IF(SUMIF('Staff data'!B:B,'Base MFF calcs'!B30,'Staff data'!O:O)=0,VLOOKUP(D30,'PCT data'!$B$3:$I$159,7,FALSE),SUMIF('Staff data'!B:B,'Base MFF calcs'!B30,'Staff data'!O:O))</f>
        <v>1.1073761786291634</v>
      </c>
      <c r="F30" s="174">
        <f>VLOOKUP(B30,'M&amp;D data'!$C$13:$G$266,5,FALSE)</f>
        <v>0.99619990923086066</v>
      </c>
      <c r="G30" s="173">
        <f>IF(SUMIF('Buildings data'!B:B,'Base MFF calcs'!B30,'Buildings data'!L:L)=0,VLOOKUP(D30,'PCT data'!$B$3:$K$154,10,FALSE),SUMIF('Buildings data'!B:B,'Base MFF calcs'!B30,'Buildings data'!L:L))</f>
        <v>1.0747179773663313</v>
      </c>
      <c r="H30" s="174">
        <f>IF(ISNA(VLOOKUP(B30,'Land data'!$B$2:$J$240,9,FALSE)),SUMIF('PCT data'!$F$3:$F$159,'Base MFF calcs'!B30,'PCT data'!$R$3:$R$159)/SUMIF('PCT data'!$F$3:$F$159,'Base MFF calcs'!B30,'PCT data'!$D$3:$D$159),VLOOKUP(B30,'Land data'!$B$2:$J$240,9,FALSE))</f>
        <v>0.87779911050994497</v>
      </c>
      <c r="I30" s="452">
        <f t="shared" si="0"/>
        <v>1.0598794377724594</v>
      </c>
    </row>
    <row r="31" spans="1:9" ht="12.75" customHeight="1" x14ac:dyDescent="0.2">
      <c r="A31" s="451" t="s">
        <v>2133</v>
      </c>
      <c r="B31" s="172" t="s">
        <v>2296</v>
      </c>
      <c r="C31" s="172" t="s">
        <v>2297</v>
      </c>
      <c r="D31" s="171" t="s">
        <v>2140</v>
      </c>
      <c r="E31" s="173">
        <f>IF(SUMIF('Staff data'!B:B,'Base MFF calcs'!B31,'Staff data'!O:O)=0,VLOOKUP(D31,'PCT data'!$B$3:$I$159,7,FALSE),SUMIF('Staff data'!B:B,'Base MFF calcs'!B31,'Staff data'!O:O))</f>
        <v>0.93973046406716887</v>
      </c>
      <c r="F31" s="174">
        <f>VLOOKUP(B31,'M&amp;D data'!$C$13:$G$266,5,FALSE)</f>
        <v>0.99619990923086066</v>
      </c>
      <c r="G31" s="173">
        <f>IF(SUMIF('Buildings data'!B:B,'Base MFF calcs'!B31,'Buildings data'!L:L)=0,VLOOKUP(D31,'PCT data'!$B$3:$K$154,10,FALSE),SUMIF('Buildings data'!B:B,'Base MFF calcs'!B31,'Buildings data'!L:L))</f>
        <v>0.91550049923798604</v>
      </c>
      <c r="H31" s="174">
        <f>IF(ISNA(VLOOKUP(B31,'Land data'!$B$2:$J$240,9,FALSE)),SUMIF('PCT data'!$F$3:$F$159,'Base MFF calcs'!B31,'PCT data'!$R$3:$R$159)/SUMIF('PCT data'!$F$3:$F$159,'Base MFF calcs'!B31,'PCT data'!$D$3:$D$159),VLOOKUP(B31,'Land data'!$B$2:$J$240,9,FALSE))</f>
        <v>0.76303058740007179</v>
      </c>
      <c r="I31" s="452">
        <f t="shared" si="0"/>
        <v>0.96306193903561343</v>
      </c>
    </row>
    <row r="32" spans="1:9" ht="12.75" customHeight="1" x14ac:dyDescent="0.2">
      <c r="A32" s="451" t="s">
        <v>3034</v>
      </c>
      <c r="B32" s="172" t="s">
        <v>2298</v>
      </c>
      <c r="C32" s="172" t="s">
        <v>2299</v>
      </c>
      <c r="D32" s="171" t="s">
        <v>3042</v>
      </c>
      <c r="E32" s="173">
        <f>IF(SUMIF('Staff data'!B:B,'Base MFF calcs'!B32,'Staff data'!O:O)=0,VLOOKUP(D32,'PCT data'!$B$3:$I$159,7,FALSE),SUMIF('Staff data'!B:B,'Base MFF calcs'!B32,'Staff data'!O:O))</f>
        <v>0.93005311266411206</v>
      </c>
      <c r="F32" s="174">
        <f>VLOOKUP(B32,'M&amp;D data'!$C$13:$G$266,5,FALSE)</f>
        <v>0.99619990923086066</v>
      </c>
      <c r="G32" s="173">
        <f>IF(SUMIF('Buildings data'!B:B,'Base MFF calcs'!B32,'Buildings data'!L:L)=0,VLOOKUP(D32,'PCT data'!$B$3:$K$154,10,FALSE),SUMIF('Buildings data'!B:B,'Base MFF calcs'!B32,'Buildings data'!L:L))</f>
        <v>0.94055260681440078</v>
      </c>
      <c r="H32" s="174">
        <f>IF(ISNA(VLOOKUP(B32,'Land data'!$B$2:$J$240,9,FALSE)),SUMIF('PCT data'!$F$3:$F$159,'Base MFF calcs'!B32,'PCT data'!$R$3:$R$159)/SUMIF('PCT data'!$F$3:$F$159,'Base MFF calcs'!B32,'PCT data'!$D$3:$D$159),VLOOKUP(B32,'Land data'!$B$2:$J$240,9,FALSE))</f>
        <v>1.6348848077674782</v>
      </c>
      <c r="I32" s="452">
        <f t="shared" si="0"/>
        <v>0.96232257696240864</v>
      </c>
    </row>
    <row r="33" spans="1:9" ht="12.75" customHeight="1" x14ac:dyDescent="0.2">
      <c r="A33" s="451" t="s">
        <v>2975</v>
      </c>
      <c r="B33" s="172" t="s">
        <v>2300</v>
      </c>
      <c r="C33" s="172" t="s">
        <v>2301</v>
      </c>
      <c r="D33" s="171" t="s">
        <v>2984</v>
      </c>
      <c r="E33" s="173">
        <f>IF(SUMIF('Staff data'!B:B,'Base MFF calcs'!B33,'Staff data'!O:O)=0,VLOOKUP(D33,'PCT data'!$B$3:$I$159,7,FALSE),SUMIF('Staff data'!B:B,'Base MFF calcs'!B33,'Staff data'!O:O))</f>
        <v>0.92767781985063746</v>
      </c>
      <c r="F33" s="174">
        <f>VLOOKUP(B33,'M&amp;D data'!$C$13:$G$266,5,FALSE)</f>
        <v>0.99619990923086066</v>
      </c>
      <c r="G33" s="173">
        <f>IF(SUMIF('Buildings data'!B:B,'Base MFF calcs'!B33,'Buildings data'!L:L)=0,VLOOKUP(D33,'PCT data'!$B$3:$K$154,10,FALSE),SUMIF('Buildings data'!B:B,'Base MFF calcs'!B33,'Buildings data'!L:L))</f>
        <v>0.89656132341223527</v>
      </c>
      <c r="H33" s="174">
        <f>IF(ISNA(VLOOKUP(B33,'Land data'!$B$2:$J$240,9,FALSE)),SUMIF('PCT data'!$F$3:$F$159,'Base MFF calcs'!B33,'PCT data'!$R$3:$R$159)/SUMIF('PCT data'!$F$3:$F$159,'Base MFF calcs'!B33,'PCT data'!$D$3:$D$159),VLOOKUP(B33,'Land data'!$B$2:$J$240,9,FALSE))</f>
        <v>6.9271761939913579E-2</v>
      </c>
      <c r="I33" s="452">
        <f t="shared" si="0"/>
        <v>0.95282937226214548</v>
      </c>
    </row>
    <row r="34" spans="1:9" ht="12.75" customHeight="1" x14ac:dyDescent="0.2">
      <c r="A34" s="451" t="s">
        <v>1127</v>
      </c>
      <c r="B34" s="172" t="s">
        <v>2302</v>
      </c>
      <c r="C34" s="172" t="s">
        <v>2303</v>
      </c>
      <c r="D34" s="171" t="s">
        <v>1133</v>
      </c>
      <c r="E34" s="173">
        <f>IF(SUMIF('Staff data'!B:B,'Base MFF calcs'!B34,'Staff data'!O:O)=0,VLOOKUP(D34,'PCT data'!$B$3:$I$159,7,FALSE),SUMIF('Staff data'!B:B,'Base MFF calcs'!B34,'Staff data'!O:O))</f>
        <v>1.0136743831481561</v>
      </c>
      <c r="F34" s="174">
        <f>VLOOKUP(B34,'M&amp;D data'!$C$13:$G$266,5,FALSE)</f>
        <v>0.99619990923086066</v>
      </c>
      <c r="G34" s="173">
        <f>IF(SUMIF('Buildings data'!B:B,'Base MFF calcs'!B34,'Buildings data'!L:L)=0,VLOOKUP(D34,'PCT data'!$B$3:$K$154,10,FALSE),SUMIF('Buildings data'!B:B,'Base MFF calcs'!B34,'Buildings data'!L:L))</f>
        <v>0.97520705353611448</v>
      </c>
      <c r="H34" s="174">
        <f>IF(ISNA(VLOOKUP(B34,'Land data'!$B$2:$J$240,9,FALSE)),SUMIF('PCT data'!$F$3:$F$159,'Base MFF calcs'!B34,'PCT data'!$R$3:$R$159)/SUMIF('PCT data'!$F$3:$F$159,'Base MFF calcs'!B34,'PCT data'!$D$3:$D$159),VLOOKUP(B34,'Land data'!$B$2:$J$240,9,FALSE))</f>
        <v>1.4520747578987068</v>
      </c>
      <c r="I34" s="452">
        <f t="shared" si="0"/>
        <v>1.008346686105021</v>
      </c>
    </row>
    <row r="35" spans="1:9" ht="12.75" customHeight="1" x14ac:dyDescent="0.2">
      <c r="A35" s="451" t="s">
        <v>1127</v>
      </c>
      <c r="B35" s="172" t="s">
        <v>2304</v>
      </c>
      <c r="C35" s="172" t="s">
        <v>2305</v>
      </c>
      <c r="D35" s="171" t="s">
        <v>1133</v>
      </c>
      <c r="E35" s="173">
        <f>IF(SUMIF('Staff data'!B:B,'Base MFF calcs'!B35,'Staff data'!O:O)=0,VLOOKUP(D35,'PCT data'!$B$3:$I$159,7,FALSE),SUMIF('Staff data'!B:B,'Base MFF calcs'!B35,'Staff data'!O:O))</f>
        <v>1.0038005057700963</v>
      </c>
      <c r="F35" s="174">
        <f>VLOOKUP(B35,'M&amp;D data'!$C$13:$G$266,5,FALSE)</f>
        <v>0.99619990923086066</v>
      </c>
      <c r="G35" s="173">
        <f>IF(SUMIF('Buildings data'!B:B,'Base MFF calcs'!B35,'Buildings data'!L:L)=0,VLOOKUP(D35,'PCT data'!$B$3:$K$154,10,FALSE),SUMIF('Buildings data'!B:B,'Base MFF calcs'!B35,'Buildings data'!L:L))</f>
        <v>0.96942899989435993</v>
      </c>
      <c r="H35" s="174">
        <f>IF(ISNA(VLOOKUP(B35,'Land data'!$B$2:$J$240,9,FALSE)),SUMIF('PCT data'!$F$3:$F$159,'Base MFF calcs'!B35,'PCT data'!$R$3:$R$159)/SUMIF('PCT data'!$F$3:$F$159,'Base MFF calcs'!B35,'PCT data'!$D$3:$D$159),VLOOKUP(B35,'Land data'!$B$2:$J$240,9,FALSE))</f>
        <v>0.37892172685056752</v>
      </c>
      <c r="I35" s="452">
        <f t="shared" si="0"/>
        <v>0.99796069368397222</v>
      </c>
    </row>
    <row r="36" spans="1:9" ht="12.75" customHeight="1" x14ac:dyDescent="0.2">
      <c r="A36" s="451" t="s">
        <v>1167</v>
      </c>
      <c r="B36" s="172" t="s">
        <v>2308</v>
      </c>
      <c r="C36" s="172" t="s">
        <v>2053</v>
      </c>
      <c r="D36" s="171" t="s">
        <v>3436</v>
      </c>
      <c r="E36" s="173">
        <f>IF(SUMIF('Staff data'!B:B,'Base MFF calcs'!B36,'Staff data'!O:O)=0,VLOOKUP(D36,'PCT data'!$B$3:$I$159,7,FALSE),SUMIF('Staff data'!B:B,'Base MFF calcs'!B36,'Staff data'!O:O))</f>
        <v>1.1951594386451738</v>
      </c>
      <c r="F36" s="174">
        <f>VLOOKUP(B36,'M&amp;D data'!$C$13:$G$266,5,FALSE)</f>
        <v>1.0185025427599708</v>
      </c>
      <c r="G36" s="173">
        <f>IF(SUMIF('Buildings data'!B:B,'Base MFF calcs'!B36,'Buildings data'!L:L)=0,VLOOKUP(D36,'PCT data'!$B$3:$K$154,10,FALSE),SUMIF('Buildings data'!B:B,'Base MFF calcs'!B36,'Buildings data'!L:L))</f>
        <v>1.2591058656399667</v>
      </c>
      <c r="H36" s="174">
        <f>IF(ISNA(VLOOKUP(B36,'Land data'!$B$2:$J$240,9,FALSE)),SUMIF('PCT data'!$F$3:$F$159,'Base MFF calcs'!B36,'PCT data'!$R$3:$R$159)/SUMIF('PCT data'!$F$3:$F$159,'Base MFF calcs'!B36,'PCT data'!$D$3:$D$159),VLOOKUP(B36,'Land data'!$B$2:$J$240,9,FALSE))</f>
        <v>4.6723142410878573</v>
      </c>
      <c r="I36" s="452">
        <f t="shared" si="0"/>
        <v>1.1331048408542954</v>
      </c>
    </row>
    <row r="37" spans="1:9" ht="12.75" customHeight="1" x14ac:dyDescent="0.2">
      <c r="A37" s="451" t="s">
        <v>1167</v>
      </c>
      <c r="B37" s="172" t="s">
        <v>2310</v>
      </c>
      <c r="C37" s="172" t="s">
        <v>2311</v>
      </c>
      <c r="D37" s="171" t="s">
        <v>3436</v>
      </c>
      <c r="E37" s="173">
        <f>IF(SUMIF('Staff data'!B:B,'Base MFF calcs'!B37,'Staff data'!O:O)=0,VLOOKUP(D37,'PCT data'!$B$3:$I$159,7,FALSE),SUMIF('Staff data'!B:B,'Base MFF calcs'!B37,'Staff data'!O:O))</f>
        <v>1.1875678897802295</v>
      </c>
      <c r="F37" s="174">
        <f>VLOOKUP(B37,'M&amp;D data'!$C$13:$G$266,5,FALSE)</f>
        <v>1.0185025427599708</v>
      </c>
      <c r="G37" s="173">
        <f>IF(SUMIF('Buildings data'!B:B,'Base MFF calcs'!B37,'Buildings data'!L:L)=0,VLOOKUP(D37,'PCT data'!$B$3:$K$154,10,FALSE),SUMIF('Buildings data'!B:B,'Base MFF calcs'!B37,'Buildings data'!L:L))</f>
        <v>1.2078329747053638</v>
      </c>
      <c r="H37" s="174">
        <f>IF(ISNA(VLOOKUP(B37,'Land data'!$B$2:$J$240,9,FALSE)),SUMIF('PCT data'!$F$3:$F$159,'Base MFF calcs'!B37,'PCT data'!$R$3:$R$159)/SUMIF('PCT data'!$F$3:$F$159,'Base MFF calcs'!B37,'PCT data'!$D$3:$D$159),VLOOKUP(B37,'Land data'!$B$2:$J$240,9,FALSE))</f>
        <v>4.0150508585436251</v>
      </c>
      <c r="I37" s="452">
        <f t="shared" si="0"/>
        <v>1.1246244161757415</v>
      </c>
    </row>
    <row r="38" spans="1:9" ht="12.75" customHeight="1" x14ac:dyDescent="0.2">
      <c r="A38" s="451" t="s">
        <v>2975</v>
      </c>
      <c r="B38" s="172" t="s">
        <v>2314</v>
      </c>
      <c r="C38" s="172" t="s">
        <v>2315</v>
      </c>
      <c r="D38" s="171" t="s">
        <v>2986</v>
      </c>
      <c r="E38" s="173">
        <f>IF(SUMIF('Staff data'!B:B,'Base MFF calcs'!B38,'Staff data'!O:O)=0,VLOOKUP(D38,'PCT data'!$B$3:$I$159,7,FALSE),SUMIF('Staff data'!B:B,'Base MFF calcs'!B38,'Staff data'!O:O))</f>
        <v>0.96643405291692996</v>
      </c>
      <c r="F38" s="174">
        <f>VLOOKUP(B38,'M&amp;D data'!$C$13:$G$266,5,FALSE)</f>
        <v>0.99619990923086066</v>
      </c>
      <c r="G38" s="173">
        <f>IF(SUMIF('Buildings data'!B:B,'Base MFF calcs'!B38,'Buildings data'!L:L)=0,VLOOKUP(D38,'PCT data'!$B$3:$K$154,10,FALSE),SUMIF('Buildings data'!B:B,'Base MFF calcs'!B38,'Buildings data'!L:L))</f>
        <v>0.94034909557242674</v>
      </c>
      <c r="H38" s="174">
        <f>IF(ISNA(VLOOKUP(B38,'Land data'!$B$2:$J$240,9,FALSE)),SUMIF('PCT data'!$F$3:$F$159,'Base MFF calcs'!B38,'PCT data'!$R$3:$R$159)/SUMIF('PCT data'!$F$3:$F$159,'Base MFF calcs'!B38,'PCT data'!$D$3:$D$159),VLOOKUP(B38,'Land data'!$B$2:$J$240,9,FALSE))</f>
        <v>0.88636333346126051</v>
      </c>
      <c r="I38" s="452">
        <f t="shared" si="0"/>
        <v>0.97894078738571455</v>
      </c>
    </row>
    <row r="39" spans="1:9" ht="12.75" customHeight="1" x14ac:dyDescent="0.2">
      <c r="A39" s="451" t="s">
        <v>1167</v>
      </c>
      <c r="B39" s="172" t="s">
        <v>2316</v>
      </c>
      <c r="C39" s="172" t="s">
        <v>2317</v>
      </c>
      <c r="D39" s="171" t="s">
        <v>3439</v>
      </c>
      <c r="E39" s="173">
        <f>IF(SUMIF('Staff data'!B:B,'Base MFF calcs'!B39,'Staff data'!O:O)=0,VLOOKUP(D39,'PCT data'!$B$3:$I$159,7,FALSE),SUMIF('Staff data'!B:B,'Base MFF calcs'!B39,'Staff data'!O:O))</f>
        <v>1.1975963873418796</v>
      </c>
      <c r="F39" s="174">
        <f>VLOOKUP(B39,'M&amp;D data'!$C$13:$G$266,5,FALSE)</f>
        <v>1.0185025427599708</v>
      </c>
      <c r="G39" s="173">
        <f>IF(SUMIF('Buildings data'!B:B,'Base MFF calcs'!B39,'Buildings data'!L:L)=0,VLOOKUP(D39,'PCT data'!$B$3:$K$154,10,FALSE),SUMIF('Buildings data'!B:B,'Base MFF calcs'!B39,'Buildings data'!L:L))</f>
        <v>1.2836909174097848</v>
      </c>
      <c r="H39" s="174">
        <f>IF(ISNA(VLOOKUP(B39,'Land data'!$B$2:$J$240,9,FALSE)),SUMIF('PCT data'!$F$3:$F$159,'Base MFF calcs'!B39,'PCT data'!$R$3:$R$159)/SUMIF('PCT data'!$F$3:$F$159,'Base MFF calcs'!B39,'PCT data'!$D$3:$D$159),VLOOKUP(B39,'Land data'!$B$2:$J$240,9,FALSE))</f>
        <v>18.83693856268286</v>
      </c>
      <c r="I39" s="452">
        <f t="shared" si="0"/>
        <v>1.1985837995628383</v>
      </c>
    </row>
    <row r="40" spans="1:9" ht="12.75" customHeight="1" x14ac:dyDescent="0.2">
      <c r="A40" s="451" t="s">
        <v>2975</v>
      </c>
      <c r="B40" s="172" t="s">
        <v>2318</v>
      </c>
      <c r="C40" s="172" t="s">
        <v>2319</v>
      </c>
      <c r="D40" s="171" t="s">
        <v>2988</v>
      </c>
      <c r="E40" s="173">
        <f>IF(SUMIF('Staff data'!B:B,'Base MFF calcs'!B40,'Staff data'!O:O)=0,VLOOKUP(D40,'PCT data'!$B$3:$I$159,7,FALSE),SUMIF('Staff data'!B:B,'Base MFF calcs'!B40,'Staff data'!O:O))</f>
        <v>0.94824965198266919</v>
      </c>
      <c r="F40" s="174">
        <f>VLOOKUP(B40,'M&amp;D data'!$C$13:$G$266,5,FALSE)</f>
        <v>0.99619990923086066</v>
      </c>
      <c r="G40" s="173">
        <f>IF(SUMIF('Buildings data'!B:B,'Base MFF calcs'!B40,'Buildings data'!L:L)=0,VLOOKUP(D40,'PCT data'!$B$3:$K$154,10,FALSE),SUMIF('Buildings data'!B:B,'Base MFF calcs'!B40,'Buildings data'!L:L))</f>
        <v>0.91854909979463428</v>
      </c>
      <c r="H40" s="174">
        <f>IF(ISNA(VLOOKUP(B40,'Land data'!$B$2:$J$240,9,FALSE)),SUMIF('PCT data'!$F$3:$F$159,'Base MFF calcs'!B40,'PCT data'!$R$3:$R$159)/SUMIF('PCT data'!$F$3:$F$159,'Base MFF calcs'!B40,'PCT data'!$D$3:$D$159),VLOOKUP(B40,'Land data'!$B$2:$J$240,9,FALSE))</f>
        <v>0.29083703319735932</v>
      </c>
      <c r="I40" s="452">
        <f t="shared" si="0"/>
        <v>0.96570505966300679</v>
      </c>
    </row>
    <row r="41" spans="1:9" ht="12.75" customHeight="1" x14ac:dyDescent="0.2">
      <c r="A41" s="451" t="s">
        <v>3069</v>
      </c>
      <c r="B41" s="172" t="s">
        <v>2320</v>
      </c>
      <c r="C41" s="172" t="s">
        <v>2321</v>
      </c>
      <c r="D41" s="171" t="s">
        <v>3071</v>
      </c>
      <c r="E41" s="173">
        <f>IF(SUMIF('Staff data'!B:B,'Base MFF calcs'!B41,'Staff data'!O:O)=0,VLOOKUP(D41,'PCT data'!$B$3:$I$159,7,FALSE),SUMIF('Staff data'!B:B,'Base MFF calcs'!B41,'Staff data'!O:O))</f>
        <v>0.92309947628728461</v>
      </c>
      <c r="F41" s="174">
        <f>VLOOKUP(B41,'M&amp;D data'!$C$13:$G$266,5,FALSE)</f>
        <v>0.99619990923086066</v>
      </c>
      <c r="G41" s="173">
        <f>IF(SUMIF('Buildings data'!B:B,'Base MFF calcs'!B41,'Buildings data'!L:L)=0,VLOOKUP(D41,'PCT data'!$B$3:$K$154,10,FALSE),SUMIF('Buildings data'!B:B,'Base MFF calcs'!B41,'Buildings data'!L:L))</f>
        <v>0.92545159162100765</v>
      </c>
      <c r="H41" s="174">
        <f>IF(ISNA(VLOOKUP(B41,'Land data'!$B$2:$J$240,9,FALSE)),SUMIF('PCT data'!$F$3:$F$159,'Base MFF calcs'!B41,'PCT data'!$R$3:$R$159)/SUMIF('PCT data'!$F$3:$F$159,'Base MFF calcs'!B41,'PCT data'!$D$3:$D$159),VLOOKUP(B41,'Land data'!$B$2:$J$240,9,FALSE))</f>
        <v>0.51558413295023242</v>
      </c>
      <c r="I41" s="452">
        <f t="shared" si="0"/>
        <v>0.95308507065464432</v>
      </c>
    </row>
    <row r="42" spans="1:9" ht="12.75" customHeight="1" x14ac:dyDescent="0.2">
      <c r="A42" s="451" t="s">
        <v>708</v>
      </c>
      <c r="B42" s="172" t="s">
        <v>2322</v>
      </c>
      <c r="C42" s="172" t="s">
        <v>2323</v>
      </c>
      <c r="D42" s="171" t="s">
        <v>710</v>
      </c>
      <c r="E42" s="173">
        <f>IF(SUMIF('Staff data'!B:B,'Base MFF calcs'!B42,'Staff data'!O:O)=0,VLOOKUP(D42,'PCT data'!$B$3:$I$159,7,FALSE),SUMIF('Staff data'!B:B,'Base MFF calcs'!B42,'Staff data'!O:O))</f>
        <v>0.91526765718299574</v>
      </c>
      <c r="F42" s="174">
        <f>VLOOKUP(B42,'M&amp;D data'!$C$13:$G$266,5,FALSE)</f>
        <v>0.99619990923086066</v>
      </c>
      <c r="G42" s="173">
        <f>IF(SUMIF('Buildings data'!B:B,'Base MFF calcs'!B42,'Buildings data'!L:L)=0,VLOOKUP(D42,'PCT data'!$B$3:$K$154,10,FALSE),SUMIF('Buildings data'!B:B,'Base MFF calcs'!B42,'Buildings data'!L:L))</f>
        <v>0.95530486877007126</v>
      </c>
      <c r="H42" s="174">
        <f>IF(ISNA(VLOOKUP(B42,'Land data'!$B$2:$J$240,9,FALSE)),SUMIF('PCT data'!$F$3:$F$159,'Base MFF calcs'!B42,'PCT data'!$R$3:$R$159)/SUMIF('PCT data'!$F$3:$F$159,'Base MFF calcs'!B42,'PCT data'!$D$3:$D$159),VLOOKUP(B42,'Land data'!$B$2:$J$240,9,FALSE))</f>
        <v>0.76896401594908126</v>
      </c>
      <c r="I42" s="452">
        <f t="shared" si="0"/>
        <v>0.95071505737254558</v>
      </c>
    </row>
    <row r="43" spans="1:9" ht="12.75" customHeight="1" x14ac:dyDescent="0.2">
      <c r="A43" s="451" t="s">
        <v>2975</v>
      </c>
      <c r="B43" s="172" t="s">
        <v>2324</v>
      </c>
      <c r="C43" s="482" t="s">
        <v>1293</v>
      </c>
      <c r="D43" s="171" t="s">
        <v>2991</v>
      </c>
      <c r="E43" s="173">
        <f>IF(SUMIF('Staff data'!B:B,'Base MFF calcs'!B43,'Staff data'!O:O)=0,VLOOKUP(D43,'PCT data'!$B$3:$I$159,7,FALSE),SUMIF('Staff data'!B:B,'Base MFF calcs'!B43,'Staff data'!O:O))</f>
        <v>0.94012027895725414</v>
      </c>
      <c r="F43" s="174">
        <f>VLOOKUP(B43,'M&amp;D data'!$C$13:$G$266,5,FALSE)</f>
        <v>0.99619990923086066</v>
      </c>
      <c r="G43" s="173">
        <f>IF(SUMIF('Buildings data'!B:B,'Base MFF calcs'!B43,'Buildings data'!L:L)=0,VLOOKUP(D43,'PCT data'!$B$3:$K$154,10,FALSE),SUMIF('Buildings data'!B:B,'Base MFF calcs'!B43,'Buildings data'!L:L))</f>
        <v>0.92545159162100765</v>
      </c>
      <c r="H43" s="174">
        <f>IF(ISNA(VLOOKUP(B43,'Land data'!$B$2:$J$240,9,FALSE)),SUMIF('PCT data'!$F$3:$F$159,'Base MFF calcs'!B43,'PCT data'!$R$3:$R$159)/SUMIF('PCT data'!$F$3:$F$159,'Base MFF calcs'!B43,'PCT data'!$D$3:$D$159),VLOOKUP(B43,'Land data'!$B$2:$J$240,9,FALSE))</f>
        <v>0.60278203400585162</v>
      </c>
      <c r="I43" s="452">
        <f t="shared" si="0"/>
        <v>0.96282282467133995</v>
      </c>
    </row>
    <row r="44" spans="1:9" ht="12.75" customHeight="1" x14ac:dyDescent="0.2">
      <c r="A44" s="451" t="s">
        <v>1127</v>
      </c>
      <c r="B44" s="172" t="s">
        <v>2326</v>
      </c>
      <c r="C44" s="172" t="s">
        <v>0</v>
      </c>
      <c r="D44" s="171" t="s">
        <v>1136</v>
      </c>
      <c r="E44" s="173">
        <f>IF(SUMIF('Staff data'!B:B,'Base MFF calcs'!B44,'Staff data'!O:O)=0,VLOOKUP(D44,'PCT data'!$B$3:$I$159,7,FALSE),SUMIF('Staff data'!B:B,'Base MFF calcs'!B44,'Staff data'!O:O))</f>
        <v>0.9485751377145949</v>
      </c>
      <c r="F44" s="174">
        <f>VLOOKUP(B44,'M&amp;D data'!$C$13:$G$266,5,FALSE)</f>
        <v>0.99619990923086066</v>
      </c>
      <c r="G44" s="173">
        <f>IF(SUMIF('Buildings data'!B:B,'Base MFF calcs'!B44,'Buildings data'!L:L)=0,VLOOKUP(D44,'PCT data'!$B$3:$K$154,10,FALSE),SUMIF('Buildings data'!B:B,'Base MFF calcs'!B44,'Buildings data'!L:L))</f>
        <v>0.99510923830215869</v>
      </c>
      <c r="H44" s="174">
        <f>IF(ISNA(VLOOKUP(B44,'Land data'!$B$2:$J$240,9,FALSE)),SUMIF('PCT data'!$F$3:$F$159,'Base MFF calcs'!B44,'PCT data'!$R$3:$R$159)/SUMIF('PCT data'!$F$3:$F$159,'Base MFF calcs'!B44,'PCT data'!$D$3:$D$159),VLOOKUP(B44,'Land data'!$B$2:$J$240,9,FALSE))</f>
        <v>2.3161943719689027</v>
      </c>
      <c r="I44" s="452">
        <f t="shared" si="0"/>
        <v>0.97700068603047763</v>
      </c>
    </row>
    <row r="45" spans="1:9" ht="12.75" customHeight="1" x14ac:dyDescent="0.2">
      <c r="A45" s="451" t="s">
        <v>3528</v>
      </c>
      <c r="B45" s="172" t="s">
        <v>1</v>
      </c>
      <c r="C45" s="482" t="s">
        <v>1300</v>
      </c>
      <c r="D45" s="171" t="s">
        <v>3534</v>
      </c>
      <c r="E45" s="173">
        <f>IF(SUMIF('Staff data'!B:B,'Base MFF calcs'!B45,'Staff data'!O:O)=0,VLOOKUP(D45,'PCT data'!$B$3:$I$159,7,FALSE),SUMIF('Staff data'!B:B,'Base MFF calcs'!B45,'Staff data'!O:O))</f>
        <v>0.87534787674594328</v>
      </c>
      <c r="F45" s="174">
        <f>VLOOKUP(B45,'M&amp;D data'!$C$13:$G$266,5,FALSE)</f>
        <v>0.99619990923086066</v>
      </c>
      <c r="G45" s="173">
        <f>IF(SUMIF('Buildings data'!B:B,'Base MFF calcs'!B45,'Buildings data'!L:L)=0,VLOOKUP(D45,'PCT data'!$B$3:$K$154,10,FALSE),SUMIF('Buildings data'!B:B,'Base MFF calcs'!B45,'Buildings data'!L:L))</f>
        <v>0.97520705353611448</v>
      </c>
      <c r="H45" s="174">
        <f>IF(ISNA(VLOOKUP(B45,'Land data'!$B$2:$J$240,9,FALSE)),SUMIF('PCT data'!$F$3:$F$159,'Base MFF calcs'!B45,'PCT data'!$R$3:$R$159)/SUMIF('PCT data'!$F$3:$F$159,'Base MFF calcs'!B45,'PCT data'!$D$3:$D$159),VLOOKUP(B45,'Land data'!$B$2:$J$240,9,FALSE))</f>
        <v>9.9886836496670073E-2</v>
      </c>
      <c r="I45" s="452">
        <f t="shared" si="0"/>
        <v>0.92632450882387185</v>
      </c>
    </row>
    <row r="46" spans="1:9" ht="12.75" customHeight="1" x14ac:dyDescent="0.2">
      <c r="A46" s="451" t="s">
        <v>2975</v>
      </c>
      <c r="B46" s="172" t="s">
        <v>3</v>
      </c>
      <c r="C46" s="172" t="s">
        <v>4</v>
      </c>
      <c r="D46" s="171" t="s">
        <v>2988</v>
      </c>
      <c r="E46" s="173">
        <f>IF(SUMIF('Staff data'!B:B,'Base MFF calcs'!B46,'Staff data'!O:O)=0,VLOOKUP(D46,'PCT data'!$B$3:$I$159,7,FALSE),SUMIF('Staff data'!B:B,'Base MFF calcs'!B46,'Staff data'!O:O))</f>
        <v>0.94629751213926228</v>
      </c>
      <c r="F46" s="174">
        <f>VLOOKUP(B46,'M&amp;D data'!$C$13:$G$266,5,FALSE)</f>
        <v>0.99619990923086066</v>
      </c>
      <c r="G46" s="173">
        <f>IF(SUMIF('Buildings data'!B:B,'Base MFF calcs'!B46,'Buildings data'!L:L)=0,VLOOKUP(D46,'PCT data'!$B$3:$K$154,10,FALSE),SUMIF('Buildings data'!B:B,'Base MFF calcs'!B46,'Buildings data'!L:L))</f>
        <v>0.92545159162100765</v>
      </c>
      <c r="H46" s="174">
        <f>IF(ISNA(VLOOKUP(B46,'Land data'!$B$2:$J$240,9,FALSE)),SUMIF('PCT data'!$F$3:$F$159,'Base MFF calcs'!B46,'PCT data'!$R$3:$R$159)/SUMIF('PCT data'!$F$3:$F$159,'Base MFF calcs'!B46,'PCT data'!$D$3:$D$159),VLOOKUP(B46,'Land data'!$B$2:$J$240,9,FALSE))</f>
        <v>0.16422143058089728</v>
      </c>
      <c r="I46" s="452">
        <f t="shared" si="0"/>
        <v>0.96424940790821889</v>
      </c>
    </row>
    <row r="47" spans="1:9" ht="12.75" customHeight="1" x14ac:dyDescent="0.2">
      <c r="A47" s="451" t="s">
        <v>708</v>
      </c>
      <c r="B47" s="172" t="s">
        <v>5</v>
      </c>
      <c r="C47" s="172" t="s">
        <v>6</v>
      </c>
      <c r="D47" s="171" t="s">
        <v>712</v>
      </c>
      <c r="E47" s="173">
        <f>IF(SUMIF('Staff data'!B:B,'Base MFF calcs'!B47,'Staff data'!O:O)=0,VLOOKUP(D47,'PCT data'!$B$3:$I$159,7,FALSE),SUMIF('Staff data'!B:B,'Base MFF calcs'!B47,'Staff data'!O:O))</f>
        <v>0.91289238573619302</v>
      </c>
      <c r="F47" s="174">
        <f>VLOOKUP(B47,'M&amp;D data'!$C$13:$G$266,5,FALSE)</f>
        <v>0.99619990923086066</v>
      </c>
      <c r="G47" s="173">
        <f>IF(SUMIF('Buildings data'!B:B,'Base MFF calcs'!B47,'Buildings data'!L:L)=0,VLOOKUP(D47,'PCT data'!$B$3:$K$154,10,FALSE),SUMIF('Buildings data'!B:B,'Base MFF calcs'!B47,'Buildings data'!L:L))</f>
        <v>0.98954448269323136</v>
      </c>
      <c r="H47" s="174">
        <f>IF(ISNA(VLOOKUP(B47,'Land data'!$B$2:$J$240,9,FALSE)),SUMIF('PCT data'!$F$3:$F$159,'Base MFF calcs'!B47,'PCT data'!$R$3:$R$159)/SUMIF('PCT data'!$F$3:$F$159,'Base MFF calcs'!B47,'PCT data'!$D$3:$D$159),VLOOKUP(B47,'Land data'!$B$2:$J$240,9,FALSE))</f>
        <v>1.1686936297291384</v>
      </c>
      <c r="I47" s="452">
        <f t="shared" si="0"/>
        <v>0.95211426694283596</v>
      </c>
    </row>
    <row r="48" spans="1:9" ht="12.75" customHeight="1" x14ac:dyDescent="0.2">
      <c r="A48" s="451" t="s">
        <v>2133</v>
      </c>
      <c r="B48" s="172" t="s">
        <v>7</v>
      </c>
      <c r="C48" s="172" t="s">
        <v>8</v>
      </c>
      <c r="D48" s="171" t="s">
        <v>2142</v>
      </c>
      <c r="E48" s="173">
        <f>IF(SUMIF('Staff data'!B:B,'Base MFF calcs'!B48,'Staff data'!O:O)=0,VLOOKUP(D48,'PCT data'!$B$3:$I$159,7,FALSE),SUMIF('Staff data'!B:B,'Base MFF calcs'!B48,'Staff data'!O:O))</f>
        <v>0.96196351497331345</v>
      </c>
      <c r="F48" s="174">
        <f>VLOOKUP(B48,'M&amp;D data'!$C$13:$G$266,5,FALSE)</f>
        <v>0.99619990923086066</v>
      </c>
      <c r="G48" s="173">
        <f>IF(SUMIF('Buildings data'!B:B,'Base MFF calcs'!B48,'Buildings data'!L:L)=0,VLOOKUP(D48,'PCT data'!$B$3:$K$154,10,FALSE),SUMIF('Buildings data'!B:B,'Base MFF calcs'!B48,'Buildings data'!L:L))</f>
        <v>0.95530486877007126</v>
      </c>
      <c r="H48" s="174">
        <f>IF(ISNA(VLOOKUP(B48,'Land data'!$B$2:$J$240,9,FALSE)),SUMIF('PCT data'!$F$3:$F$159,'Base MFF calcs'!B48,'PCT data'!$R$3:$R$159)/SUMIF('PCT data'!$F$3:$F$159,'Base MFF calcs'!B48,'PCT data'!$D$3:$D$159),VLOOKUP(B48,'Land data'!$B$2:$J$240,9,FALSE))</f>
        <v>0.87555277018157052</v>
      </c>
      <c r="I48" s="452">
        <f t="shared" si="0"/>
        <v>0.97683570637846828</v>
      </c>
    </row>
    <row r="49" spans="1:9" ht="12.75" customHeight="1" x14ac:dyDescent="0.2">
      <c r="A49" s="451" t="s">
        <v>2975</v>
      </c>
      <c r="B49" s="172" t="s">
        <v>9</v>
      </c>
      <c r="C49" s="172" t="s">
        <v>10</v>
      </c>
      <c r="D49" s="171" t="s">
        <v>2994</v>
      </c>
      <c r="E49" s="173">
        <f>IF(SUMIF('Staff data'!B:B,'Base MFF calcs'!B49,'Staff data'!O:O)=0,VLOOKUP(D49,'PCT data'!$B$3:$I$159,7,FALSE),SUMIF('Staff data'!B:B,'Base MFF calcs'!B49,'Staff data'!O:O))</f>
        <v>0.91833692314781601</v>
      </c>
      <c r="F49" s="174">
        <f>VLOOKUP(B49,'M&amp;D data'!$C$13:$G$266,5,FALSE)</f>
        <v>0.99619990923086066</v>
      </c>
      <c r="G49" s="173">
        <f>IF(SUMIF('Buildings data'!B:B,'Base MFF calcs'!B49,'Buildings data'!L:L)=0,VLOOKUP(D49,'PCT data'!$B$3:$K$154,10,FALSE),SUMIF('Buildings data'!B:B,'Base MFF calcs'!B49,'Buildings data'!L:L))</f>
        <v>1.0150114230682017</v>
      </c>
      <c r="H49" s="174">
        <f>IF(ISNA(VLOOKUP(B49,'Land data'!$B$2:$J$240,9,FALSE)),SUMIF('PCT data'!$F$3:$F$159,'Base MFF calcs'!B49,'PCT data'!$R$3:$R$159)/SUMIF('PCT data'!$F$3:$F$159,'Base MFF calcs'!B49,'PCT data'!$D$3:$D$159),VLOOKUP(B49,'Land data'!$B$2:$J$240,9,FALSE))</f>
        <v>9.011629216775216E-2</v>
      </c>
      <c r="I49" s="452">
        <f t="shared" si="0"/>
        <v>0.95094826492261308</v>
      </c>
    </row>
    <row r="50" spans="1:9" ht="12.75" customHeight="1" x14ac:dyDescent="0.2">
      <c r="A50" s="451" t="s">
        <v>3496</v>
      </c>
      <c r="B50" s="172" t="s">
        <v>11</v>
      </c>
      <c r="C50" s="172" t="s">
        <v>2328</v>
      </c>
      <c r="D50" s="171" t="s">
        <v>3470</v>
      </c>
      <c r="E50" s="173">
        <f>IF(SUMIF('Staff data'!B:B,'Base MFF calcs'!B50,'Staff data'!O:O)=0,VLOOKUP(D50,'PCT data'!$B$3:$I$159,7,FALSE),SUMIF('Staff data'!B:B,'Base MFF calcs'!B50,'Staff data'!O:O))</f>
        <v>1.1168168833327148</v>
      </c>
      <c r="F50" s="174">
        <f>VLOOKUP(B50,'M&amp;D data'!$C$13:$G$266,5,FALSE)</f>
        <v>0.99619990923086066</v>
      </c>
      <c r="G50" s="173">
        <f>IF(SUMIF('Buildings data'!B:B,'Base MFF calcs'!B50,'Buildings data'!L:L)=0,VLOOKUP(D50,'PCT data'!$B$3:$K$154,10,FALSE),SUMIF('Buildings data'!B:B,'Base MFF calcs'!B50,'Buildings data'!L:L))</f>
        <v>1.0747179773663313</v>
      </c>
      <c r="H50" s="174">
        <f>IF(ISNA(VLOOKUP(B50,'Land data'!$B$2:$J$240,9,FALSE)),SUMIF('PCT data'!$F$3:$F$159,'Base MFF calcs'!B50,'PCT data'!$R$3:$R$159)/SUMIF('PCT data'!$F$3:$F$159,'Base MFF calcs'!B50,'PCT data'!$D$3:$D$159),VLOOKUP(B50,'Land data'!$B$2:$J$240,9,FALSE))</f>
        <v>1.5941701105598505E-2</v>
      </c>
      <c r="I50" s="452">
        <f t="shared" si="0"/>
        <v>1.0612009314093136</v>
      </c>
    </row>
    <row r="51" spans="1:9" ht="12.75" customHeight="1" x14ac:dyDescent="0.2">
      <c r="A51" s="451" t="s">
        <v>3069</v>
      </c>
      <c r="B51" s="172" t="s">
        <v>2329</v>
      </c>
      <c r="C51" s="172" t="s">
        <v>2330</v>
      </c>
      <c r="D51" s="171" t="s">
        <v>3073</v>
      </c>
      <c r="E51" s="173">
        <f>IF(SUMIF('Staff data'!B:B,'Base MFF calcs'!B51,'Staff data'!O:O)=0,VLOOKUP(D51,'PCT data'!$B$3:$I$159,7,FALSE),SUMIF('Staff data'!B:B,'Base MFF calcs'!B51,'Staff data'!O:O))</f>
        <v>0.93813894573691092</v>
      </c>
      <c r="F51" s="174">
        <f>VLOOKUP(B51,'M&amp;D data'!$C$13:$G$266,5,FALSE)</f>
        <v>0.99619990923086066</v>
      </c>
      <c r="G51" s="173">
        <f>IF(SUMIF('Buildings data'!B:B,'Base MFF calcs'!B51,'Buildings data'!L:L)=0,VLOOKUP(D51,'PCT data'!$B$3:$K$154,10,FALSE),SUMIF('Buildings data'!B:B,'Base MFF calcs'!B51,'Buildings data'!L:L))</f>
        <v>0.89559831447194282</v>
      </c>
      <c r="H51" s="174">
        <f>IF(ISNA(VLOOKUP(B51,'Land data'!$B$2:$J$240,9,FALSE)),SUMIF('PCT data'!$F$3:$F$159,'Base MFF calcs'!B51,'PCT data'!$R$3:$R$159)/SUMIF('PCT data'!$F$3:$F$159,'Base MFF calcs'!B51,'PCT data'!$D$3:$D$159),VLOOKUP(B51,'Land data'!$B$2:$J$240,9,FALSE))</f>
        <v>1.1487715366846163</v>
      </c>
      <c r="I51" s="452">
        <f t="shared" si="0"/>
        <v>0.96338674415306724</v>
      </c>
    </row>
    <row r="52" spans="1:9" ht="12.75" customHeight="1" x14ac:dyDescent="0.2">
      <c r="A52" s="451" t="s">
        <v>3069</v>
      </c>
      <c r="B52" s="172" t="s">
        <v>2333</v>
      </c>
      <c r="C52" s="482" t="s">
        <v>1314</v>
      </c>
      <c r="D52" s="171" t="s">
        <v>3073</v>
      </c>
      <c r="E52" s="173">
        <f>IF(SUMIF('Staff data'!B:B,'Base MFF calcs'!B52,'Staff data'!O:O)=0,VLOOKUP(D52,'PCT data'!$B$3:$I$159,7,FALSE),SUMIF('Staff data'!B:B,'Base MFF calcs'!B52,'Staff data'!O:O))</f>
        <v>0.9344944511162393</v>
      </c>
      <c r="F52" s="174">
        <f>VLOOKUP(B52,'M&amp;D data'!$C$13:$G$266,5,FALSE)</f>
        <v>0.99619990923086066</v>
      </c>
      <c r="G52" s="173">
        <f>IF(SUMIF('Buildings data'!B:B,'Base MFF calcs'!B52,'Buildings data'!L:L)=0,VLOOKUP(D52,'PCT data'!$B$3:$K$154,10,FALSE),SUMIF('Buildings data'!B:B,'Base MFF calcs'!B52,'Buildings data'!L:L))</f>
        <v>0.90313804999764513</v>
      </c>
      <c r="H52" s="174">
        <f>IF(ISNA(VLOOKUP(B52,'Land data'!$B$2:$J$240,9,FALSE)),SUMIF('PCT data'!$F$3:$F$159,'Base MFF calcs'!B52,'PCT data'!$R$3:$R$159)/SUMIF('PCT data'!$F$3:$F$159,'Base MFF calcs'!B52,'PCT data'!$D$3:$D$159),VLOOKUP(B52,'Land data'!$B$2:$J$240,9,FALSE))</f>
        <v>0.15599416273185476</v>
      </c>
      <c r="I52" s="452">
        <f t="shared" si="0"/>
        <v>0.95713657445538169</v>
      </c>
    </row>
    <row r="53" spans="1:9" ht="12.75" customHeight="1" x14ac:dyDescent="0.2">
      <c r="A53" s="451" t="s">
        <v>3528</v>
      </c>
      <c r="B53" s="172" t="s">
        <v>2335</v>
      </c>
      <c r="C53" s="172" t="s">
        <v>2336</v>
      </c>
      <c r="D53" s="171" t="s">
        <v>3536</v>
      </c>
      <c r="E53" s="173">
        <f>IF(SUMIF('Staff data'!B:B,'Base MFF calcs'!B53,'Staff data'!O:O)=0,VLOOKUP(D53,'PCT data'!$B$3:$I$159,7,FALSE),SUMIF('Staff data'!B:B,'Base MFF calcs'!B53,'Staff data'!O:O))</f>
        <v>0.90305246646464299</v>
      </c>
      <c r="F53" s="174">
        <f>VLOOKUP(B53,'M&amp;D data'!$C$13:$G$266,5,FALSE)</f>
        <v>0.99619990923086066</v>
      </c>
      <c r="G53" s="173">
        <f>IF(SUMIF('Buildings data'!B:B,'Base MFF calcs'!B53,'Buildings data'!L:L)=0,VLOOKUP(D53,'PCT data'!$B$3:$K$154,10,FALSE),SUMIF('Buildings data'!B:B,'Base MFF calcs'!B53,'Buildings data'!L:L))</f>
        <v>0.95530486877007115</v>
      </c>
      <c r="H53" s="174">
        <f>IF(ISNA(VLOOKUP(B53,'Land data'!$B$2:$J$240,9,FALSE)),SUMIF('PCT data'!$F$3:$F$159,'Base MFF calcs'!B53,'PCT data'!$R$3:$R$159)/SUMIF('PCT data'!$F$3:$F$159,'Base MFF calcs'!B53,'PCT data'!$D$3:$D$159),VLOOKUP(B53,'Land data'!$B$2:$J$240,9,FALSE))</f>
        <v>0.24141825971213493</v>
      </c>
      <c r="I53" s="452">
        <f t="shared" si="0"/>
        <v>0.94164265362704924</v>
      </c>
    </row>
    <row r="54" spans="1:9" ht="12.75" customHeight="1" x14ac:dyDescent="0.2">
      <c r="A54" s="451" t="s">
        <v>3034</v>
      </c>
      <c r="B54" s="172" t="s">
        <v>2337</v>
      </c>
      <c r="C54" s="172" t="s">
        <v>2338</v>
      </c>
      <c r="D54" s="171" t="s">
        <v>3044</v>
      </c>
      <c r="E54" s="173">
        <f>IF(SUMIF('Staff data'!B:B,'Base MFF calcs'!B54,'Staff data'!O:O)=0,VLOOKUP(D54,'PCT data'!$B$3:$I$159,7,FALSE),SUMIF('Staff data'!B:B,'Base MFF calcs'!B54,'Staff data'!O:O))</f>
        <v>0.92954937814985983</v>
      </c>
      <c r="F54" s="174">
        <f>VLOOKUP(B54,'M&amp;D data'!$C$13:$G$266,5,FALSE)</f>
        <v>0.99619990923086066</v>
      </c>
      <c r="G54" s="173">
        <f>IF(SUMIF('Buildings data'!B:B,'Base MFF calcs'!B54,'Buildings data'!L:L)=0,VLOOKUP(D54,'PCT data'!$B$3:$K$154,10,FALSE),SUMIF('Buildings data'!B:B,'Base MFF calcs'!B54,'Buildings data'!L:L))</f>
        <v>1.004711751969511</v>
      </c>
      <c r="H54" s="174">
        <f>IF(ISNA(VLOOKUP(B54,'Land data'!$B$2:$J$240,9,FALSE)),SUMIF('PCT data'!$F$3:$F$159,'Base MFF calcs'!B54,'PCT data'!$R$3:$R$159)/SUMIF('PCT data'!$F$3:$F$159,'Base MFF calcs'!B54,'PCT data'!$D$3:$D$159),VLOOKUP(B54,'Land data'!$B$2:$J$240,9,FALSE))</f>
        <v>0.6991109752785184</v>
      </c>
      <c r="I54" s="452">
        <f t="shared" si="0"/>
        <v>0.95956073432058142</v>
      </c>
    </row>
    <row r="55" spans="1:9" ht="12.75" customHeight="1" x14ac:dyDescent="0.2">
      <c r="A55" s="451" t="s">
        <v>3528</v>
      </c>
      <c r="B55" s="172" t="s">
        <v>2339</v>
      </c>
      <c r="C55" s="172" t="s">
        <v>2340</v>
      </c>
      <c r="D55" s="171" t="s">
        <v>3538</v>
      </c>
      <c r="E55" s="173">
        <f>IF(SUMIF('Staff data'!B:B,'Base MFF calcs'!B55,'Staff data'!O:O)=0,VLOOKUP(D55,'PCT data'!$B$3:$I$159,7,FALSE),SUMIF('Staff data'!B:B,'Base MFF calcs'!B55,'Staff data'!O:O))</f>
        <v>0.93917147892175401</v>
      </c>
      <c r="F55" s="174">
        <f>VLOOKUP(B55,'M&amp;D data'!$C$13:$G$266,5,FALSE)</f>
        <v>0.99619990923086066</v>
      </c>
      <c r="G55" s="173">
        <f>IF(SUMIF('Buildings data'!B:B,'Base MFF calcs'!B55,'Buildings data'!L:L)=0,VLOOKUP(D55,'PCT data'!$B$3:$K$154,10,FALSE),SUMIF('Buildings data'!B:B,'Base MFF calcs'!B55,'Buildings data'!L:L))</f>
        <v>0.97520705353611448</v>
      </c>
      <c r="H55" s="174">
        <f>IF(ISNA(VLOOKUP(B55,'Land data'!$B$2:$J$240,9,FALSE)),SUMIF('PCT data'!$F$3:$F$159,'Base MFF calcs'!B55,'PCT data'!$R$3:$R$159)/SUMIF('PCT data'!$F$3:$F$159,'Base MFF calcs'!B55,'PCT data'!$D$3:$D$159),VLOOKUP(B55,'Land data'!$B$2:$J$240,9,FALSE))</f>
        <v>2.0699233656743941</v>
      </c>
      <c r="I55" s="452">
        <f t="shared" si="0"/>
        <v>0.97020279414452526</v>
      </c>
    </row>
    <row r="56" spans="1:9" ht="12.75" customHeight="1" x14ac:dyDescent="0.2">
      <c r="A56" s="451" t="s">
        <v>3528</v>
      </c>
      <c r="B56" s="172" t="s">
        <v>2341</v>
      </c>
      <c r="C56" s="482" t="s">
        <v>1292</v>
      </c>
      <c r="D56" s="171" t="s">
        <v>3540</v>
      </c>
      <c r="E56" s="173">
        <f>IF(SUMIF('Staff data'!B:B,'Base MFF calcs'!B56,'Staff data'!O:O)=0,VLOOKUP(D56,'PCT data'!$B$3:$I$159,7,FALSE),SUMIF('Staff data'!B:B,'Base MFF calcs'!B56,'Staff data'!O:O))</f>
        <v>0.97157427147860742</v>
      </c>
      <c r="F56" s="174">
        <f>VLOOKUP(B56,'M&amp;D data'!$C$13:$G$266,5,FALSE)</f>
        <v>0.99619990923086066</v>
      </c>
      <c r="G56" s="173">
        <f>IF(SUMIF('Buildings data'!B:B,'Base MFF calcs'!B56,'Buildings data'!L:L)=0,VLOOKUP(D56,'PCT data'!$B$3:$K$154,10,FALSE),SUMIF('Buildings data'!B:B,'Base MFF calcs'!B56,'Buildings data'!L:L))</f>
        <v>1.0150114230682019</v>
      </c>
      <c r="H56" s="174">
        <f>IF(ISNA(VLOOKUP(B56,'Land data'!$B$2:$J$240,9,FALSE)),SUMIF('PCT data'!$F$3:$F$159,'Base MFF calcs'!B56,'PCT data'!$R$3:$R$159)/SUMIF('PCT data'!$F$3:$F$159,'Base MFF calcs'!B56,'PCT data'!$D$3:$D$159),VLOOKUP(B56,'Land data'!$B$2:$J$240,9,FALSE))</f>
        <v>1.6248057129224716</v>
      </c>
      <c r="I56" s="452">
        <f t="shared" si="0"/>
        <v>0.98706190778910718</v>
      </c>
    </row>
    <row r="57" spans="1:9" ht="12.75" customHeight="1" x14ac:dyDescent="0.2">
      <c r="A57" s="451" t="s">
        <v>2133</v>
      </c>
      <c r="B57" s="172" t="s">
        <v>2343</v>
      </c>
      <c r="C57" s="172" t="s">
        <v>2344</v>
      </c>
      <c r="D57" s="171" t="s">
        <v>2144</v>
      </c>
      <c r="E57" s="173">
        <f>IF(SUMIF('Staff data'!B:B,'Base MFF calcs'!B57,'Staff data'!O:O)=0,VLOOKUP(D57,'PCT data'!$B$3:$I$159,7,FALSE),SUMIF('Staff data'!B:B,'Base MFF calcs'!B57,'Staff data'!O:O))</f>
        <v>0.9321463090571076</v>
      </c>
      <c r="F57" s="174">
        <f>VLOOKUP(B57,'M&amp;D data'!$C$13:$G$266,5,FALSE)</f>
        <v>0.99619990923086066</v>
      </c>
      <c r="G57" s="173">
        <f>IF(SUMIF('Buildings data'!B:B,'Base MFF calcs'!B57,'Buildings data'!L:L)=0,VLOOKUP(D57,'PCT data'!$B$3:$K$154,10,FALSE),SUMIF('Buildings data'!B:B,'Base MFF calcs'!B57,'Buildings data'!L:L))</f>
        <v>0.9106326488514862</v>
      </c>
      <c r="H57" s="174">
        <f>IF(ISNA(VLOOKUP(B57,'Land data'!$B$2:$J$240,9,FALSE)),SUMIF('PCT data'!$F$3:$F$159,'Base MFF calcs'!B57,'PCT data'!$R$3:$R$159)/SUMIF('PCT data'!$F$3:$F$159,'Base MFF calcs'!B57,'PCT data'!$D$3:$D$159),VLOOKUP(B57,'Land data'!$B$2:$J$240,9,FALSE))</f>
        <v>1.1487334401239486</v>
      </c>
      <c r="I57" s="452">
        <f t="shared" si="0"/>
        <v>0.96049618103338896</v>
      </c>
    </row>
    <row r="58" spans="1:9" ht="12.75" customHeight="1" x14ac:dyDescent="0.2">
      <c r="A58" s="451" t="s">
        <v>1167</v>
      </c>
      <c r="B58" s="172" t="s">
        <v>2345</v>
      </c>
      <c r="C58" s="172" t="s">
        <v>2346</v>
      </c>
      <c r="D58" s="171" t="s">
        <v>3441</v>
      </c>
      <c r="E58" s="173">
        <f>IF(SUMIF('Staff data'!B:B,'Base MFF calcs'!B58,'Staff data'!O:O)=0,VLOOKUP(D58,'PCT data'!$B$3:$I$159,7,FALSE),SUMIF('Staff data'!B:B,'Base MFF calcs'!B58,'Staff data'!O:O))</f>
        <v>1.1760432675430872</v>
      </c>
      <c r="F58" s="174">
        <f>VLOOKUP(B58,'M&amp;D data'!$C$13:$G$266,5,FALSE)</f>
        <v>1.0185025427599708</v>
      </c>
      <c r="G58" s="173">
        <f>IF(SUMIF('Buildings data'!B:B,'Base MFF calcs'!B58,'Buildings data'!L:L)=0,VLOOKUP(D58,'PCT data'!$B$3:$K$154,10,FALSE),SUMIF('Buildings data'!B:B,'Base MFF calcs'!B58,'Buildings data'!L:L))</f>
        <v>1.154326716430494</v>
      </c>
      <c r="H58" s="174">
        <f>IF(ISNA(VLOOKUP(B58,'Land data'!$B$2:$J$240,9,FALSE)),SUMIF('PCT data'!$F$3:$F$159,'Base MFF calcs'!B58,'PCT data'!$R$3:$R$159)/SUMIF('PCT data'!$F$3:$F$159,'Base MFF calcs'!B58,'PCT data'!$D$3:$D$159),VLOOKUP(B58,'Land data'!$B$2:$J$240,9,FALSE))</f>
        <v>2.6676888797428426</v>
      </c>
      <c r="I58" s="452">
        <f t="shared" si="0"/>
        <v>1.1108316431689347</v>
      </c>
    </row>
    <row r="59" spans="1:9" ht="12.75" customHeight="1" x14ac:dyDescent="0.2">
      <c r="A59" s="451" t="s">
        <v>1127</v>
      </c>
      <c r="B59" s="172" t="s">
        <v>2347</v>
      </c>
      <c r="C59" s="172" t="s">
        <v>2348</v>
      </c>
      <c r="D59" s="171" t="s">
        <v>3569</v>
      </c>
      <c r="E59" s="173">
        <f>IF(SUMIF('Staff data'!B:B,'Base MFF calcs'!B59,'Staff data'!O:O)=0,VLOOKUP(D59,'PCT data'!$B$3:$I$159,7,FALSE),SUMIF('Staff data'!B:B,'Base MFF calcs'!B59,'Staff data'!O:O))</f>
        <v>1.0862560349055592</v>
      </c>
      <c r="F59" s="174">
        <f>VLOOKUP(B59,'M&amp;D data'!$C$13:$G$266,5,FALSE)</f>
        <v>0.99619990923086066</v>
      </c>
      <c r="G59" s="173">
        <f>IF(SUMIF('Buildings data'!B:B,'Base MFF calcs'!B59,'Buildings data'!L:L)=0,VLOOKUP(D59,'PCT data'!$B$3:$K$154,10,FALSE),SUMIF('Buildings data'!B:B,'Base MFF calcs'!B59,'Buildings data'!L:L))</f>
        <v>1.0747179773663313</v>
      </c>
      <c r="H59" s="174">
        <f>IF(ISNA(VLOOKUP(B59,'Land data'!$B$2:$J$240,9,FALSE)),SUMIF('PCT data'!$F$3:$F$159,'Base MFF calcs'!B59,'PCT data'!$R$3:$R$159)/SUMIF('PCT data'!$F$3:$F$159,'Base MFF calcs'!B59,'PCT data'!$D$3:$D$159),VLOOKUP(B59,'Land data'!$B$2:$J$240,9,FALSE))</f>
        <v>2.6974821150320207</v>
      </c>
      <c r="I59" s="452">
        <f t="shared" si="0"/>
        <v>1.056437184534996</v>
      </c>
    </row>
    <row r="60" spans="1:9" ht="12.75" customHeight="1" x14ac:dyDescent="0.2">
      <c r="A60" s="451" t="s">
        <v>2975</v>
      </c>
      <c r="B60" s="172" t="s">
        <v>2349</v>
      </c>
      <c r="C60" s="172" t="s">
        <v>2350</v>
      </c>
      <c r="D60" s="171" t="s">
        <v>2996</v>
      </c>
      <c r="E60" s="173">
        <f>IF(SUMIF('Staff data'!B:B,'Base MFF calcs'!B60,'Staff data'!O:O)=0,VLOOKUP(D60,'PCT data'!$B$3:$I$159,7,FALSE),SUMIF('Staff data'!B:B,'Base MFF calcs'!B60,'Staff data'!O:O))</f>
        <v>0.95899666654624882</v>
      </c>
      <c r="F60" s="174">
        <f>VLOOKUP(B60,'M&amp;D data'!$C$13:$G$266,5,FALSE)</f>
        <v>0.99619990923086066</v>
      </c>
      <c r="G60" s="173">
        <f>IF(SUMIF('Buildings data'!B:B,'Base MFF calcs'!B60,'Buildings data'!L:L)=0,VLOOKUP(D60,'PCT data'!$B$3:$K$154,10,FALSE),SUMIF('Buildings data'!B:B,'Base MFF calcs'!B60,'Buildings data'!L:L))</f>
        <v>0.90554940685496443</v>
      </c>
      <c r="H60" s="174">
        <f>IF(ISNA(VLOOKUP(B60,'Land data'!$B$2:$J$240,9,FALSE)),SUMIF('PCT data'!$F$3:$F$159,'Base MFF calcs'!B60,'PCT data'!$R$3:$R$159)/SUMIF('PCT data'!$F$3:$F$159,'Base MFF calcs'!B60,'PCT data'!$D$3:$D$159),VLOOKUP(B60,'Land data'!$B$2:$J$240,9,FALSE))</f>
        <v>0.46234605920992333</v>
      </c>
      <c r="I60" s="452">
        <f t="shared" si="0"/>
        <v>0.9720292050624102</v>
      </c>
    </row>
    <row r="61" spans="1:9" ht="12.75" customHeight="1" x14ac:dyDescent="0.2">
      <c r="A61" s="451" t="s">
        <v>3496</v>
      </c>
      <c r="B61" s="172" t="s">
        <v>2351</v>
      </c>
      <c r="C61" s="172" t="s">
        <v>2352</v>
      </c>
      <c r="D61" s="171" t="s">
        <v>3503</v>
      </c>
      <c r="E61" s="173">
        <f>IF(SUMIF('Staff data'!B:B,'Base MFF calcs'!B61,'Staff data'!O:O)=0,VLOOKUP(D61,'PCT data'!$B$3:$I$159,7,FALSE),SUMIF('Staff data'!B:B,'Base MFF calcs'!B61,'Staff data'!O:O))</f>
        <v>0.94519232631201033</v>
      </c>
      <c r="F61" s="174">
        <f>VLOOKUP(B61,'M&amp;D data'!$C$13:$G$266,5,FALSE)</f>
        <v>0.99619990923086066</v>
      </c>
      <c r="G61" s="173">
        <f>IF(SUMIF('Buildings data'!B:B,'Base MFF calcs'!B61,'Buildings data'!L:L)=0,VLOOKUP(D61,'PCT data'!$B$3:$K$154,10,FALSE),SUMIF('Buildings data'!B:B,'Base MFF calcs'!B61,'Buildings data'!L:L))</f>
        <v>1.0448647002172666</v>
      </c>
      <c r="H61" s="174">
        <f>IF(ISNA(VLOOKUP(B61,'Land data'!$B$2:$J$240,9,FALSE)),SUMIF('PCT data'!$F$3:$F$159,'Base MFF calcs'!B61,'PCT data'!$R$3:$R$159)/SUMIF('PCT data'!$F$3:$F$159,'Base MFF calcs'!B61,'PCT data'!$D$3:$D$159),VLOOKUP(B61,'Land data'!$B$2:$J$240,9,FALSE))</f>
        <v>0.53267624854562845</v>
      </c>
      <c r="I61" s="452">
        <f t="shared" si="0"/>
        <v>0.96847456179100533</v>
      </c>
    </row>
    <row r="62" spans="1:9" ht="12.75" customHeight="1" x14ac:dyDescent="0.2">
      <c r="A62" s="451" t="s">
        <v>2975</v>
      </c>
      <c r="B62" s="172" t="s">
        <v>2353</v>
      </c>
      <c r="C62" s="172" t="s">
        <v>2354</v>
      </c>
      <c r="D62" s="171" t="s">
        <v>2998</v>
      </c>
      <c r="E62" s="173">
        <f>IF(SUMIF('Staff data'!B:B,'Base MFF calcs'!B62,'Staff data'!O:O)=0,VLOOKUP(D62,'PCT data'!$B$3:$I$159,7,FALSE),SUMIF('Staff data'!B:B,'Base MFF calcs'!B62,'Staff data'!O:O))</f>
        <v>0.92974872048445267</v>
      </c>
      <c r="F62" s="174">
        <f>VLOOKUP(B62,'M&amp;D data'!$C$13:$G$266,5,FALSE)</f>
        <v>0.99619990923086066</v>
      </c>
      <c r="G62" s="173">
        <f>IF(SUMIF('Buildings data'!B:B,'Base MFF calcs'!B62,'Buildings data'!L:L)=0,VLOOKUP(D62,'PCT data'!$B$3:$K$154,10,FALSE),SUMIF('Buildings data'!B:B,'Base MFF calcs'!B62,'Buildings data'!L:L))</f>
        <v>0.92371246585810041</v>
      </c>
      <c r="H62" s="174">
        <f>IF(ISNA(VLOOKUP(B62,'Land data'!$B$2:$J$240,9,FALSE)),SUMIF('PCT data'!$F$3:$F$159,'Base MFF calcs'!B62,'PCT data'!$R$3:$R$159)/SUMIF('PCT data'!$F$3:$F$159,'Base MFF calcs'!B62,'PCT data'!$D$3:$D$159),VLOOKUP(B62,'Land data'!$B$2:$J$240,9,FALSE))</f>
        <v>0.45705680455969311</v>
      </c>
      <c r="I62" s="452">
        <f t="shared" si="0"/>
        <v>0.95642784472023279</v>
      </c>
    </row>
    <row r="63" spans="1:9" ht="12.75" customHeight="1" x14ac:dyDescent="0.2">
      <c r="A63" s="451" t="s">
        <v>1167</v>
      </c>
      <c r="B63" s="172" t="s">
        <v>2355</v>
      </c>
      <c r="C63" s="172" t="s">
        <v>2356</v>
      </c>
      <c r="D63" s="171" t="s">
        <v>1175</v>
      </c>
      <c r="E63" s="173">
        <f>IF(SUMIF('Staff data'!B:B,'Base MFF calcs'!B63,'Staff data'!O:O)=0,VLOOKUP(D63,'PCT data'!$B$3:$I$159,7,FALSE),SUMIF('Staff data'!B:B,'Base MFF calcs'!B63,'Staff data'!O:O))</f>
        <v>1.1879198691997344</v>
      </c>
      <c r="F63" s="174">
        <f>VLOOKUP(B63,'M&amp;D data'!$C$13:$G$266,5,FALSE)</f>
        <v>1.0185025427599708</v>
      </c>
      <c r="G63" s="173">
        <f>IF(SUMIF('Buildings data'!B:B,'Base MFF calcs'!B63,'Buildings data'!L:L)=0,VLOOKUP(D63,'PCT data'!$B$3:$K$154,10,FALSE),SUMIF('Buildings data'!B:B,'Base MFF calcs'!B63,'Buildings data'!L:L))</f>
        <v>1.1701938545900124</v>
      </c>
      <c r="H63" s="174">
        <f>IF(ISNA(VLOOKUP(B63,'Land data'!$B$2:$J$240,9,FALSE)),SUMIF('PCT data'!$F$3:$F$159,'Base MFF calcs'!B63,'PCT data'!$R$3:$R$159)/SUMIF('PCT data'!$F$3:$F$159,'Base MFF calcs'!B63,'PCT data'!$D$3:$D$159),VLOOKUP(B63,'Land data'!$B$2:$J$240,9,FALSE))</f>
        <v>4.9616608076711985</v>
      </c>
      <c r="I63" s="452">
        <f t="shared" si="0"/>
        <v>1.1280578691444223</v>
      </c>
    </row>
    <row r="64" spans="1:9" ht="12.75" customHeight="1" x14ac:dyDescent="0.2">
      <c r="A64" s="451" t="s">
        <v>3496</v>
      </c>
      <c r="B64" s="172" t="s">
        <v>2361</v>
      </c>
      <c r="C64" s="482" t="s">
        <v>1312</v>
      </c>
      <c r="D64" s="171" t="s">
        <v>3505</v>
      </c>
      <c r="E64" s="173">
        <f>IF(SUMIF('Staff data'!B:B,'Base MFF calcs'!B64,'Staff data'!O:O)=0,VLOOKUP(D64,'PCT data'!$B$3:$I$159,7,FALSE),SUMIF('Staff data'!B:B,'Base MFF calcs'!B64,'Staff data'!O:O))</f>
        <v>0.93829513425618982</v>
      </c>
      <c r="F64" s="174">
        <f>VLOOKUP(B64,'M&amp;D data'!$C$13:$G$266,5,FALSE)</f>
        <v>0.99619990923086066</v>
      </c>
      <c r="G64" s="173">
        <f>IF(SUMIF('Buildings data'!B:B,'Base MFF calcs'!B64,'Buildings data'!L:L)=0,VLOOKUP(D64,'PCT data'!$B$3:$K$154,10,FALSE),SUMIF('Buildings data'!B:B,'Base MFF calcs'!B64,'Buildings data'!L:L))</f>
        <v>1.0589738555432953</v>
      </c>
      <c r="H64" s="174">
        <f>IF(ISNA(VLOOKUP(B64,'Land data'!$B$2:$J$240,9,FALSE)),SUMIF('PCT data'!$F$3:$F$159,'Base MFF calcs'!B64,'PCT data'!$R$3:$R$159)/SUMIF('PCT data'!$F$3:$F$159,'Base MFF calcs'!B64,'PCT data'!$D$3:$D$159),VLOOKUP(B64,'Land data'!$B$2:$J$240,9,FALSE))</f>
        <v>1.0018056735645813</v>
      </c>
      <c r="I64" s="452">
        <f t="shared" si="0"/>
        <v>0.96716543126996224</v>
      </c>
    </row>
    <row r="65" spans="1:9" ht="12.75" customHeight="1" x14ac:dyDescent="0.2">
      <c r="A65" s="451" t="s">
        <v>1167</v>
      </c>
      <c r="B65" s="172" t="s">
        <v>2363</v>
      </c>
      <c r="C65" s="172" t="s">
        <v>2364</v>
      </c>
      <c r="D65" s="171" t="s">
        <v>3444</v>
      </c>
      <c r="E65" s="173">
        <f>IF(SUMIF('Staff data'!B:B,'Base MFF calcs'!B65,'Staff data'!O:O)=0,VLOOKUP(D65,'PCT data'!$B$3:$I$159,7,FALSE),SUMIF('Staff data'!B:B,'Base MFF calcs'!B65,'Staff data'!O:O))</f>
        <v>1.1712483641952516</v>
      </c>
      <c r="F65" s="174">
        <f>VLOOKUP(B65,'M&amp;D data'!$C$13:$G$266,5,FALSE)</f>
        <v>1.0185025427599708</v>
      </c>
      <c r="G65" s="173">
        <f>IF(SUMIF('Buildings data'!B:B,'Base MFF calcs'!B65,'Buildings data'!L:L)=0,VLOOKUP(D65,'PCT data'!$B$3:$K$154,10,FALSE),SUMIF('Buildings data'!B:B,'Base MFF calcs'!B65,'Buildings data'!L:L))</f>
        <v>1.1295939042940559</v>
      </c>
      <c r="H65" s="174">
        <f>IF(ISNA(VLOOKUP(B65,'Land data'!$B$2:$J$240,9,FALSE)),SUMIF('PCT data'!$F$3:$F$159,'Base MFF calcs'!B65,'PCT data'!$R$3:$R$159)/SUMIF('PCT data'!$F$3:$F$159,'Base MFF calcs'!B65,'PCT data'!$D$3:$D$159),VLOOKUP(B65,'Land data'!$B$2:$J$240,9,FALSE))</f>
        <v>1.9560530672941334</v>
      </c>
      <c r="I65" s="452">
        <f t="shared" si="0"/>
        <v>1.1043502052303349</v>
      </c>
    </row>
    <row r="66" spans="1:9" ht="12.75" customHeight="1" x14ac:dyDescent="0.2">
      <c r="A66" s="451" t="s">
        <v>3496</v>
      </c>
      <c r="B66" s="172" t="s">
        <v>2365</v>
      </c>
      <c r="C66" s="172" t="s">
        <v>2366</v>
      </c>
      <c r="D66" s="171" t="s">
        <v>3498</v>
      </c>
      <c r="E66" s="173">
        <f>IF(SUMIF('Staff data'!B:B,'Base MFF calcs'!B66,'Staff data'!O:O)=0,VLOOKUP(D66,'PCT data'!$B$3:$I$159,7,FALSE),SUMIF('Staff data'!B:B,'Base MFF calcs'!B66,'Staff data'!O:O))</f>
        <v>1.1310772783179113</v>
      </c>
      <c r="F66" s="174">
        <f>VLOOKUP(B66,'M&amp;D data'!$C$13:$G$266,5,FALSE)</f>
        <v>0.99619990923086066</v>
      </c>
      <c r="G66" s="173">
        <f>IF(SUMIF('Buildings data'!B:B,'Base MFF calcs'!B66,'Buildings data'!L:L)=0,VLOOKUP(D66,'PCT data'!$B$3:$K$154,10,FALSE),SUMIF('Buildings data'!B:B,'Base MFF calcs'!B66,'Buildings data'!L:L))</f>
        <v>1.1045712545153963</v>
      </c>
      <c r="H66" s="174">
        <f>IF(ISNA(VLOOKUP(B66,'Land data'!$B$2:$J$240,9,FALSE)),SUMIF('PCT data'!$F$3:$F$159,'Base MFF calcs'!B66,'PCT data'!$R$3:$R$159)/SUMIF('PCT data'!$F$3:$F$159,'Base MFF calcs'!B66,'PCT data'!$D$3:$D$159),VLOOKUP(B66,'Land data'!$B$2:$J$240,9,FALSE))</f>
        <v>1.4167460274757506</v>
      </c>
      <c r="I66" s="452">
        <f t="shared" si="0"/>
        <v>1.0761055630253789</v>
      </c>
    </row>
    <row r="67" spans="1:9" ht="12.75" customHeight="1" x14ac:dyDescent="0.2">
      <c r="A67" s="451" t="s">
        <v>708</v>
      </c>
      <c r="B67" s="172" t="s">
        <v>2367</v>
      </c>
      <c r="C67" s="172" t="s">
        <v>2368</v>
      </c>
      <c r="D67" s="171" t="s">
        <v>714</v>
      </c>
      <c r="E67" s="173">
        <f>IF(SUMIF('Staff data'!B:B,'Base MFF calcs'!B67,'Staff data'!O:O)=0,VLOOKUP(D67,'PCT data'!$B$3:$I$159,7,FALSE),SUMIF('Staff data'!B:B,'Base MFF calcs'!B67,'Staff data'!O:O))</f>
        <v>0.92235261255899026</v>
      </c>
      <c r="F67" s="174">
        <f>VLOOKUP(B67,'M&amp;D data'!$C$13:$G$266,5,FALSE)</f>
        <v>0.99619990923086066</v>
      </c>
      <c r="G67" s="173">
        <f>IF(SUMIF('Buildings data'!B:B,'Base MFF calcs'!B67,'Buildings data'!L:L)=0,VLOOKUP(D67,'PCT data'!$B$3:$K$154,10,FALSE),SUMIF('Buildings data'!B:B,'Base MFF calcs'!B67,'Buildings data'!L:L))</f>
        <v>0.97520705353611448</v>
      </c>
      <c r="H67" s="174">
        <f>IF(ISNA(VLOOKUP(B67,'Land data'!$B$2:$J$240,9,FALSE)),SUMIF('PCT data'!$F$3:$F$159,'Base MFF calcs'!B67,'PCT data'!$R$3:$R$159)/SUMIF('PCT data'!$F$3:$F$159,'Base MFF calcs'!B67,'PCT data'!$D$3:$D$159),VLOOKUP(B67,'Land data'!$B$2:$J$240,9,FALSE))</f>
        <v>0.1727703814864085</v>
      </c>
      <c r="I67" s="452">
        <f t="shared" si="0"/>
        <v>0.9524637106373679</v>
      </c>
    </row>
    <row r="68" spans="1:9" ht="12.75" customHeight="1" x14ac:dyDescent="0.2">
      <c r="A68" s="451" t="s">
        <v>2133</v>
      </c>
      <c r="B68" s="172" t="s">
        <v>2369</v>
      </c>
      <c r="C68" s="172" t="s">
        <v>2370</v>
      </c>
      <c r="D68" s="171" t="s">
        <v>2146</v>
      </c>
      <c r="E68" s="173">
        <f>IF(SUMIF('Staff data'!B:B,'Base MFF calcs'!B68,'Staff data'!O:O)=0,VLOOKUP(D68,'PCT data'!$B$3:$I$159,7,FALSE),SUMIF('Staff data'!B:B,'Base MFF calcs'!B68,'Staff data'!O:O))</f>
        <v>0.95843875300993986</v>
      </c>
      <c r="F68" s="174">
        <f>VLOOKUP(B68,'M&amp;D data'!$C$13:$G$266,5,FALSE)</f>
        <v>0.99619990923086066</v>
      </c>
      <c r="G68" s="173">
        <f>IF(SUMIF('Buildings data'!B:B,'Base MFF calcs'!B68,'Buildings data'!L:L)=0,VLOOKUP(D68,'PCT data'!$B$3:$K$154,10,FALSE),SUMIF('Buildings data'!B:B,'Base MFF calcs'!B68,'Buildings data'!L:L))</f>
        <v>0.95530486877007126</v>
      </c>
      <c r="H68" s="174">
        <f>IF(ISNA(VLOOKUP(B68,'Land data'!$B$2:$J$240,9,FALSE)),SUMIF('PCT data'!$F$3:$F$159,'Base MFF calcs'!B68,'PCT data'!$R$3:$R$159)/SUMIF('PCT data'!$F$3:$F$159,'Base MFF calcs'!B68,'PCT data'!$D$3:$D$159),VLOOKUP(B68,'Land data'!$B$2:$J$240,9,FALSE))</f>
        <v>0.5235369821214616</v>
      </c>
      <c r="I68" s="452">
        <f t="shared" si="0"/>
        <v>0.97332235635282971</v>
      </c>
    </row>
    <row r="69" spans="1:9" ht="12.75" customHeight="1" x14ac:dyDescent="0.2">
      <c r="A69" s="451" t="s">
        <v>3528</v>
      </c>
      <c r="B69" s="172" t="s">
        <v>2371</v>
      </c>
      <c r="C69" s="172" t="s">
        <v>2372</v>
      </c>
      <c r="D69" s="171" t="s">
        <v>3530</v>
      </c>
      <c r="E69" s="173">
        <f>IF(SUMIF('Staff data'!B:B,'Base MFF calcs'!B69,'Staff data'!O:O)=0,VLOOKUP(D69,'PCT data'!$B$3:$I$159,7,FALSE),SUMIF('Staff data'!B:B,'Base MFF calcs'!B69,'Staff data'!O:O))</f>
        <v>0.96274610474711197</v>
      </c>
      <c r="F69" s="174">
        <f>VLOOKUP(B69,'M&amp;D data'!$C$13:$G$266,5,FALSE)</f>
        <v>0.99619990923086066</v>
      </c>
      <c r="G69" s="173">
        <f>IF(SUMIF('Buildings data'!B:B,'Base MFF calcs'!B69,'Buildings data'!L:L)=0,VLOOKUP(D69,'PCT data'!$B$3:$K$154,10,FALSE),SUMIF('Buildings data'!B:B,'Base MFF calcs'!B69,'Buildings data'!L:L))</f>
        <v>0.97520705353611437</v>
      </c>
      <c r="H69" s="174">
        <f>IF(ISNA(VLOOKUP(B69,'Land data'!$B$2:$J$240,9,FALSE)),SUMIF('PCT data'!$F$3:$F$159,'Base MFF calcs'!B69,'PCT data'!$R$3:$R$159)/SUMIF('PCT data'!$F$3:$F$159,'Base MFF calcs'!B69,'PCT data'!$D$3:$D$159),VLOOKUP(B69,'Land data'!$B$2:$J$240,9,FALSE))</f>
        <v>1.1920537724524634</v>
      </c>
      <c r="I69" s="452">
        <f t="shared" si="0"/>
        <v>0.97921412993103041</v>
      </c>
    </row>
    <row r="70" spans="1:9" ht="12.75" customHeight="1" x14ac:dyDescent="0.2">
      <c r="A70" s="451" t="s">
        <v>1167</v>
      </c>
      <c r="B70" s="172" t="s">
        <v>2373</v>
      </c>
      <c r="C70" s="172" t="s">
        <v>1307</v>
      </c>
      <c r="D70" s="171" t="s">
        <v>3436</v>
      </c>
      <c r="E70" s="173">
        <f>IF(SUMIF('Staff data'!B:B,'Base MFF calcs'!B70,'Staff data'!O:O)=0,VLOOKUP(D70,'PCT data'!$B$3:$I$159,7,FALSE),SUMIF('Staff data'!B:B,'Base MFF calcs'!B70,'Staff data'!O:O))</f>
        <v>1.1983904688336433</v>
      </c>
      <c r="F70" s="174">
        <f>VLOOKUP(B70,'M&amp;D data'!$C$13:$G$266,5,FALSE)</f>
        <v>1.0185025427599708</v>
      </c>
      <c r="G70" s="173">
        <f>IF(SUMIF('Buildings data'!B:B,'Base MFF calcs'!B70,'Buildings data'!L:L)=0,VLOOKUP(D70,'PCT data'!$B$3:$K$154,10,FALSE),SUMIF('Buildings data'!B:B,'Base MFF calcs'!B70,'Buildings data'!L:L))</f>
        <v>1.2637887326437416</v>
      </c>
      <c r="H70" s="174">
        <f>IF(ISNA(VLOOKUP(B70,'Land data'!$B$2:$J$240,9,FALSE)),SUMIF('PCT data'!$F$3:$F$159,'Base MFF calcs'!B70,'PCT data'!$R$3:$R$159)/SUMIF('PCT data'!$F$3:$F$159,'Base MFF calcs'!B70,'PCT data'!$D$3:$D$159),VLOOKUP(B70,'Land data'!$B$2:$J$240,9,FALSE))</f>
        <v>17.187469244327872</v>
      </c>
      <c r="I70" s="452">
        <f t="shared" si="0"/>
        <v>1.1910968345663144</v>
      </c>
    </row>
    <row r="71" spans="1:9" ht="12.75" customHeight="1" x14ac:dyDescent="0.2">
      <c r="A71" s="451" t="s">
        <v>3528</v>
      </c>
      <c r="B71" s="172" t="s">
        <v>2377</v>
      </c>
      <c r="C71" s="172" t="s">
        <v>2378</v>
      </c>
      <c r="D71" s="171" t="s">
        <v>3544</v>
      </c>
      <c r="E71" s="173">
        <f>IF(SUMIF('Staff data'!B:B,'Base MFF calcs'!B71,'Staff data'!O:O)=0,VLOOKUP(D71,'PCT data'!$B$3:$I$159,7,FALSE),SUMIF('Staff data'!B:B,'Base MFF calcs'!B71,'Staff data'!O:O))</f>
        <v>1.0268192563123968</v>
      </c>
      <c r="F71" s="174">
        <f>VLOOKUP(B71,'M&amp;D data'!$C$13:$G$266,5,FALSE)</f>
        <v>0.99619990923086066</v>
      </c>
      <c r="G71" s="173">
        <f>IF(SUMIF('Buildings data'!B:B,'Base MFF calcs'!B71,'Buildings data'!L:L)=0,VLOOKUP(D71,'PCT data'!$B$3:$K$154,10,FALSE),SUMIF('Buildings data'!B:B,'Base MFF calcs'!B71,'Buildings data'!L:L))</f>
        <v>0.97520705353611448</v>
      </c>
      <c r="H71" s="174">
        <f>IF(ISNA(VLOOKUP(B71,'Land data'!$B$2:$J$240,9,FALSE)),SUMIF('PCT data'!$F$3:$F$159,'Base MFF calcs'!B71,'PCT data'!$R$3:$R$159)/SUMIF('PCT data'!$F$3:$F$159,'Base MFF calcs'!B71,'PCT data'!$D$3:$D$159),VLOOKUP(B71,'Land data'!$B$2:$J$240,9,FALSE))</f>
        <v>1.2158200931191849</v>
      </c>
      <c r="I71" s="452">
        <f t="shared" ref="I71:I134" si="1">E71*$E$4+F71*$F$4+G71*$G$4+H71*$H$4+$I$4</f>
        <v>1.0145062677043455</v>
      </c>
    </row>
    <row r="72" spans="1:9" ht="12.75" customHeight="1" x14ac:dyDescent="0.2">
      <c r="A72" s="451" t="s">
        <v>2975</v>
      </c>
      <c r="B72" s="172" t="s">
        <v>2379</v>
      </c>
      <c r="C72" s="172" t="s">
        <v>2380</v>
      </c>
      <c r="D72" s="171" t="s">
        <v>3000</v>
      </c>
      <c r="E72" s="173">
        <f>IF(SUMIF('Staff data'!B:B,'Base MFF calcs'!B72,'Staff data'!O:O)=0,VLOOKUP(D72,'PCT data'!$B$3:$I$159,7,FALSE),SUMIF('Staff data'!B:B,'Base MFF calcs'!B72,'Staff data'!O:O))</f>
        <v>0.95968299684143898</v>
      </c>
      <c r="F72" s="174">
        <f>VLOOKUP(B72,'M&amp;D data'!$C$13:$G$266,5,FALSE)</f>
        <v>0.99619990923086066</v>
      </c>
      <c r="G72" s="173">
        <f>IF(SUMIF('Buildings data'!B:B,'Base MFF calcs'!B72,'Buildings data'!L:L)=0,VLOOKUP(D72,'PCT data'!$B$3:$K$154,10,FALSE),SUMIF('Buildings data'!B:B,'Base MFF calcs'!B72,'Buildings data'!L:L))</f>
        <v>0.90534853076648703</v>
      </c>
      <c r="H72" s="174">
        <f>IF(ISNA(VLOOKUP(B72,'Land data'!$B$2:$J$240,9,FALSE)),SUMIF('PCT data'!$F$3:$F$159,'Base MFF calcs'!B72,'PCT data'!$R$3:$R$159)/SUMIF('PCT data'!$F$3:$F$159,'Base MFF calcs'!B72,'PCT data'!$D$3:$D$159),VLOOKUP(B72,'Land data'!$B$2:$J$240,9,FALSE))</f>
        <v>0.56706056918215453</v>
      </c>
      <c r="I72" s="452">
        <f t="shared" si="1"/>
        <v>0.97287008186760993</v>
      </c>
    </row>
    <row r="73" spans="1:9" ht="12.75" customHeight="1" x14ac:dyDescent="0.2">
      <c r="A73" s="451" t="s">
        <v>1167</v>
      </c>
      <c r="B73" s="172" t="s">
        <v>2381</v>
      </c>
      <c r="C73" s="172" t="s">
        <v>2382</v>
      </c>
      <c r="D73" s="171" t="s">
        <v>3447</v>
      </c>
      <c r="E73" s="173">
        <f>IF(SUMIF('Staff data'!B:B,'Base MFF calcs'!B73,'Staff data'!O:O)=0,VLOOKUP(D73,'PCT data'!$B$3:$I$159,7,FALSE),SUMIF('Staff data'!B:B,'Base MFF calcs'!B73,'Staff data'!O:O))</f>
        <v>1.1978987854309033</v>
      </c>
      <c r="F73" s="174">
        <f>VLOOKUP(B73,'M&amp;D data'!$C$13:$G$266,5,FALSE)</f>
        <v>1.0185025427599708</v>
      </c>
      <c r="G73" s="173">
        <f>IF(SUMIF('Buildings data'!B:B,'Base MFF calcs'!B73,'Buildings data'!L:L)=0,VLOOKUP(D73,'PCT data'!$B$3:$K$154,10,FALSE),SUMIF('Buildings data'!B:B,'Base MFF calcs'!B73,'Buildings data'!L:L))</f>
        <v>1.2140332707286337</v>
      </c>
      <c r="H73" s="174">
        <f>IF(ISNA(VLOOKUP(B73,'Land data'!$B$2:$J$240,9,FALSE)),SUMIF('PCT data'!$F$3:$F$159,'Base MFF calcs'!B73,'PCT data'!$R$3:$R$159)/SUMIF('PCT data'!$F$3:$F$159,'Base MFF calcs'!B73,'PCT data'!$D$3:$D$159),VLOOKUP(B73,'Land data'!$B$2:$J$240,9,FALSE))</f>
        <v>15.724134465199519</v>
      </c>
      <c r="I73" s="452">
        <f t="shared" si="1"/>
        <v>1.1829428880537569</v>
      </c>
    </row>
    <row r="74" spans="1:9" ht="12.75" customHeight="1" x14ac:dyDescent="0.2">
      <c r="A74" s="451" t="s">
        <v>191</v>
      </c>
      <c r="B74" s="172" t="s">
        <v>2383</v>
      </c>
      <c r="C74" s="172" t="s">
        <v>2384</v>
      </c>
      <c r="D74" s="171" t="s">
        <v>192</v>
      </c>
      <c r="E74" s="173">
        <f>IF(SUMIF('Staff data'!B:B,'Base MFF calcs'!B74,'Staff data'!O:O)=0,VLOOKUP(D74,'PCT data'!$B$3:$I$159,7,FALSE),SUMIF('Staff data'!B:B,'Base MFF calcs'!B74,'Staff data'!O:O))</f>
        <v>1.0450713083061576</v>
      </c>
      <c r="F74" s="174">
        <f>VLOOKUP(B74,'M&amp;D data'!$C$13:$G$266,5,FALSE)</f>
        <v>0.99619990923086066</v>
      </c>
      <c r="G74" s="173">
        <f>IF(SUMIF('Buildings data'!B:B,'Base MFF calcs'!B74,'Buildings data'!L:L)=0,VLOOKUP(D74,'PCT data'!$B$3:$K$154,10,FALSE),SUMIF('Buildings data'!B:B,'Base MFF calcs'!B74,'Buildings data'!L:L))</f>
        <v>1.0249625154512234</v>
      </c>
      <c r="H74" s="174">
        <f>IF(ISNA(VLOOKUP(B74,'Land data'!$B$2:$J$240,9,FALSE)),SUMIF('PCT data'!$F$3:$F$159,'Base MFF calcs'!B74,'PCT data'!$R$3:$R$159)/SUMIF('PCT data'!$F$3:$F$159,'Base MFF calcs'!B74,'PCT data'!$D$3:$D$159),VLOOKUP(B74,'Land data'!$B$2:$J$240,9,FALSE))</f>
        <v>1.6621842742093005</v>
      </c>
      <c r="I74" s="452">
        <f t="shared" si="1"/>
        <v>1.027855213643623</v>
      </c>
    </row>
    <row r="75" spans="1:9" ht="12.75" customHeight="1" x14ac:dyDescent="0.2">
      <c r="A75" s="451" t="s">
        <v>191</v>
      </c>
      <c r="B75" s="172" t="s">
        <v>2385</v>
      </c>
      <c r="C75" s="552" t="s">
        <v>1310</v>
      </c>
      <c r="D75" s="171" t="s">
        <v>192</v>
      </c>
      <c r="E75" s="173">
        <f>IF(SUMIF('Staff data'!B:B,'Base MFF calcs'!B75,'Staff data'!O:O)=0,VLOOKUP(D75,'PCT data'!$B$3:$I$159,7,FALSE),SUMIF('Staff data'!B:B,'Base MFF calcs'!B75,'Staff data'!O:O))</f>
        <v>1.0162660828236378</v>
      </c>
      <c r="F75" s="174">
        <f>VLOOKUP(B75,'M&amp;D data'!$C$13:$G$266,5,FALSE)</f>
        <v>0.99619990923086066</v>
      </c>
      <c r="G75" s="173">
        <f>IF(SUMIF('Buildings data'!B:B,'Base MFF calcs'!B75,'Buildings data'!L:L)=0,VLOOKUP(D75,'PCT data'!$B$3:$K$154,10,FALSE),SUMIF('Buildings data'!B:B,'Base MFF calcs'!B75,'Buildings data'!L:L))</f>
        <v>1.0242202721508462</v>
      </c>
      <c r="H75" s="174">
        <f>IF(ISNA(VLOOKUP(B75,'Land data'!$B$2:$J$240,9,FALSE)),SUMIF('PCT data'!$F$3:$F$159,'Base MFF calcs'!B75,'PCT data'!$R$3:$R$159)/SUMIF('PCT data'!$F$3:$F$159,'Base MFF calcs'!B75,'PCT data'!$D$3:$D$159),VLOOKUP(B75,'Land data'!$B$2:$J$240,9,FALSE))</f>
        <v>1.0018408391003846</v>
      </c>
      <c r="I75" s="452">
        <f t="shared" si="1"/>
        <v>1.0090574625932951</v>
      </c>
    </row>
    <row r="76" spans="1:9" ht="12.75" customHeight="1" x14ac:dyDescent="0.2">
      <c r="A76" s="451" t="s">
        <v>3034</v>
      </c>
      <c r="B76" s="172" t="s">
        <v>2387</v>
      </c>
      <c r="C76" s="172" t="s">
        <v>2388</v>
      </c>
      <c r="D76" s="171" t="s">
        <v>3046</v>
      </c>
      <c r="E76" s="173">
        <f>IF(SUMIF('Staff data'!B:B,'Base MFF calcs'!B76,'Staff data'!O:O)=0,VLOOKUP(D76,'PCT data'!$B$3:$I$159,7,FALSE),SUMIF('Staff data'!B:B,'Base MFF calcs'!B76,'Staff data'!O:O))</f>
        <v>0.93932327323437381</v>
      </c>
      <c r="F76" s="174">
        <f>VLOOKUP(B76,'M&amp;D data'!$C$13:$G$266,5,FALSE)</f>
        <v>0.99619990923086066</v>
      </c>
      <c r="G76" s="173">
        <f>IF(SUMIF('Buildings data'!B:B,'Base MFF calcs'!B76,'Buildings data'!L:L)=0,VLOOKUP(D76,'PCT data'!$B$3:$K$154,10,FALSE),SUMIF('Buildings data'!B:B,'Base MFF calcs'!B76,'Buildings data'!L:L))</f>
        <v>0.97520705353611448</v>
      </c>
      <c r="H76" s="174">
        <f>IF(ISNA(VLOOKUP(B76,'Land data'!$B$2:$J$240,9,FALSE)),SUMIF('PCT data'!$F$3:$F$159,'Base MFF calcs'!B76,'PCT data'!$R$3:$R$159)/SUMIF('PCT data'!$F$3:$F$159,'Base MFF calcs'!B76,'PCT data'!$D$3:$D$159),VLOOKUP(B76,'Land data'!$B$2:$J$240,9,FALSE))</f>
        <v>0.39203758384874432</v>
      </c>
      <c r="I76" s="452">
        <f t="shared" si="1"/>
        <v>0.96276586417278232</v>
      </c>
    </row>
    <row r="77" spans="1:9" ht="12.75" customHeight="1" x14ac:dyDescent="0.2">
      <c r="A77" s="451" t="s">
        <v>2133</v>
      </c>
      <c r="B77" s="172" t="s">
        <v>2389</v>
      </c>
      <c r="C77" s="172" t="s">
        <v>2390</v>
      </c>
      <c r="D77" s="171" t="s">
        <v>2148</v>
      </c>
      <c r="E77" s="173">
        <f>IF(SUMIF('Staff data'!B:B,'Base MFF calcs'!B77,'Staff data'!O:O)=0,VLOOKUP(D77,'PCT data'!$B$3:$I$159,7,FALSE),SUMIF('Staff data'!B:B,'Base MFF calcs'!B77,'Staff data'!O:O))</f>
        <v>0.94969807510902737</v>
      </c>
      <c r="F77" s="174">
        <f>VLOOKUP(B77,'M&amp;D data'!$C$13:$G$266,5,FALSE)</f>
        <v>0.99619990923086066</v>
      </c>
      <c r="G77" s="173">
        <f>IF(SUMIF('Buildings data'!B:B,'Base MFF calcs'!B77,'Buildings data'!L:L)=0,VLOOKUP(D77,'PCT data'!$B$3:$K$154,10,FALSE),SUMIF('Buildings data'!B:B,'Base MFF calcs'!B77,'Buildings data'!L:L))</f>
        <v>0.94684586636374268</v>
      </c>
      <c r="H77" s="174">
        <f>IF(ISNA(VLOOKUP(B77,'Land data'!$B$2:$J$240,9,FALSE)),SUMIF('PCT data'!$F$3:$F$159,'Base MFF calcs'!B77,'PCT data'!$R$3:$R$159)/SUMIF('PCT data'!$F$3:$F$159,'Base MFF calcs'!B77,'PCT data'!$D$3:$D$159),VLOOKUP(B77,'Land data'!$B$2:$J$240,9,FALSE))</f>
        <v>1.2952425104361998</v>
      </c>
      <c r="I77" s="452">
        <f t="shared" si="1"/>
        <v>0.97175590859702088</v>
      </c>
    </row>
    <row r="78" spans="1:9" ht="12.75" customHeight="1" x14ac:dyDescent="0.2">
      <c r="A78" s="451" t="s">
        <v>191</v>
      </c>
      <c r="B78" s="172" t="s">
        <v>2391</v>
      </c>
      <c r="C78" s="172" t="s">
        <v>2392</v>
      </c>
      <c r="D78" s="171" t="s">
        <v>194</v>
      </c>
      <c r="E78" s="173">
        <f>IF(SUMIF('Staff data'!B:B,'Base MFF calcs'!B78,'Staff data'!O:O)=0,VLOOKUP(D78,'PCT data'!$B$3:$I$159,7,FALSE),SUMIF('Staff data'!B:B,'Base MFF calcs'!B78,'Staff data'!O:O))</f>
        <v>1.1525669710702142</v>
      </c>
      <c r="F78" s="174">
        <f>VLOOKUP(B78,'M&amp;D data'!$C$13:$G$266,5,FALSE)</f>
        <v>0.99619990923086066</v>
      </c>
      <c r="G78" s="173">
        <f>IF(SUMIF('Buildings data'!B:B,'Base MFF calcs'!B78,'Buildings data'!L:L)=0,VLOOKUP(D78,'PCT data'!$B$3:$K$154,10,FALSE),SUMIF('Buildings data'!B:B,'Base MFF calcs'!B78,'Buildings data'!L:L))</f>
        <v>1.0747179773663313</v>
      </c>
      <c r="H78" s="174">
        <f>IF(ISNA(VLOOKUP(B78,'Land data'!$B$2:$J$240,9,FALSE)),SUMIF('PCT data'!$F$3:$F$159,'Base MFF calcs'!B78,'PCT data'!$R$3:$R$159)/SUMIF('PCT data'!$F$3:$F$159,'Base MFF calcs'!B78,'PCT data'!$D$3:$D$159),VLOOKUP(B78,'Land data'!$B$2:$J$240,9,FALSE))</f>
        <v>0.40240311477963164</v>
      </c>
      <c r="I78" s="452">
        <f t="shared" si="1"/>
        <v>1.0825651269402883</v>
      </c>
    </row>
    <row r="79" spans="1:9" ht="12.75" customHeight="1" x14ac:dyDescent="0.2">
      <c r="A79" s="451" t="s">
        <v>1127</v>
      </c>
      <c r="B79" s="172" t="s">
        <v>1320</v>
      </c>
      <c r="C79" s="172" t="s">
        <v>1321</v>
      </c>
      <c r="D79" s="171" t="s">
        <v>3569</v>
      </c>
      <c r="E79" s="173">
        <f>IF(SUMIF('Staff data'!B:B,'Base MFF calcs'!B79,'Staff data'!O:O)=0,VLOOKUP(D79,'PCT data'!$B$3:$I$159,7,FALSE),SUMIF('Staff data'!B:B,'Base MFF calcs'!B79,'Staff data'!O:O))</f>
        <v>1.108414182099474</v>
      </c>
      <c r="F79" s="174">
        <f>VLOOKUP(B79,'M&amp;D data'!$C$13:$G$266,5,FALSE)</f>
        <v>0.99619990923086066</v>
      </c>
      <c r="G79" s="173">
        <f>IF(SUMIF('Buildings data'!B:B,'Base MFF calcs'!B79,'Buildings data'!L:L)=0,VLOOKUP(D79,'PCT data'!$B$3:$K$154,10,FALSE),SUMIF('Buildings data'!B:B,'Base MFF calcs'!B79,'Buildings data'!L:L))</f>
        <v>1.073810487809389</v>
      </c>
      <c r="H79" s="174">
        <f>IF(ISNA(VLOOKUP(B79,'Land data'!$B$2:$J$240,9,FALSE)),SUMIF('PCT data'!$F$3:$F$159,'Base MFF calcs'!B79,'PCT data'!$R$3:$R$159)/SUMIF('PCT data'!$F$3:$F$159,'Base MFF calcs'!B79,'PCT data'!$D$3:$D$159),VLOOKUP(B79,'Land data'!$B$2:$J$240,9,FALSE))</f>
        <v>0.8801695943676271</v>
      </c>
      <c r="I79" s="452">
        <f t="shared" si="1"/>
        <v>1.0604359077978813</v>
      </c>
    </row>
    <row r="80" spans="1:9" ht="12.75" customHeight="1" x14ac:dyDescent="0.2">
      <c r="A80" s="451" t="s">
        <v>1127</v>
      </c>
      <c r="B80" s="172" t="s">
        <v>1322</v>
      </c>
      <c r="C80" s="172" t="s">
        <v>1323</v>
      </c>
      <c r="D80" s="171" t="s">
        <v>1133</v>
      </c>
      <c r="E80" s="173">
        <f>IF(SUMIF('Staff data'!B:B,'Base MFF calcs'!B80,'Staff data'!O:O)=0,VLOOKUP(D80,'PCT data'!$B$3:$I$159,7,FALSE),SUMIF('Staff data'!B:B,'Base MFF calcs'!B80,'Staff data'!O:O))</f>
        <v>1.0028538273052992</v>
      </c>
      <c r="F80" s="174">
        <f>VLOOKUP(B80,'M&amp;D data'!$C$13:$G$266,5,FALSE)</f>
        <v>0.99619990923086066</v>
      </c>
      <c r="G80" s="173">
        <f>IF(SUMIF('Buildings data'!B:B,'Base MFF calcs'!B80,'Buildings data'!L:L)=0,VLOOKUP(D80,'PCT data'!$B$3:$K$154,10,FALSE),SUMIF('Buildings data'!B:B,'Base MFF calcs'!B80,'Buildings data'!L:L))</f>
        <v>0.97520705353611448</v>
      </c>
      <c r="H80" s="174">
        <f>IF(ISNA(VLOOKUP(B80,'Land data'!$B$2:$J$240,9,FALSE)),SUMIF('PCT data'!$F$3:$F$159,'Base MFF calcs'!B80,'PCT data'!$R$3:$R$159)/SUMIF('PCT data'!$F$3:$F$159,'Base MFF calcs'!B80,'PCT data'!$D$3:$D$159),VLOOKUP(B80,'Land data'!$B$2:$J$240,9,FALSE))</f>
        <v>0.94852331142218271</v>
      </c>
      <c r="I80" s="452">
        <f t="shared" si="1"/>
        <v>1.0001476852917615</v>
      </c>
    </row>
    <row r="81" spans="1:9" ht="12.75" customHeight="1" x14ac:dyDescent="0.2">
      <c r="A81" s="451" t="s">
        <v>1167</v>
      </c>
      <c r="B81" s="172" t="s">
        <v>1324</v>
      </c>
      <c r="C81" s="172" t="s">
        <v>1325</v>
      </c>
      <c r="D81" s="171" t="s">
        <v>3449</v>
      </c>
      <c r="E81" s="173">
        <f>IF(SUMIF('Staff data'!B:B,'Base MFF calcs'!B81,'Staff data'!O:O)=0,VLOOKUP(D81,'PCT data'!$B$3:$I$159,7,FALSE),SUMIF('Staff data'!B:B,'Base MFF calcs'!B81,'Staff data'!O:O))</f>
        <v>1.189275492524569</v>
      </c>
      <c r="F81" s="174">
        <f>VLOOKUP(B81,'M&amp;D data'!$C$13:$G$266,5,FALSE)</f>
        <v>1.0185025427599708</v>
      </c>
      <c r="G81" s="173">
        <f>IF(SUMIF('Buildings data'!B:B,'Base MFF calcs'!B81,'Buildings data'!L:L)=0,VLOOKUP(D81,'PCT data'!$B$3:$K$154,10,FALSE),SUMIF('Buildings data'!B:B,'Base MFF calcs'!B81,'Buildings data'!L:L))</f>
        <v>1.2040821783456119</v>
      </c>
      <c r="H81" s="174">
        <f>IF(ISNA(VLOOKUP(B81,'Land data'!$B$2:$J$240,9,FALSE)),SUMIF('PCT data'!$F$3:$F$159,'Base MFF calcs'!B81,'PCT data'!$R$3:$R$159)/SUMIF('PCT data'!$F$3:$F$159,'Base MFF calcs'!B81,'PCT data'!$D$3:$D$159),VLOOKUP(B81,'Land data'!$B$2:$J$240,9,FALSE))</f>
        <v>1.9852413433296474</v>
      </c>
      <c r="I81" s="452">
        <f t="shared" si="1"/>
        <v>1.1163646267865877</v>
      </c>
    </row>
    <row r="82" spans="1:9" ht="12.75" customHeight="1" x14ac:dyDescent="0.2">
      <c r="A82" s="451" t="s">
        <v>3034</v>
      </c>
      <c r="B82" s="172" t="s">
        <v>1328</v>
      </c>
      <c r="C82" s="172" t="s">
        <v>1329</v>
      </c>
      <c r="D82" s="171" t="s">
        <v>3048</v>
      </c>
      <c r="E82" s="173">
        <f>IF(SUMIF('Staff data'!B:B,'Base MFF calcs'!B82,'Staff data'!O:O)=0,VLOOKUP(D82,'PCT data'!$B$3:$I$159,7,FALSE),SUMIF('Staff data'!B:B,'Base MFF calcs'!B82,'Staff data'!O:O))</f>
        <v>0.90103188660659994</v>
      </c>
      <c r="F82" s="174">
        <f>VLOOKUP(B82,'M&amp;D data'!$C$13:$G$266,5,FALSE)</f>
        <v>0.99619990923086066</v>
      </c>
      <c r="G82" s="173">
        <f>IF(SUMIF('Buildings data'!B:B,'Base MFF calcs'!B82,'Buildings data'!L:L)=0,VLOOKUP(D82,'PCT data'!$B$3:$K$154,10,FALSE),SUMIF('Buildings data'!B:B,'Base MFF calcs'!B82,'Buildings data'!L:L))</f>
        <v>0.96285397333650136</v>
      </c>
      <c r="H82" s="174">
        <f>IF(ISNA(VLOOKUP(B82,'Land data'!$B$2:$J$240,9,FALSE)),SUMIF('PCT data'!$F$3:$F$159,'Base MFF calcs'!B82,'PCT data'!$R$3:$R$159)/SUMIF('PCT data'!$F$3:$F$159,'Base MFF calcs'!B82,'PCT data'!$D$3:$D$159),VLOOKUP(B82,'Land data'!$B$2:$J$240,9,FALSE))</f>
        <v>0.2344692755543461</v>
      </c>
      <c r="I82" s="452">
        <f t="shared" si="1"/>
        <v>0.94070298719475498</v>
      </c>
    </row>
    <row r="83" spans="1:9" ht="12.75" customHeight="1" x14ac:dyDescent="0.2">
      <c r="A83" s="451" t="s">
        <v>3034</v>
      </c>
      <c r="B83" s="172" t="s">
        <v>1330</v>
      </c>
      <c r="C83" s="172" t="s">
        <v>1331</v>
      </c>
      <c r="D83" s="171" t="s">
        <v>3050</v>
      </c>
      <c r="E83" s="173">
        <f>IF(SUMIF('Staff data'!B:B,'Base MFF calcs'!B83,'Staff data'!O:O)=0,VLOOKUP(D83,'PCT data'!$B$3:$I$159,7,FALSE),SUMIF('Staff data'!B:B,'Base MFF calcs'!B83,'Staff data'!O:O))</f>
        <v>0.90230691501668769</v>
      </c>
      <c r="F83" s="174">
        <f>VLOOKUP(B83,'M&amp;D data'!$C$13:$G$266,5,FALSE)</f>
        <v>0.99619990923086066</v>
      </c>
      <c r="G83" s="173">
        <f>IF(SUMIF('Buildings data'!B:B,'Base MFF calcs'!B83,'Buildings data'!L:L)=0,VLOOKUP(D83,'PCT data'!$B$3:$K$154,10,FALSE),SUMIF('Buildings data'!B:B,'Base MFF calcs'!B83,'Buildings data'!L:L))</f>
        <v>0.96066644871781992</v>
      </c>
      <c r="H83" s="174">
        <f>IF(ISNA(VLOOKUP(B83,'Land data'!$B$2:$J$240,9,FALSE)),SUMIF('PCT data'!$F$3:$F$159,'Base MFF calcs'!B83,'PCT data'!$R$3:$R$159)/SUMIF('PCT data'!$F$3:$F$159,'Base MFF calcs'!B83,'PCT data'!$D$3:$D$159),VLOOKUP(B83,'Land data'!$B$2:$J$240,9,FALSE))</f>
        <v>0.75474464909637984</v>
      </c>
      <c r="I83" s="452">
        <f t="shared" si="1"/>
        <v>0.94367677505614767</v>
      </c>
    </row>
    <row r="84" spans="1:9" ht="12.75" customHeight="1" x14ac:dyDescent="0.2">
      <c r="A84" s="451" t="s">
        <v>1167</v>
      </c>
      <c r="B84" s="172" t="s">
        <v>1332</v>
      </c>
      <c r="C84" s="172" t="s">
        <v>1333</v>
      </c>
      <c r="D84" s="171" t="s">
        <v>3451</v>
      </c>
      <c r="E84" s="173">
        <f>IF(SUMIF('Staff data'!B:B,'Base MFF calcs'!B84,'Staff data'!O:O)=0,VLOOKUP(D84,'PCT data'!$B$3:$I$159,7,FALSE),SUMIF('Staff data'!B:B,'Base MFF calcs'!B84,'Staff data'!O:O))</f>
        <v>1.1958545004929078</v>
      </c>
      <c r="F84" s="174">
        <f>VLOOKUP(B84,'M&amp;D data'!$C$13:$G$266,5,FALSE)</f>
        <v>1.0185025427599708</v>
      </c>
      <c r="G84" s="173">
        <f>IF(SUMIF('Buildings data'!B:B,'Base MFF calcs'!B84,'Buildings data'!L:L)=0,VLOOKUP(D84,'PCT data'!$B$3:$K$154,10,FALSE),SUMIF('Buildings data'!B:B,'Base MFF calcs'!B84,'Buildings data'!L:L))</f>
        <v>1.2409997122034429</v>
      </c>
      <c r="H84" s="174">
        <f>IF(ISNA(VLOOKUP(B84,'Land data'!$B$2:$J$240,9,FALSE)),SUMIF('PCT data'!$F$3:$F$159,'Base MFF calcs'!B84,'PCT data'!$R$3:$R$159)/SUMIF('PCT data'!$F$3:$F$159,'Base MFF calcs'!B84,'PCT data'!$D$3:$D$159),VLOOKUP(B84,'Land data'!$B$2:$J$240,9,FALSE))</f>
        <v>8.5179586202900062</v>
      </c>
      <c r="I84" s="452">
        <f t="shared" si="1"/>
        <v>1.1502404486253979</v>
      </c>
    </row>
    <row r="85" spans="1:9" ht="12.75" customHeight="1" x14ac:dyDescent="0.2">
      <c r="A85" s="451" t="s">
        <v>1127</v>
      </c>
      <c r="B85" s="172" t="s">
        <v>1334</v>
      </c>
      <c r="C85" s="172" t="s">
        <v>1335</v>
      </c>
      <c r="D85" s="171" t="s">
        <v>1145</v>
      </c>
      <c r="E85" s="173">
        <f>IF(SUMIF('Staff data'!B:B,'Base MFF calcs'!B85,'Staff data'!O:O)=0,VLOOKUP(D85,'PCT data'!$B$3:$I$159,7,FALSE),SUMIF('Staff data'!B:B,'Base MFF calcs'!B85,'Staff data'!O:O))</f>
        <v>0.94233622136962492</v>
      </c>
      <c r="F85" s="174">
        <f>VLOOKUP(B85,'M&amp;D data'!$C$13:$G$266,5,FALSE)</f>
        <v>0.99619990923086066</v>
      </c>
      <c r="G85" s="173">
        <f>IF(SUMIF('Buildings data'!B:B,'Base MFF calcs'!B85,'Buildings data'!L:L)=0,VLOOKUP(D85,'PCT data'!$B$3:$K$154,10,FALSE),SUMIF('Buildings data'!B:B,'Base MFF calcs'!B85,'Buildings data'!L:L))</f>
        <v>0.94535377638704965</v>
      </c>
      <c r="H85" s="174">
        <f>IF(ISNA(VLOOKUP(B85,'Land data'!$B$2:$J$240,9,FALSE)),SUMIF('PCT data'!$F$3:$F$159,'Base MFF calcs'!B85,'PCT data'!$R$3:$R$159)/SUMIF('PCT data'!$F$3:$F$159,'Base MFF calcs'!B85,'PCT data'!$D$3:$D$159),VLOOKUP(B85,'Land data'!$B$2:$J$240,9,FALSE))</f>
        <v>1.351453413936202</v>
      </c>
      <c r="I85" s="452">
        <f t="shared" si="1"/>
        <v>0.96792535888100639</v>
      </c>
    </row>
    <row r="86" spans="1:9" ht="12.75" customHeight="1" x14ac:dyDescent="0.2">
      <c r="A86" s="451" t="s">
        <v>1127</v>
      </c>
      <c r="B86" s="172" t="s">
        <v>1336</v>
      </c>
      <c r="C86" s="172" t="s">
        <v>1337</v>
      </c>
      <c r="D86" s="171" t="s">
        <v>1147</v>
      </c>
      <c r="E86" s="173">
        <f>IF(SUMIF('Staff data'!B:B,'Base MFF calcs'!B86,'Staff data'!O:O)=0,VLOOKUP(D86,'PCT data'!$B$3:$I$159,7,FALSE),SUMIF('Staff data'!B:B,'Base MFF calcs'!B86,'Staff data'!O:O))</f>
        <v>0.90809541834150553</v>
      </c>
      <c r="F86" s="174">
        <f>VLOOKUP(B86,'M&amp;D data'!$C$13:$G$266,5,FALSE)</f>
        <v>0.99619990923086066</v>
      </c>
      <c r="G86" s="173">
        <f>IF(SUMIF('Buildings data'!B:B,'Base MFF calcs'!B86,'Buildings data'!L:L)=0,VLOOKUP(D86,'PCT data'!$B$3:$K$154,10,FALSE),SUMIF('Buildings data'!B:B,'Base MFF calcs'!B86,'Buildings data'!L:L))</f>
        <v>0.91550049923798615</v>
      </c>
      <c r="H86" s="174">
        <f>IF(ISNA(VLOOKUP(B86,'Land data'!$B$2:$J$240,9,FALSE)),SUMIF('PCT data'!$F$3:$F$159,'Base MFF calcs'!B86,'PCT data'!$R$3:$R$159)/SUMIF('PCT data'!$F$3:$F$159,'Base MFF calcs'!B86,'PCT data'!$D$3:$D$159),VLOOKUP(B86,'Land data'!$B$2:$J$240,9,FALSE))</f>
        <v>0.29719626492837359</v>
      </c>
      <c r="I86" s="452">
        <f t="shared" si="1"/>
        <v>0.94360175939103574</v>
      </c>
    </row>
    <row r="87" spans="1:9" ht="12.75" customHeight="1" x14ac:dyDescent="0.2">
      <c r="A87" s="451" t="s">
        <v>3496</v>
      </c>
      <c r="B87" s="172" t="s">
        <v>1338</v>
      </c>
      <c r="C87" s="172" t="s">
        <v>1339</v>
      </c>
      <c r="D87" s="171" t="s">
        <v>3470</v>
      </c>
      <c r="E87" s="173">
        <f>IF(SUMIF('Staff data'!B:B,'Base MFF calcs'!B87,'Staff data'!O:O)=0,VLOOKUP(D87,'PCT data'!$B$3:$I$159,7,FALSE),SUMIF('Staff data'!B:B,'Base MFF calcs'!B87,'Staff data'!O:O))</f>
        <v>1.0308643380580476</v>
      </c>
      <c r="F87" s="174">
        <f>VLOOKUP(B87,'M&amp;D data'!$C$13:$G$266,5,FALSE)</f>
        <v>0.99619990923086066</v>
      </c>
      <c r="G87" s="173">
        <f>IF(SUMIF('Buildings data'!B:B,'Base MFF calcs'!B87,'Buildings data'!L:L)=0,VLOOKUP(D87,'PCT data'!$B$3:$K$154,10,FALSE),SUMIF('Buildings data'!B:B,'Base MFF calcs'!B87,'Buildings data'!L:L))</f>
        <v>1.0654873260608135</v>
      </c>
      <c r="H87" s="174">
        <f>IF(ISNA(VLOOKUP(B87,'Land data'!$B$2:$J$240,9,FALSE)),SUMIF('PCT data'!$F$3:$F$159,'Base MFF calcs'!B87,'PCT data'!$R$3:$R$159)/SUMIF('PCT data'!$F$3:$F$159,'Base MFF calcs'!B87,'PCT data'!$D$3:$D$159),VLOOKUP(B87,'Land data'!$B$2:$J$240,9,FALSE))</f>
        <v>0.63825198931938343</v>
      </c>
      <c r="I87" s="452">
        <f t="shared" si="1"/>
        <v>1.0165436292351788</v>
      </c>
    </row>
    <row r="88" spans="1:9" ht="12.75" customHeight="1" x14ac:dyDescent="0.2">
      <c r="A88" s="451" t="s">
        <v>3069</v>
      </c>
      <c r="B88" s="172" t="s">
        <v>1341</v>
      </c>
      <c r="C88" s="172" t="s">
        <v>352</v>
      </c>
      <c r="D88" s="171" t="s">
        <v>2120</v>
      </c>
      <c r="E88" s="173">
        <f>IF(SUMIF('Staff data'!B:B,'Base MFF calcs'!B88,'Staff data'!O:O)=0,VLOOKUP(D88,'PCT data'!$B$3:$I$159,7,FALSE),SUMIF('Staff data'!B:B,'Base MFF calcs'!B88,'Staff data'!O:O))</f>
        <v>0.96361685522567275</v>
      </c>
      <c r="F88" s="174">
        <f>VLOOKUP(B88,'M&amp;D data'!$C$13:$G$266,5,FALSE)</f>
        <v>0.99619990923086066</v>
      </c>
      <c r="G88" s="173">
        <f>IF(SUMIF('Buildings data'!B:B,'Base MFF calcs'!B88,'Buildings data'!L:L)=0,VLOOKUP(D88,'PCT data'!$B$3:$K$154,10,FALSE),SUMIF('Buildings data'!B:B,'Base MFF calcs'!B88,'Buildings data'!L:L))</f>
        <v>0.96525596115309287</v>
      </c>
      <c r="H88" s="174">
        <f>IF(ISNA(VLOOKUP(B88,'Land data'!$B$2:$J$240,9,FALSE)),SUMIF('PCT data'!$F$3:$F$159,'Base MFF calcs'!B88,'PCT data'!$R$3:$R$159)/SUMIF('PCT data'!$F$3:$F$159,'Base MFF calcs'!B88,'PCT data'!$D$3:$D$159),VLOOKUP(B88,'Land data'!$B$2:$J$240,9,FALSE))</f>
        <v>0.55992367837699519</v>
      </c>
      <c r="I88" s="452">
        <f t="shared" si="1"/>
        <v>0.97659403804181943</v>
      </c>
    </row>
    <row r="89" spans="1:9" ht="12.75" customHeight="1" x14ac:dyDescent="0.2">
      <c r="A89" s="451" t="s">
        <v>1167</v>
      </c>
      <c r="B89" s="172" t="s">
        <v>353</v>
      </c>
      <c r="C89" s="172" t="s">
        <v>354</v>
      </c>
      <c r="D89" s="171" t="s">
        <v>3453</v>
      </c>
      <c r="E89" s="173">
        <f>IF(SUMIF('Staff data'!B:B,'Base MFF calcs'!B89,'Staff data'!O:O)=0,VLOOKUP(D89,'PCT data'!$B$3:$I$159,7,FALSE),SUMIF('Staff data'!B:B,'Base MFF calcs'!B89,'Staff data'!O:O))</f>
        <v>1.1933264385606563</v>
      </c>
      <c r="F89" s="174">
        <f>VLOOKUP(B89,'M&amp;D data'!$C$13:$G$266,5,FALSE)</f>
        <v>1.0185025427599708</v>
      </c>
      <c r="G89" s="173">
        <f>IF(SUMIF('Buildings data'!B:B,'Base MFF calcs'!B89,'Buildings data'!L:L)=0,VLOOKUP(D89,'PCT data'!$B$3:$K$154,10,FALSE),SUMIF('Buildings data'!B:B,'Base MFF calcs'!B89,'Buildings data'!L:L))</f>
        <v>1.2140332707286337</v>
      </c>
      <c r="H89" s="174">
        <f>IF(ISNA(VLOOKUP(B89,'Land data'!$B$2:$J$240,9,FALSE)),SUMIF('PCT data'!$F$3:$F$159,'Base MFF calcs'!B89,'PCT data'!$R$3:$R$159)/SUMIF('PCT data'!$F$3:$F$159,'Base MFF calcs'!B89,'PCT data'!$D$3:$D$159),VLOOKUP(B89,'Land data'!$B$2:$J$240,9,FALSE))</f>
        <v>6.1557158138321606</v>
      </c>
      <c r="I89" s="452">
        <f t="shared" si="1"/>
        <v>1.137546323100799</v>
      </c>
    </row>
    <row r="90" spans="1:9" ht="12.75" customHeight="1" x14ac:dyDescent="0.2">
      <c r="A90" s="451" t="s">
        <v>1167</v>
      </c>
      <c r="B90" s="172" t="s">
        <v>355</v>
      </c>
      <c r="C90" s="172" t="s">
        <v>356</v>
      </c>
      <c r="D90" s="171" t="s">
        <v>3455</v>
      </c>
      <c r="E90" s="173">
        <f>IF(SUMIF('Staff data'!B:B,'Base MFF calcs'!B90,'Staff data'!O:O)=0,VLOOKUP(D90,'PCT data'!$B$3:$I$159,7,FALSE),SUMIF('Staff data'!B:B,'Base MFF calcs'!B90,'Staff data'!O:O))</f>
        <v>1.1780481480197436</v>
      </c>
      <c r="F90" s="174">
        <f>VLOOKUP(B90,'M&amp;D data'!$C$13:$G$266,5,FALSE)</f>
        <v>1.0185025427599708</v>
      </c>
      <c r="G90" s="173">
        <f>IF(SUMIF('Buildings data'!B:B,'Base MFF calcs'!B90,'Buildings data'!L:L)=0,VLOOKUP(D90,'PCT data'!$B$3:$K$154,10,FALSE),SUMIF('Buildings data'!B:B,'Base MFF calcs'!B90,'Buildings data'!L:L))</f>
        <v>1.1742289011965372</v>
      </c>
      <c r="H90" s="174">
        <f>IF(ISNA(VLOOKUP(B90,'Land data'!$B$2:$J$240,9,FALSE)),SUMIF('PCT data'!$F$3:$F$159,'Base MFF calcs'!B90,'PCT data'!$R$3:$R$159)/SUMIF('PCT data'!$F$3:$F$159,'Base MFF calcs'!B90,'PCT data'!$D$3:$D$159),VLOOKUP(B90,'Land data'!$B$2:$J$240,9,FALSE))</f>
        <v>4.0264519253995514</v>
      </c>
      <c r="I90" s="452">
        <f t="shared" si="1"/>
        <v>1.1185527052987592</v>
      </c>
    </row>
    <row r="91" spans="1:9" ht="12.75" customHeight="1" x14ac:dyDescent="0.2">
      <c r="A91" s="451" t="s">
        <v>2975</v>
      </c>
      <c r="B91" s="172" t="s">
        <v>357</v>
      </c>
      <c r="C91" s="172" t="s">
        <v>358</v>
      </c>
      <c r="D91" s="171" t="s">
        <v>3002</v>
      </c>
      <c r="E91" s="173">
        <f>IF(SUMIF('Staff data'!B:B,'Base MFF calcs'!B91,'Staff data'!O:O)=0,VLOOKUP(D91,'PCT data'!$B$3:$I$159,7,FALSE),SUMIF('Staff data'!B:B,'Base MFF calcs'!B91,'Staff data'!O:O))</f>
        <v>0.9293652805440421</v>
      </c>
      <c r="F91" s="174">
        <f>VLOOKUP(B91,'M&amp;D data'!$C$13:$G$266,5,FALSE)</f>
        <v>0.99619990923086066</v>
      </c>
      <c r="G91" s="173">
        <f>IF(SUMIF('Buildings data'!B:B,'Base MFF calcs'!B91,'Buildings data'!L:L)=0,VLOOKUP(D91,'PCT data'!$B$3:$K$154,10,FALSE),SUMIF('Buildings data'!B:B,'Base MFF calcs'!B91,'Buildings data'!L:L))</f>
        <v>0.91815746596997649</v>
      </c>
      <c r="H91" s="174">
        <f>IF(ISNA(VLOOKUP(B91,'Land data'!$B$2:$J$240,9,FALSE)),SUMIF('PCT data'!$F$3:$F$159,'Base MFF calcs'!B91,'PCT data'!$R$3:$R$159)/SUMIF('PCT data'!$F$3:$F$159,'Base MFF calcs'!B91,'PCT data'!$D$3:$D$159),VLOOKUP(B91,'Land data'!$B$2:$J$240,9,FALSE))</f>
        <v>0.30009538244709361</v>
      </c>
      <c r="I91" s="452">
        <f t="shared" si="1"/>
        <v>0.95536581701592249</v>
      </c>
    </row>
    <row r="92" spans="1:9" ht="12.75" customHeight="1" x14ac:dyDescent="0.2">
      <c r="A92" s="451" t="s">
        <v>2975</v>
      </c>
      <c r="B92" s="172" t="s">
        <v>359</v>
      </c>
      <c r="C92" s="172" t="s">
        <v>360</v>
      </c>
      <c r="D92" s="171" t="s">
        <v>3002</v>
      </c>
      <c r="E92" s="173">
        <f>IF(SUMIF('Staff data'!B:B,'Base MFF calcs'!B92,'Staff data'!O:O)=0,VLOOKUP(D92,'PCT data'!$B$3:$I$159,7,FALSE),SUMIF('Staff data'!B:B,'Base MFF calcs'!B92,'Staff data'!O:O))</f>
        <v>0.93197348381829137</v>
      </c>
      <c r="F92" s="174">
        <f>VLOOKUP(B92,'M&amp;D data'!$C$13:$G$266,5,FALSE)</f>
        <v>0.99619990923086066</v>
      </c>
      <c r="G92" s="173">
        <f>IF(SUMIF('Buildings data'!B:B,'Base MFF calcs'!B92,'Buildings data'!L:L)=0,VLOOKUP(D92,'PCT data'!$B$3:$K$154,10,FALSE),SUMIF('Buildings data'!B:B,'Base MFF calcs'!B92,'Buildings data'!L:L))</f>
        <v>0.91550049923798604</v>
      </c>
      <c r="H92" s="174">
        <f>IF(ISNA(VLOOKUP(B92,'Land data'!$B$2:$J$240,9,FALSE)),SUMIF('PCT data'!$F$3:$F$159,'Base MFF calcs'!B92,'PCT data'!$R$3:$R$159)/SUMIF('PCT data'!$F$3:$F$159,'Base MFF calcs'!B92,'PCT data'!$D$3:$D$159),VLOOKUP(B92,'Land data'!$B$2:$J$240,9,FALSE))</f>
        <v>0.83532623090386482</v>
      </c>
      <c r="I92" s="452">
        <f t="shared" si="1"/>
        <v>0.95912624120847001</v>
      </c>
    </row>
    <row r="93" spans="1:9" ht="12.75" customHeight="1" x14ac:dyDescent="0.2">
      <c r="A93" s="451" t="s">
        <v>3034</v>
      </c>
      <c r="B93" s="172" t="s">
        <v>361</v>
      </c>
      <c r="C93" s="482" t="s">
        <v>1295</v>
      </c>
      <c r="D93" s="171" t="s">
        <v>3052</v>
      </c>
      <c r="E93" s="173">
        <f>IF(SUMIF('Staff data'!B:B,'Base MFF calcs'!B93,'Staff data'!O:O)=0,VLOOKUP(D93,'PCT data'!$B$3:$I$159,7,FALSE),SUMIF('Staff data'!B:B,'Base MFF calcs'!B93,'Staff data'!O:O))</f>
        <v>0.94262960307722388</v>
      </c>
      <c r="F93" s="174">
        <f>VLOOKUP(B93,'M&amp;D data'!$C$13:$G$266,5,FALSE)</f>
        <v>0.99619990923086066</v>
      </c>
      <c r="G93" s="173">
        <f>IF(SUMIF('Buildings data'!B:B,'Base MFF calcs'!B93,'Buildings data'!L:L)=0,VLOOKUP(D93,'PCT data'!$B$3:$K$154,10,FALSE),SUMIF('Buildings data'!B:B,'Base MFF calcs'!B93,'Buildings data'!L:L))</f>
        <v>0.97520705353611448</v>
      </c>
      <c r="H93" s="174">
        <f>IF(ISNA(VLOOKUP(B93,'Land data'!$B$2:$J$240,9,FALSE)),SUMIF('PCT data'!$F$3:$F$159,'Base MFF calcs'!B93,'PCT data'!$R$3:$R$159)/SUMIF('PCT data'!$F$3:$F$159,'Base MFF calcs'!B93,'PCT data'!$D$3:$D$159),VLOOKUP(B93,'Land data'!$B$2:$J$240,9,FALSE))</f>
        <v>0.1484631907076166</v>
      </c>
      <c r="I93" s="452">
        <f t="shared" si="1"/>
        <v>0.96348982633312708</v>
      </c>
    </row>
    <row r="94" spans="1:9" ht="12.75" customHeight="1" x14ac:dyDescent="0.2">
      <c r="A94" s="451" t="s">
        <v>3034</v>
      </c>
      <c r="B94" s="172" t="s">
        <v>363</v>
      </c>
      <c r="C94" s="172" t="s">
        <v>364</v>
      </c>
      <c r="D94" s="171" t="s">
        <v>3052</v>
      </c>
      <c r="E94" s="173">
        <f>IF(SUMIF('Staff data'!B:B,'Base MFF calcs'!B94,'Staff data'!O:O)=0,VLOOKUP(D94,'PCT data'!$B$3:$I$159,7,FALSE),SUMIF('Staff data'!B:B,'Base MFF calcs'!B94,'Staff data'!O:O))</f>
        <v>0.94367030301299515</v>
      </c>
      <c r="F94" s="174">
        <f>VLOOKUP(B94,'M&amp;D data'!$C$13:$G$266,5,FALSE)</f>
        <v>0.99619990923086066</v>
      </c>
      <c r="G94" s="173">
        <f>IF(SUMIF('Buildings data'!B:B,'Base MFF calcs'!B94,'Buildings data'!L:L)=0,VLOOKUP(D94,'PCT data'!$B$3:$K$154,10,FALSE),SUMIF('Buildings data'!B:B,'Base MFF calcs'!B94,'Buildings data'!L:L))</f>
        <v>0.97520705353611437</v>
      </c>
      <c r="H94" s="174">
        <f>IF(ISNA(VLOOKUP(B94,'Land data'!$B$2:$J$240,9,FALSE)),SUMIF('PCT data'!$F$3:$F$159,'Base MFF calcs'!B94,'PCT data'!$R$3:$R$159)/SUMIF('PCT data'!$F$3:$F$159,'Base MFF calcs'!B94,'PCT data'!$D$3:$D$159),VLOOKUP(B94,'Land data'!$B$2:$J$240,9,FALSE))</f>
        <v>1.2561518453188283</v>
      </c>
      <c r="I94" s="452">
        <f t="shared" si="1"/>
        <v>0.96902598698067988</v>
      </c>
    </row>
    <row r="95" spans="1:9" ht="12.75" customHeight="1" x14ac:dyDescent="0.2">
      <c r="A95" s="451" t="s">
        <v>3069</v>
      </c>
      <c r="B95" s="172" t="s">
        <v>365</v>
      </c>
      <c r="C95" s="172" t="s">
        <v>366</v>
      </c>
      <c r="D95" s="171" t="s">
        <v>2122</v>
      </c>
      <c r="E95" s="173">
        <f>IF(SUMIF('Staff data'!B:B,'Base MFF calcs'!B95,'Staff data'!O:O)=0,VLOOKUP(D95,'PCT data'!$B$3:$I$159,7,FALSE),SUMIF('Staff data'!B:B,'Base MFF calcs'!B95,'Staff data'!O:O))</f>
        <v>0.94586932300343107</v>
      </c>
      <c r="F95" s="174">
        <f>VLOOKUP(B95,'M&amp;D data'!$C$13:$G$266,5,FALSE)</f>
        <v>0.99619990923086066</v>
      </c>
      <c r="G95" s="173">
        <f>IF(SUMIF('Buildings data'!B:B,'Base MFF calcs'!B95,'Buildings data'!L:L)=0,VLOOKUP(D95,'PCT data'!$B$3:$K$154,10,FALSE),SUMIF('Buildings data'!B:B,'Base MFF calcs'!B95,'Buildings data'!L:L))</f>
        <v>0.91550049923798593</v>
      </c>
      <c r="H95" s="174">
        <f>IF(ISNA(VLOOKUP(B95,'Land data'!$B$2:$J$240,9,FALSE)),SUMIF('PCT data'!$F$3:$F$159,'Base MFF calcs'!B95,'PCT data'!$R$3:$R$159)/SUMIF('PCT data'!$F$3:$F$159,'Base MFF calcs'!B95,'PCT data'!$D$3:$D$159),VLOOKUP(B95,'Land data'!$B$2:$J$240,9,FALSE))</f>
        <v>0.75283387746379282</v>
      </c>
      <c r="I95" s="452">
        <f t="shared" si="1"/>
        <v>0.96638737698108446</v>
      </c>
    </row>
    <row r="96" spans="1:9" ht="12.75" customHeight="1" x14ac:dyDescent="0.2">
      <c r="A96" s="451" t="s">
        <v>3069</v>
      </c>
      <c r="B96" s="172" t="s">
        <v>369</v>
      </c>
      <c r="C96" s="172" t="s">
        <v>370</v>
      </c>
      <c r="D96" s="171" t="s">
        <v>2124</v>
      </c>
      <c r="E96" s="173">
        <f>IF(SUMIF('Staff data'!B:B,'Base MFF calcs'!B96,'Staff data'!O:O)=0,VLOOKUP(D96,'PCT data'!$B$3:$I$159,7,FALSE),SUMIF('Staff data'!B:B,'Base MFF calcs'!B96,'Staff data'!O:O))</f>
        <v>0.90135709809146258</v>
      </c>
      <c r="F96" s="174">
        <f>VLOOKUP(B96,'M&amp;D data'!$C$13:$G$266,5,FALSE)</f>
        <v>0.99619990923086066</v>
      </c>
      <c r="G96" s="173">
        <f>IF(SUMIF('Buildings data'!B:B,'Base MFF calcs'!B96,'Buildings data'!L:L)=0,VLOOKUP(D96,'PCT data'!$B$3:$K$154,10,FALSE),SUMIF('Buildings data'!B:B,'Base MFF calcs'!B96,'Buildings data'!L:L))</f>
        <v>0.90554940685496443</v>
      </c>
      <c r="H96" s="174">
        <f>IF(ISNA(VLOOKUP(B96,'Land data'!$B$2:$J$240,9,FALSE)),SUMIF('PCT data'!$F$3:$F$159,'Base MFF calcs'!B96,'PCT data'!$R$3:$R$159)/SUMIF('PCT data'!$F$3:$F$159,'Base MFF calcs'!B96,'PCT data'!$D$3:$D$159),VLOOKUP(B96,'Land data'!$B$2:$J$240,9,FALSE))</f>
        <v>0.63481512297146314</v>
      </c>
      <c r="I96" s="452">
        <f t="shared" si="1"/>
        <v>0.94114958136868987</v>
      </c>
    </row>
    <row r="97" spans="1:9" ht="12.75" customHeight="1" x14ac:dyDescent="0.2">
      <c r="A97" s="451" t="s">
        <v>2975</v>
      </c>
      <c r="B97" s="172" t="s">
        <v>373</v>
      </c>
      <c r="C97" s="172" t="s">
        <v>374</v>
      </c>
      <c r="D97" s="171" t="s">
        <v>2979</v>
      </c>
      <c r="E97" s="173">
        <f>IF(SUMIF('Staff data'!B:B,'Base MFF calcs'!B97,'Staff data'!O:O)=0,VLOOKUP(D97,'PCT data'!$B$3:$I$159,7,FALSE),SUMIF('Staff data'!B:B,'Base MFF calcs'!B97,'Staff data'!O:O))</f>
        <v>0.94366070760853404</v>
      </c>
      <c r="F97" s="174">
        <f>VLOOKUP(B97,'M&amp;D data'!$C$13:$G$266,5,FALSE)</f>
        <v>0.99619990923086066</v>
      </c>
      <c r="G97" s="173">
        <f>IF(SUMIF('Buildings data'!B:B,'Base MFF calcs'!B97,'Buildings data'!L:L)=0,VLOOKUP(D97,'PCT data'!$B$3:$K$154,10,FALSE),SUMIF('Buildings data'!B:B,'Base MFF calcs'!B97,'Buildings data'!L:L))</f>
        <v>0.91550049923798604</v>
      </c>
      <c r="H97" s="174">
        <f>IF(ISNA(VLOOKUP(B97,'Land data'!$B$2:$J$240,9,FALSE)),SUMIF('PCT data'!$F$3:$F$159,'Base MFF calcs'!B97,'PCT data'!$R$3:$R$159)/SUMIF('PCT data'!$F$3:$F$159,'Base MFF calcs'!B97,'PCT data'!$D$3:$D$159),VLOOKUP(B97,'Land data'!$B$2:$J$240,9,FALSE))</f>
        <v>0.71762325741743649</v>
      </c>
      <c r="I97" s="452">
        <f t="shared" si="1"/>
        <v>0.96501670707907627</v>
      </c>
    </row>
    <row r="98" spans="1:9" ht="12.75" customHeight="1" x14ac:dyDescent="0.2">
      <c r="A98" s="451" t="s">
        <v>2975</v>
      </c>
      <c r="B98" s="172" t="s">
        <v>375</v>
      </c>
      <c r="C98" s="172" t="s">
        <v>376</v>
      </c>
      <c r="D98" s="171" t="s">
        <v>2979</v>
      </c>
      <c r="E98" s="173">
        <f>IF(SUMIF('Staff data'!B:B,'Base MFF calcs'!B98,'Staff data'!O:O)=0,VLOOKUP(D98,'PCT data'!$B$3:$I$159,7,FALSE),SUMIF('Staff data'!B:B,'Base MFF calcs'!B98,'Staff data'!O:O))</f>
        <v>0.94132101896869058</v>
      </c>
      <c r="F98" s="174">
        <f>VLOOKUP(B98,'M&amp;D data'!$C$13:$G$266,5,FALSE)</f>
        <v>0.99619990923086066</v>
      </c>
      <c r="G98" s="173">
        <f>IF(SUMIF('Buildings data'!B:B,'Base MFF calcs'!B98,'Buildings data'!L:L)=0,VLOOKUP(D98,'PCT data'!$B$3:$K$154,10,FALSE),SUMIF('Buildings data'!B:B,'Base MFF calcs'!B98,'Buildings data'!L:L))</f>
        <v>0.91550049923798604</v>
      </c>
      <c r="H98" s="174">
        <f>IF(ISNA(VLOOKUP(B98,'Land data'!$B$2:$J$240,9,FALSE)),SUMIF('PCT data'!$F$3:$F$159,'Base MFF calcs'!B98,'PCT data'!$R$3:$R$159)/SUMIF('PCT data'!$F$3:$F$159,'Base MFF calcs'!B98,'PCT data'!$D$3:$D$159),VLOOKUP(B98,'Land data'!$B$2:$J$240,9,FALSE))</f>
        <v>0.7315679626353575</v>
      </c>
      <c r="I98" s="452">
        <f t="shared" si="1"/>
        <v>0.96379437288669156</v>
      </c>
    </row>
    <row r="99" spans="1:9" ht="12.75" customHeight="1" x14ac:dyDescent="0.2">
      <c r="A99" s="451" t="s">
        <v>1127</v>
      </c>
      <c r="B99" s="172" t="s">
        <v>379</v>
      </c>
      <c r="C99" s="172" t="s">
        <v>380</v>
      </c>
      <c r="D99" s="171" t="s">
        <v>1149</v>
      </c>
      <c r="E99" s="173">
        <f>IF(SUMIF('Staff data'!B:B,'Base MFF calcs'!B99,'Staff data'!O:O)=0,VLOOKUP(D99,'PCT data'!$B$3:$I$159,7,FALSE),SUMIF('Staff data'!B:B,'Base MFF calcs'!B99,'Staff data'!O:O))</f>
        <v>1.0653585101108582</v>
      </c>
      <c r="F99" s="174">
        <f>VLOOKUP(B99,'M&amp;D data'!$C$13:$G$266,5,FALSE)</f>
        <v>0.99619990923086066</v>
      </c>
      <c r="G99" s="173">
        <f>IF(SUMIF('Buildings data'!B:B,'Base MFF calcs'!B99,'Buildings data'!L:L)=0,VLOOKUP(D99,'PCT data'!$B$3:$K$154,10,FALSE),SUMIF('Buildings data'!B:B,'Base MFF calcs'!B99,'Buildings data'!L:L))</f>
        <v>1.0548157926002883</v>
      </c>
      <c r="H99" s="174">
        <f>IF(ISNA(VLOOKUP(B99,'Land data'!$B$2:$J$240,9,FALSE)),SUMIF('PCT data'!$F$3:$F$159,'Base MFF calcs'!B99,'PCT data'!$R$3:$R$159)/SUMIF('PCT data'!$F$3:$F$159,'Base MFF calcs'!B99,'PCT data'!$D$3:$D$159),VLOOKUP(B99,'Land data'!$B$2:$J$240,9,FALSE))</f>
        <v>1.2021391700912154</v>
      </c>
      <c r="I99" s="452">
        <f t="shared" si="1"/>
        <v>1.0377291208339885</v>
      </c>
    </row>
    <row r="100" spans="1:9" ht="12.75" customHeight="1" x14ac:dyDescent="0.2">
      <c r="A100" s="451" t="s">
        <v>3496</v>
      </c>
      <c r="B100" s="172" t="s">
        <v>381</v>
      </c>
      <c r="C100" s="172" t="s">
        <v>382</v>
      </c>
      <c r="D100" s="171" t="s">
        <v>3470</v>
      </c>
      <c r="E100" s="173">
        <f>IF(SUMIF('Staff data'!B:B,'Base MFF calcs'!B100,'Staff data'!O:O)=0,VLOOKUP(D100,'PCT data'!$B$3:$I$159,7,FALSE),SUMIF('Staff data'!B:B,'Base MFF calcs'!B100,'Staff data'!O:O))</f>
        <v>1.0498670583269294</v>
      </c>
      <c r="F100" s="174">
        <f>VLOOKUP(B100,'M&amp;D data'!$C$13:$G$266,5,FALSE)</f>
        <v>0.99619990923086066</v>
      </c>
      <c r="G100" s="173">
        <f>IF(SUMIF('Buildings data'!B:B,'Base MFF calcs'!B100,'Buildings data'!L:L)=0,VLOOKUP(D100,'PCT data'!$B$3:$K$154,10,FALSE),SUMIF('Buildings data'!B:B,'Base MFF calcs'!B100,'Buildings data'!L:L))</f>
        <v>1.0747179773663313</v>
      </c>
      <c r="H100" s="174">
        <f>IF(ISNA(VLOOKUP(B100,'Land data'!$B$2:$J$240,9,FALSE)),SUMIF('PCT data'!$F$3:$F$159,'Base MFF calcs'!B100,'PCT data'!$R$3:$R$159)/SUMIF('PCT data'!$F$3:$F$159,'Base MFF calcs'!B100,'PCT data'!$D$3:$D$159),VLOOKUP(B100,'Land data'!$B$2:$J$240,9,FALSE))</f>
        <v>0.75863936806113386</v>
      </c>
      <c r="I100" s="452">
        <f t="shared" si="1"/>
        <v>1.0277643684711859</v>
      </c>
    </row>
    <row r="101" spans="1:9" ht="12.75" customHeight="1" x14ac:dyDescent="0.2">
      <c r="A101" s="451" t="s">
        <v>2975</v>
      </c>
      <c r="B101" s="172" t="s">
        <v>383</v>
      </c>
      <c r="C101" s="172" t="s">
        <v>384</v>
      </c>
      <c r="D101" s="171" t="s">
        <v>2986</v>
      </c>
      <c r="E101" s="173">
        <f>IF(SUMIF('Staff data'!B:B,'Base MFF calcs'!B101,'Staff data'!O:O)=0,VLOOKUP(D101,'PCT data'!$B$3:$I$159,7,FALSE),SUMIF('Staff data'!B:B,'Base MFF calcs'!B101,'Staff data'!O:O))</f>
        <v>0.96629549010190985</v>
      </c>
      <c r="F101" s="174">
        <f>VLOOKUP(B101,'M&amp;D data'!$C$13:$G$266,5,FALSE)</f>
        <v>0.99619990923086066</v>
      </c>
      <c r="G101" s="173">
        <f>IF(SUMIF('Buildings data'!B:B,'Base MFF calcs'!B101,'Buildings data'!L:L)=0,VLOOKUP(D101,'PCT data'!$B$3:$K$154,10,FALSE),SUMIF('Buildings data'!B:B,'Base MFF calcs'!B101,'Buildings data'!L:L))</f>
        <v>0.94535377638704965</v>
      </c>
      <c r="H101" s="174">
        <f ca="1">IF(ISNA(VLOOKUP(B101,'Land data'!$B$2:$J$240,9,FALSE)),SUMIF('PCT data'!$F$3:$F$159,'Base MFF calcs'!B101,'PCT data'!$R$3:$R$159)/SUMIF('PCT data'!$F$3:$F$159,'Base MFF calcs'!B101,'PCT data'!$D$3:$D$159),VLOOKUP(B101,'Land data'!$B$2:$J$240,9,FALSE))</f>
        <v>0.82004585689832254</v>
      </c>
      <c r="I101" s="452">
        <f t="shared" ca="1" si="1"/>
        <v>0.97870076393868111</v>
      </c>
    </row>
    <row r="102" spans="1:9" ht="12.75" customHeight="1" x14ac:dyDescent="0.2">
      <c r="A102" s="451" t="s">
        <v>1167</v>
      </c>
      <c r="B102" s="172" t="s">
        <v>385</v>
      </c>
      <c r="C102" s="482" t="s">
        <v>1299</v>
      </c>
      <c r="D102" s="171" t="s">
        <v>3458</v>
      </c>
      <c r="E102" s="173">
        <f>IF(SUMIF('Staff data'!B:B,'Base MFF calcs'!B102,'Staff data'!O:O)=0,VLOOKUP(D102,'PCT data'!$B$3:$I$159,7,FALSE),SUMIF('Staff data'!B:B,'Base MFF calcs'!B102,'Staff data'!O:O))</f>
        <v>1.178344722589546</v>
      </c>
      <c r="F102" s="174">
        <f>VLOOKUP(B102,'M&amp;D data'!$C$13:$G$266,5,FALSE)</f>
        <v>1.0185025427599708</v>
      </c>
      <c r="G102" s="173">
        <f>IF(SUMIF('Buildings data'!B:B,'Base MFF calcs'!B102,'Buildings data'!L:L)=0,VLOOKUP(D102,'PCT data'!$B$3:$K$154,10,FALSE),SUMIF('Buildings data'!B:B,'Base MFF calcs'!B102,'Buildings data'!L:L))</f>
        <v>1.154326716430494</v>
      </c>
      <c r="H102" s="174">
        <f>IF(ISNA(VLOOKUP(B102,'Land data'!$B$2:$J$240,9,FALSE)),SUMIF('PCT data'!$F$3:$F$159,'Base MFF calcs'!B102,'PCT data'!$R$3:$R$159)/SUMIF('PCT data'!$F$3:$F$159,'Base MFF calcs'!B102,'PCT data'!$D$3:$D$159),VLOOKUP(B102,'Land data'!$B$2:$J$240,9,FALSE))</f>
        <v>3.4791394176512282</v>
      </c>
      <c r="I102" s="452">
        <f t="shared" si="1"/>
        <v>1.1157324046175203</v>
      </c>
    </row>
    <row r="103" spans="1:9" ht="12.75" customHeight="1" x14ac:dyDescent="0.2">
      <c r="A103" s="451" t="s">
        <v>3496</v>
      </c>
      <c r="B103" s="172" t="s">
        <v>387</v>
      </c>
      <c r="C103" s="172" t="s">
        <v>388</v>
      </c>
      <c r="D103" s="171" t="s">
        <v>3510</v>
      </c>
      <c r="E103" s="173">
        <f>IF(SUMIF('Staff data'!B:B,'Base MFF calcs'!B103,'Staff data'!O:O)=0,VLOOKUP(D103,'PCT data'!$B$3:$I$159,7,FALSE),SUMIF('Staff data'!B:B,'Base MFF calcs'!B103,'Staff data'!O:O))</f>
        <v>1.032774677266753</v>
      </c>
      <c r="F103" s="174">
        <f>VLOOKUP(B103,'M&amp;D data'!$C$13:$G$266,5,FALSE)</f>
        <v>0.99619990923086066</v>
      </c>
      <c r="G103" s="173">
        <f>IF(SUMIF('Buildings data'!B:B,'Base MFF calcs'!B103,'Buildings data'!L:L)=0,VLOOKUP(D103,'PCT data'!$B$3:$K$154,10,FALSE),SUMIF('Buildings data'!B:B,'Base MFF calcs'!B103,'Buildings data'!L:L))</f>
        <v>1.0647668849833101</v>
      </c>
      <c r="H103" s="174">
        <f>IF(ISNA(VLOOKUP(B103,'Land data'!$B$2:$J$240,9,FALSE)),SUMIF('PCT data'!$F$3:$F$159,'Base MFF calcs'!B103,'PCT data'!$R$3:$R$159)/SUMIF('PCT data'!$F$3:$F$159,'Base MFF calcs'!B103,'PCT data'!$D$3:$D$159),VLOOKUP(B103,'Land data'!$B$2:$J$240,9,FALSE))</f>
        <v>1.2769166082990961</v>
      </c>
      <c r="I103" s="452">
        <f t="shared" si="1"/>
        <v>1.0204359940909216</v>
      </c>
    </row>
    <row r="104" spans="1:9" ht="12.75" customHeight="1" x14ac:dyDescent="0.2">
      <c r="A104" s="451" t="s">
        <v>2975</v>
      </c>
      <c r="B104" s="172" t="s">
        <v>389</v>
      </c>
      <c r="C104" s="172" t="s">
        <v>390</v>
      </c>
      <c r="D104" s="171" t="s">
        <v>2979</v>
      </c>
      <c r="E104" s="173">
        <f>IF(SUMIF('Staff data'!B:B,'Base MFF calcs'!B104,'Staff data'!O:O)=0,VLOOKUP(D104,'PCT data'!$B$3:$I$159,7,FALSE),SUMIF('Staff data'!B:B,'Base MFF calcs'!B104,'Staff data'!O:O))</f>
        <v>0.94237027784940197</v>
      </c>
      <c r="F104" s="174">
        <f>VLOOKUP(B104,'M&amp;D data'!$C$13:$G$266,5,FALSE)</f>
        <v>0.99619990923086066</v>
      </c>
      <c r="G104" s="173">
        <f>IF(SUMIF('Buildings data'!B:B,'Base MFF calcs'!B104,'Buildings data'!L:L)=0,VLOOKUP(D104,'PCT data'!$B$3:$K$154,10,FALSE),SUMIF('Buildings data'!B:B,'Base MFF calcs'!B104,'Buildings data'!L:L))</f>
        <v>0.91705275877405601</v>
      </c>
      <c r="H104" s="174">
        <f>IF(ISNA(VLOOKUP(B104,'Land data'!$B$2:$J$240,9,FALSE)),SUMIF('PCT data'!$F$3:$F$159,'Base MFF calcs'!B104,'PCT data'!$R$3:$R$159)/SUMIF('PCT data'!$F$3:$F$159,'Base MFF calcs'!B104,'PCT data'!$D$3:$D$159),VLOOKUP(B104,'Land data'!$B$2:$J$240,9,FALSE))</f>
        <v>0.20914237967024354</v>
      </c>
      <c r="I104" s="452">
        <f t="shared" si="1"/>
        <v>0.9620704038433443</v>
      </c>
    </row>
    <row r="105" spans="1:9" ht="12.75" customHeight="1" x14ac:dyDescent="0.2">
      <c r="A105" s="451" t="s">
        <v>2975</v>
      </c>
      <c r="B105" s="172" t="s">
        <v>391</v>
      </c>
      <c r="C105" s="172" t="s">
        <v>392</v>
      </c>
      <c r="D105" s="171" t="s">
        <v>2996</v>
      </c>
      <c r="E105" s="173">
        <f>IF(SUMIF('Staff data'!B:B,'Base MFF calcs'!B105,'Staff data'!O:O)=0,VLOOKUP(D105,'PCT data'!$B$3:$I$159,7,FALSE),SUMIF('Staff data'!B:B,'Base MFF calcs'!B105,'Staff data'!O:O))</f>
        <v>0.94968913827663126</v>
      </c>
      <c r="F105" s="174">
        <f>VLOOKUP(B105,'M&amp;D data'!$C$13:$G$266,5,FALSE)</f>
        <v>0.99619990923086066</v>
      </c>
      <c r="G105" s="173">
        <f>IF(SUMIF('Buildings data'!B:B,'Base MFF calcs'!B105,'Buildings data'!L:L)=0,VLOOKUP(D105,'PCT data'!$B$3:$K$154,10,FALSE),SUMIF('Buildings data'!B:B,'Base MFF calcs'!B105,'Buildings data'!L:L))</f>
        <v>0.90554940685496432</v>
      </c>
      <c r="H105" s="174">
        <f>IF(ISNA(VLOOKUP(B105,'Land data'!$B$2:$J$240,9,FALSE)),SUMIF('PCT data'!$F$3:$F$159,'Base MFF calcs'!B105,'PCT data'!$R$3:$R$159)/SUMIF('PCT data'!$F$3:$F$159,'Base MFF calcs'!B105,'PCT data'!$D$3:$D$159),VLOOKUP(B105,'Land data'!$B$2:$J$240,9,FALSE))</f>
        <v>0.4356207542879349</v>
      </c>
      <c r="I105" s="452">
        <f t="shared" si="1"/>
        <v>0.96679821542871136</v>
      </c>
    </row>
    <row r="106" spans="1:9" ht="12.75" customHeight="1" x14ac:dyDescent="0.2">
      <c r="A106" s="451" t="s">
        <v>1127</v>
      </c>
      <c r="B106" s="172" t="s">
        <v>393</v>
      </c>
      <c r="C106" s="172" t="s">
        <v>394</v>
      </c>
      <c r="D106" s="171" t="s">
        <v>1151</v>
      </c>
      <c r="E106" s="173">
        <f>IF(SUMIF('Staff data'!B:B,'Base MFF calcs'!B106,'Staff data'!O:O)=0,VLOOKUP(D106,'PCT data'!$B$3:$I$159,7,FALSE),SUMIF('Staff data'!B:B,'Base MFF calcs'!B106,'Staff data'!O:O))</f>
        <v>1.0285690263013312</v>
      </c>
      <c r="F106" s="174">
        <f>VLOOKUP(B106,'M&amp;D data'!$C$13:$G$266,5,FALSE)</f>
        <v>0.99619990923086066</v>
      </c>
      <c r="G106" s="173">
        <f>IF(SUMIF('Buildings data'!B:B,'Base MFF calcs'!B106,'Buildings data'!L:L)=0,VLOOKUP(D106,'PCT data'!$B$3:$K$154,10,FALSE),SUMIF('Buildings data'!B:B,'Base MFF calcs'!B106,'Buildings data'!L:L))</f>
        <v>1.0249625154512234</v>
      </c>
      <c r="H106" s="174">
        <f>IF(ISNA(VLOOKUP(B106,'Land data'!$B$2:$J$240,9,FALSE)),SUMIF('PCT data'!$F$3:$F$159,'Base MFF calcs'!B106,'PCT data'!$R$3:$R$159)/SUMIF('PCT data'!$F$3:$F$159,'Base MFF calcs'!B106,'PCT data'!$D$3:$D$159),VLOOKUP(B106,'Land data'!$B$2:$J$240,9,FALSE))</f>
        <v>1.538261688515322</v>
      </c>
      <c r="I106" s="452">
        <f t="shared" si="1"/>
        <v>1.0182376038925549</v>
      </c>
    </row>
    <row r="107" spans="1:9" ht="12.75" customHeight="1" x14ac:dyDescent="0.2">
      <c r="A107" s="451" t="s">
        <v>2133</v>
      </c>
      <c r="B107" s="172" t="s">
        <v>395</v>
      </c>
      <c r="C107" s="172" t="s">
        <v>396</v>
      </c>
      <c r="D107" s="171" t="s">
        <v>2140</v>
      </c>
      <c r="E107" s="173">
        <f>IF(SUMIF('Staff data'!B:B,'Base MFF calcs'!B107,'Staff data'!O:O)=0,VLOOKUP(D107,'PCT data'!$B$3:$I$159,7,FALSE),SUMIF('Staff data'!B:B,'Base MFF calcs'!B107,'Staff data'!O:O))</f>
        <v>0.92901835651474496</v>
      </c>
      <c r="F107" s="174">
        <f>VLOOKUP(B107,'M&amp;D data'!$C$13:$G$266,5,FALSE)</f>
        <v>0.99619990923086066</v>
      </c>
      <c r="G107" s="173">
        <f>IF(SUMIF('Buildings data'!B:B,'Base MFF calcs'!B107,'Buildings data'!L:L)=0,VLOOKUP(D107,'PCT data'!$B$3:$K$154,10,FALSE),SUMIF('Buildings data'!B:B,'Base MFF calcs'!B107,'Buildings data'!L:L))</f>
        <v>0.91550049923798604</v>
      </c>
      <c r="H107" s="174">
        <f>IF(ISNA(VLOOKUP(B107,'Land data'!$B$2:$J$240,9,FALSE)),SUMIF('PCT data'!$F$3:$F$159,'Base MFF calcs'!B107,'PCT data'!$R$3:$R$159)/SUMIF('PCT data'!$F$3:$F$159,'Base MFF calcs'!B107,'PCT data'!$D$3:$D$159),VLOOKUP(B107,'Land data'!$B$2:$J$240,9,FALSE))</f>
        <v>1.0849689330672856</v>
      </c>
      <c r="I107" s="452">
        <f t="shared" si="1"/>
        <v>0.95862233925114704</v>
      </c>
    </row>
    <row r="108" spans="1:9" ht="12.75" customHeight="1" x14ac:dyDescent="0.2">
      <c r="A108" s="451" t="s">
        <v>3034</v>
      </c>
      <c r="B108" s="172" t="s">
        <v>397</v>
      </c>
      <c r="C108" s="172" t="s">
        <v>398</v>
      </c>
      <c r="D108" s="171" t="s">
        <v>3055</v>
      </c>
      <c r="E108" s="173">
        <f>IF(SUMIF('Staff data'!B:B,'Base MFF calcs'!B108,'Staff data'!O:O)=0,VLOOKUP(D108,'PCT data'!$B$3:$I$159,7,FALSE),SUMIF('Staff data'!B:B,'Base MFF calcs'!B108,'Staff data'!O:O))</f>
        <v>0.93723513211805121</v>
      </c>
      <c r="F108" s="174">
        <f>VLOOKUP(B108,'M&amp;D data'!$C$13:$G$266,5,FALSE)</f>
        <v>0.99619990923086066</v>
      </c>
      <c r="G108" s="173">
        <f>IF(SUMIF('Buildings data'!B:B,'Base MFF calcs'!B108,'Buildings data'!L:L)=0,VLOOKUP(D108,'PCT data'!$B$3:$K$154,10,FALSE),SUMIF('Buildings data'!B:B,'Base MFF calcs'!B108,'Buildings data'!L:L))</f>
        <v>0.95092994737962211</v>
      </c>
      <c r="H108" s="174">
        <f>IF(ISNA(VLOOKUP(B108,'Land data'!$B$2:$J$240,9,FALSE)),SUMIF('PCT data'!$F$3:$F$159,'Base MFF calcs'!B108,'PCT data'!$R$3:$R$159)/SUMIF('PCT data'!$F$3:$F$159,'Base MFF calcs'!B108,'PCT data'!$D$3:$D$159),VLOOKUP(B108,'Land data'!$B$2:$J$240,9,FALSE))</f>
        <v>1.05289577650668</v>
      </c>
      <c r="I108" s="452">
        <f t="shared" si="1"/>
        <v>0.9639344971350543</v>
      </c>
    </row>
    <row r="109" spans="1:9" ht="12.75" customHeight="1" x14ac:dyDescent="0.2">
      <c r="A109" s="451" t="s">
        <v>191</v>
      </c>
      <c r="B109" s="172" t="s">
        <v>399</v>
      </c>
      <c r="C109" s="172" t="s">
        <v>400</v>
      </c>
      <c r="D109" s="171" t="s">
        <v>200</v>
      </c>
      <c r="E109" s="173">
        <f>IF(SUMIF('Staff data'!B:B,'Base MFF calcs'!B109,'Staff data'!O:O)=0,VLOOKUP(D109,'PCT data'!$B$3:$I$159,7,FALSE),SUMIF('Staff data'!B:B,'Base MFF calcs'!B109,'Staff data'!O:O))</f>
        <v>1.0428851509152139</v>
      </c>
      <c r="F109" s="174">
        <f>VLOOKUP(B109,'M&amp;D data'!$C$13:$G$266,5,FALSE)</f>
        <v>0.99619990923086066</v>
      </c>
      <c r="G109" s="173">
        <f>IF(SUMIF('Buildings data'!B:B,'Base MFF calcs'!B109,'Buildings data'!L:L)=0,VLOOKUP(D109,'PCT data'!$B$3:$K$154,10,FALSE),SUMIF('Buildings data'!B:B,'Base MFF calcs'!B109,'Buildings data'!L:L))</f>
        <v>1.0050603306851802</v>
      </c>
      <c r="H109" s="174">
        <f>IF(ISNA(VLOOKUP(B109,'Land data'!$B$2:$J$240,9,FALSE)),SUMIF('PCT data'!$F$3:$F$159,'Base MFF calcs'!B109,'PCT data'!$R$3:$R$159)/SUMIF('PCT data'!$F$3:$F$159,'Base MFF calcs'!B109,'PCT data'!$D$3:$D$159),VLOOKUP(B109,'Land data'!$B$2:$J$240,9,FALSE))</f>
        <v>1.3254811499477808</v>
      </c>
      <c r="I109" s="452">
        <f t="shared" si="1"/>
        <v>1.0246154783584538</v>
      </c>
    </row>
    <row r="110" spans="1:9" ht="12.75" customHeight="1" x14ac:dyDescent="0.2">
      <c r="A110" s="451" t="s">
        <v>1167</v>
      </c>
      <c r="B110" s="172" t="s">
        <v>401</v>
      </c>
      <c r="C110" s="172" t="s">
        <v>402</v>
      </c>
      <c r="D110" s="171" t="s">
        <v>3460</v>
      </c>
      <c r="E110" s="173">
        <f>IF(SUMIF('Staff data'!B:B,'Base MFF calcs'!B110,'Staff data'!O:O)=0,VLOOKUP(D110,'PCT data'!$B$3:$I$159,7,FALSE),SUMIF('Staff data'!B:B,'Base MFF calcs'!B110,'Staff data'!O:O))</f>
        <v>1.1959615079708212</v>
      </c>
      <c r="F110" s="174">
        <f>VLOOKUP(B110,'M&amp;D data'!$C$13:$G$266,5,FALSE)</f>
        <v>1.0185025427599708</v>
      </c>
      <c r="G110" s="173">
        <f>IF(SUMIF('Buildings data'!B:B,'Base MFF calcs'!B110,'Buildings data'!L:L)=0,VLOOKUP(D110,'PCT data'!$B$3:$K$154,10,FALSE),SUMIF('Buildings data'!B:B,'Base MFF calcs'!B110,'Buildings data'!L:L))</f>
        <v>1.2040821783456119</v>
      </c>
      <c r="H110" s="174">
        <f>IF(ISNA(VLOOKUP(B110,'Land data'!$B$2:$J$240,9,FALSE)),SUMIF('PCT data'!$F$3:$F$159,'Base MFF calcs'!B110,'PCT data'!$R$3:$R$159)/SUMIF('PCT data'!$F$3:$F$159,'Base MFF calcs'!B110,'PCT data'!$D$3:$D$159),VLOOKUP(B110,'Land data'!$B$2:$J$240,9,FALSE))</f>
        <v>13.46037022988701</v>
      </c>
      <c r="I110" s="452">
        <f t="shared" si="1"/>
        <v>1.171467786868623</v>
      </c>
    </row>
    <row r="111" spans="1:9" ht="12.75" customHeight="1" x14ac:dyDescent="0.2">
      <c r="A111" s="451" t="s">
        <v>1167</v>
      </c>
      <c r="B111" s="172" t="s">
        <v>403</v>
      </c>
      <c r="C111" s="172" t="s">
        <v>404</v>
      </c>
      <c r="D111" s="171" t="s">
        <v>3462</v>
      </c>
      <c r="E111" s="173">
        <f>IF(SUMIF('Staff data'!B:B,'Base MFF calcs'!B111,'Staff data'!O:O)=0,VLOOKUP(D111,'PCT data'!$B$3:$I$159,7,FALSE),SUMIF('Staff data'!B:B,'Base MFF calcs'!B111,'Staff data'!O:O))</f>
        <v>1.1776148998142011</v>
      </c>
      <c r="F111" s="174">
        <f>VLOOKUP(B111,'M&amp;D data'!$C$13:$G$266,5,FALSE)</f>
        <v>1.0185025427599708</v>
      </c>
      <c r="G111" s="173">
        <f>IF(SUMIF('Buildings data'!B:B,'Base MFF calcs'!B111,'Buildings data'!L:L)=0,VLOOKUP(D111,'PCT data'!$B$3:$K$154,10,FALSE),SUMIF('Buildings data'!B:B,'Base MFF calcs'!B111,'Buildings data'!L:L))</f>
        <v>1.0846690697493531</v>
      </c>
      <c r="H111" s="174">
        <f>IF(ISNA(VLOOKUP(B111,'Land data'!$B$2:$J$240,9,FALSE)),SUMIF('PCT data'!$F$3:$F$159,'Base MFF calcs'!B111,'PCT data'!$R$3:$R$159)/SUMIF('PCT data'!$F$3:$F$159,'Base MFF calcs'!B111,'PCT data'!$D$3:$D$159),VLOOKUP(B111,'Land data'!$B$2:$J$240,9,FALSE))</f>
        <v>2.119240354525354</v>
      </c>
      <c r="I111" s="452">
        <f t="shared" si="1"/>
        <v>1.1073811753977889</v>
      </c>
    </row>
    <row r="112" spans="1:9" ht="12.75" customHeight="1" x14ac:dyDescent="0.2">
      <c r="A112" s="451" t="s">
        <v>1127</v>
      </c>
      <c r="B112" s="172" t="s">
        <v>405</v>
      </c>
      <c r="C112" s="172" t="s">
        <v>406</v>
      </c>
      <c r="D112" s="171" t="s">
        <v>1140</v>
      </c>
      <c r="E112" s="173">
        <f>IF(SUMIF('Staff data'!B:B,'Base MFF calcs'!B112,'Staff data'!O:O)=0,VLOOKUP(D112,'PCT data'!$B$3:$I$159,7,FALSE),SUMIF('Staff data'!B:B,'Base MFF calcs'!B112,'Staff data'!O:O))</f>
        <v>0.90127090206511962</v>
      </c>
      <c r="F112" s="174">
        <f>VLOOKUP(B112,'M&amp;D data'!$C$13:$G$266,5,FALSE)</f>
        <v>0.99619990923086066</v>
      </c>
      <c r="G112" s="173">
        <f>IF(SUMIF('Buildings data'!B:B,'Base MFF calcs'!B112,'Buildings data'!L:L)=0,VLOOKUP(D112,'PCT data'!$B$3:$K$154,10,FALSE),SUMIF('Buildings data'!B:B,'Base MFF calcs'!B112,'Buildings data'!L:L))</f>
        <v>0.92545159162100765</v>
      </c>
      <c r="H112" s="174">
        <f>IF(ISNA(VLOOKUP(B112,'Land data'!$B$2:$J$240,9,FALSE)),SUMIF('PCT data'!$F$3:$F$159,'Base MFF calcs'!B112,'PCT data'!$R$3:$R$159)/SUMIF('PCT data'!$F$3:$F$159,'Base MFF calcs'!B112,'PCT data'!$D$3:$D$159),VLOOKUP(B112,'Land data'!$B$2:$J$240,9,FALSE))</f>
        <v>0.37442273142742627</v>
      </c>
      <c r="I112" s="452">
        <f t="shared" si="1"/>
        <v>0.9404652759357186</v>
      </c>
    </row>
    <row r="113" spans="1:9" ht="12.75" customHeight="1" x14ac:dyDescent="0.2">
      <c r="A113" s="451" t="s">
        <v>1127</v>
      </c>
      <c r="B113" s="172" t="s">
        <v>407</v>
      </c>
      <c r="C113" s="482" t="s">
        <v>1304</v>
      </c>
      <c r="D113" s="171" t="s">
        <v>1140</v>
      </c>
      <c r="E113" s="173">
        <f>IF(SUMIF('Staff data'!B:B,'Base MFF calcs'!B113,'Staff data'!O:O)=0,VLOOKUP(D113,'PCT data'!$B$3:$I$159,7,FALSE),SUMIF('Staff data'!B:B,'Base MFF calcs'!B113,'Staff data'!O:O))</f>
        <v>0.9171703431292304</v>
      </c>
      <c r="F113" s="174">
        <f>VLOOKUP(B113,'M&amp;D data'!$C$13:$G$266,5,FALSE)</f>
        <v>0.99619990923086066</v>
      </c>
      <c r="G113" s="173">
        <f>IF(SUMIF('Buildings data'!B:B,'Base MFF calcs'!B113,'Buildings data'!L:L)=0,VLOOKUP(D113,'PCT data'!$B$3:$K$154,10,FALSE),SUMIF('Buildings data'!B:B,'Base MFF calcs'!B113,'Buildings data'!L:L))</f>
        <v>0.92963272287437793</v>
      </c>
      <c r="H113" s="174">
        <f>IF(ISNA(VLOOKUP(B113,'Land data'!$B$2:$J$240,9,FALSE)),SUMIF('PCT data'!$F$3:$F$159,'Base MFF calcs'!B113,'PCT data'!$R$3:$R$159)/SUMIF('PCT data'!$F$3:$F$159,'Base MFF calcs'!B113,'PCT data'!$D$3:$D$159),VLOOKUP(B113,'Land data'!$B$2:$J$240,9,FALSE))</f>
        <v>0.47201105887447004</v>
      </c>
      <c r="I113" s="452">
        <f t="shared" si="1"/>
        <v>0.9497451740900118</v>
      </c>
    </row>
    <row r="114" spans="1:9" ht="12.75" customHeight="1" x14ac:dyDescent="0.2">
      <c r="A114" s="451" t="s">
        <v>3528</v>
      </c>
      <c r="B114" s="172" t="s">
        <v>411</v>
      </c>
      <c r="C114" s="172" t="s">
        <v>412</v>
      </c>
      <c r="D114" s="171" t="s">
        <v>3546</v>
      </c>
      <c r="E114" s="173">
        <f>IF(SUMIF('Staff data'!B:B,'Base MFF calcs'!B114,'Staff data'!O:O)=0,VLOOKUP(D114,'PCT data'!$B$3:$I$159,7,FALSE),SUMIF('Staff data'!B:B,'Base MFF calcs'!B114,'Staff data'!O:O))</f>
        <v>1.0001833061554906</v>
      </c>
      <c r="F114" s="174">
        <f>VLOOKUP(B114,'M&amp;D data'!$C$13:$G$266,5,FALSE)</f>
        <v>0.99619990923086066</v>
      </c>
      <c r="G114" s="173">
        <f>IF(SUMIF('Buildings data'!B:B,'Base MFF calcs'!B114,'Buildings data'!L:L)=0,VLOOKUP(D114,'PCT data'!$B$3:$K$154,10,FALSE),SUMIF('Buildings data'!B:B,'Base MFF calcs'!B114,'Buildings data'!L:L))</f>
        <v>0.97987036088757173</v>
      </c>
      <c r="H114" s="174">
        <f>IF(ISNA(VLOOKUP(B114,'Land data'!$B$2:$J$240,9,FALSE)),SUMIF('PCT data'!$F$3:$F$159,'Base MFF calcs'!B114,'PCT data'!$R$3:$R$159)/SUMIF('PCT data'!$F$3:$F$159,'Base MFF calcs'!B114,'PCT data'!$D$3:$D$159),VLOOKUP(B114,'Land data'!$B$2:$J$240,9,FALSE))</f>
        <v>0.99366112688795782</v>
      </c>
      <c r="I114" s="452">
        <f t="shared" si="1"/>
        <v>0.99900769314556026</v>
      </c>
    </row>
    <row r="115" spans="1:9" ht="12.75" customHeight="1" x14ac:dyDescent="0.2">
      <c r="A115" s="451" t="s">
        <v>2975</v>
      </c>
      <c r="B115" s="172" t="s">
        <v>413</v>
      </c>
      <c r="C115" s="172" t="s">
        <v>414</v>
      </c>
      <c r="D115" s="171" t="s">
        <v>2994</v>
      </c>
      <c r="E115" s="173">
        <f>IF(SUMIF('Staff data'!B:B,'Base MFF calcs'!B115,'Staff data'!O:O)=0,VLOOKUP(D115,'PCT data'!$B$3:$I$159,7,FALSE),SUMIF('Staff data'!B:B,'Base MFF calcs'!B115,'Staff data'!O:O))</f>
        <v>0.91793453109524703</v>
      </c>
      <c r="F115" s="174">
        <f>VLOOKUP(B115,'M&amp;D data'!$C$13:$G$266,5,FALSE)</f>
        <v>0.99619990923086066</v>
      </c>
      <c r="G115" s="173">
        <f>IF(SUMIF('Buildings data'!B:B,'Base MFF calcs'!B115,'Buildings data'!L:L)=0,VLOOKUP(D115,'PCT data'!$B$3:$K$154,10,FALSE),SUMIF('Buildings data'!B:B,'Base MFF calcs'!B115,'Buildings data'!L:L))</f>
        <v>1.0150114230682019</v>
      </c>
      <c r="H115" s="174">
        <f>IF(ISNA(VLOOKUP(B115,'Land data'!$B$2:$J$240,9,FALSE)),SUMIF('PCT data'!$F$3:$F$159,'Base MFF calcs'!B115,'PCT data'!$R$3:$R$159)/SUMIF('PCT data'!$F$3:$F$159,'Base MFF calcs'!B115,'PCT data'!$D$3:$D$159),VLOOKUP(B115,'Land data'!$B$2:$J$240,9,FALSE))</f>
        <v>0.55750380039560021</v>
      </c>
      <c r="I115" s="452">
        <f t="shared" si="1"/>
        <v>0.95282212404796263</v>
      </c>
    </row>
    <row r="116" spans="1:9" ht="12.75" customHeight="1" x14ac:dyDescent="0.2">
      <c r="A116" s="451" t="s">
        <v>1167</v>
      </c>
      <c r="B116" s="172" t="s">
        <v>416</v>
      </c>
      <c r="C116" s="172" t="s">
        <v>417</v>
      </c>
      <c r="D116" s="171" t="s">
        <v>3464</v>
      </c>
      <c r="E116" s="173">
        <f>IF(SUMIF('Staff data'!B:B,'Base MFF calcs'!B116,'Staff data'!O:O)=0,VLOOKUP(D116,'PCT data'!$B$3:$I$159,7,FALSE),SUMIF('Staff data'!B:B,'Base MFF calcs'!B116,'Staff data'!O:O))</f>
        <v>1.1502328875574843</v>
      </c>
      <c r="F116" s="174">
        <f>VLOOKUP(B116,'M&amp;D data'!$C$13:$G$266,5,FALSE)</f>
        <v>1.0185025427599708</v>
      </c>
      <c r="G116" s="173">
        <f>IF(SUMIF('Buildings data'!B:B,'Base MFF calcs'!B116,'Buildings data'!L:L)=0,VLOOKUP(D116,'PCT data'!$B$3:$K$154,10,FALSE),SUMIF('Buildings data'!B:B,'Base MFF calcs'!B116,'Buildings data'!L:L))</f>
        <v>1.0766858338375807</v>
      </c>
      <c r="H116" s="174">
        <f>IF(ISNA(VLOOKUP(B116,'Land data'!$B$2:$J$240,9,FALSE)),SUMIF('PCT data'!$F$3:$F$159,'Base MFF calcs'!B116,'PCT data'!$R$3:$R$159)/SUMIF('PCT data'!$F$3:$F$159,'Base MFF calcs'!B116,'PCT data'!$D$3:$D$159),VLOOKUP(B116,'Land data'!$B$2:$J$240,9,FALSE))</f>
        <v>0.85327923724348587</v>
      </c>
      <c r="I116" s="452">
        <f t="shared" si="1"/>
        <v>1.0864577300681932</v>
      </c>
    </row>
    <row r="117" spans="1:9" ht="12.75" customHeight="1" x14ac:dyDescent="0.2">
      <c r="A117" s="451" t="s">
        <v>1127</v>
      </c>
      <c r="B117" s="172" t="s">
        <v>418</v>
      </c>
      <c r="C117" s="172" t="s">
        <v>3655</v>
      </c>
      <c r="D117" s="171" t="s">
        <v>1151</v>
      </c>
      <c r="E117" s="173">
        <f>IF(SUMIF('Staff data'!B:B,'Base MFF calcs'!B117,'Staff data'!O:O)=0,VLOOKUP(D117,'PCT data'!$B$3:$I$159,7,FALSE),SUMIF('Staff data'!B:B,'Base MFF calcs'!B117,'Staff data'!O:O))</f>
        <v>1.0084014069338214</v>
      </c>
      <c r="F117" s="174">
        <f>VLOOKUP(B117,'M&amp;D data'!$C$13:$G$266,5,FALSE)</f>
        <v>0.99619990923086066</v>
      </c>
      <c r="G117" s="173">
        <f>IF(SUMIF('Buildings data'!B:B,'Base MFF calcs'!B117,'Buildings data'!L:L)=0,VLOOKUP(D117,'PCT data'!$B$3:$K$154,10,FALSE),SUMIF('Buildings data'!B:B,'Base MFF calcs'!B117,'Buildings data'!L:L))</f>
        <v>1.0155566884042579</v>
      </c>
      <c r="H117" s="174">
        <f>IF(ISNA(VLOOKUP(B117,'Land data'!$B$2:$J$240,9,FALSE)),SUMIF('PCT data'!$F$3:$F$159,'Base MFF calcs'!B117,'PCT data'!$R$3:$R$159)/SUMIF('PCT data'!$F$3:$F$159,'Base MFF calcs'!B117,'PCT data'!$D$3:$D$159),VLOOKUP(B117,'Land data'!$B$2:$J$240,9,FALSE))</f>
        <v>1.436487181889732</v>
      </c>
      <c r="I117" s="452">
        <f t="shared" si="1"/>
        <v>1.0064559201244432</v>
      </c>
    </row>
    <row r="118" spans="1:9" ht="12.75" customHeight="1" x14ac:dyDescent="0.2">
      <c r="A118" s="451" t="s">
        <v>1167</v>
      </c>
      <c r="B118" s="172" t="s">
        <v>3656</v>
      </c>
      <c r="C118" s="172" t="s">
        <v>3657</v>
      </c>
      <c r="D118" s="171" t="s">
        <v>3466</v>
      </c>
      <c r="E118" s="173">
        <f>IF(SUMIF('Staff data'!B:B,'Base MFF calcs'!B118,'Staff data'!O:O)=0,VLOOKUP(D118,'PCT data'!$B$3:$I$159,7,FALSE),SUMIF('Staff data'!B:B,'Base MFF calcs'!B118,'Staff data'!O:O))</f>
        <v>1.1802964196981751</v>
      </c>
      <c r="F118" s="174">
        <f>VLOOKUP(B118,'M&amp;D data'!$C$13:$G$266,5,FALSE)</f>
        <v>1.0185025427599708</v>
      </c>
      <c r="G118" s="173">
        <f>IF(SUMIF('Buildings data'!B:B,'Base MFF calcs'!B118,'Buildings data'!L:L)=0,VLOOKUP(D118,'PCT data'!$B$3:$K$154,10,FALSE),SUMIF('Buildings data'!B:B,'Base MFF calcs'!B118,'Buildings data'!L:L))</f>
        <v>1.1045712545153963</v>
      </c>
      <c r="H118" s="174">
        <f>IF(ISNA(VLOOKUP(B118,'Land data'!$B$2:$J$240,9,FALSE)),SUMIF('PCT data'!$F$3:$F$159,'Base MFF calcs'!B118,'PCT data'!$R$3:$R$159)/SUMIF('PCT data'!$F$3:$F$159,'Base MFF calcs'!B118,'PCT data'!$D$3:$D$159),VLOOKUP(B118,'Land data'!$B$2:$J$240,9,FALSE))</f>
        <v>2.8622499131738071</v>
      </c>
      <c r="I118" s="452">
        <f t="shared" si="1"/>
        <v>1.1127140040618115</v>
      </c>
    </row>
    <row r="119" spans="1:9" ht="12.75" customHeight="1" x14ac:dyDescent="0.2">
      <c r="A119" s="451" t="s">
        <v>2133</v>
      </c>
      <c r="B119" s="172" t="s">
        <v>3658</v>
      </c>
      <c r="C119" s="172" t="s">
        <v>3659</v>
      </c>
      <c r="D119" s="171" t="s">
        <v>2152</v>
      </c>
      <c r="E119" s="173">
        <f>IF(SUMIF('Staff data'!B:B,'Base MFF calcs'!B119,'Staff data'!O:O)=0,VLOOKUP(D119,'PCT data'!$B$3:$I$159,7,FALSE),SUMIF('Staff data'!B:B,'Base MFF calcs'!B119,'Staff data'!O:O))</f>
        <v>0.91517413349296861</v>
      </c>
      <c r="F119" s="174">
        <f>VLOOKUP(B119,'M&amp;D data'!$C$13:$G$266,5,FALSE)</f>
        <v>0.99619990923086066</v>
      </c>
      <c r="G119" s="173">
        <f>IF(SUMIF('Buildings data'!B:B,'Base MFF calcs'!B119,'Buildings data'!L:L)=0,VLOOKUP(D119,'PCT data'!$B$3:$K$154,10,FALSE),SUMIF('Buildings data'!B:B,'Base MFF calcs'!B119,'Buildings data'!L:L))</f>
        <v>0.9248956646722355</v>
      </c>
      <c r="H119" s="174">
        <f>IF(ISNA(VLOOKUP(B119,'Land data'!$B$2:$J$240,9,FALSE)),SUMIF('PCT data'!$F$3:$F$159,'Base MFF calcs'!B119,'PCT data'!$R$3:$R$159)/SUMIF('PCT data'!$F$3:$F$159,'Base MFF calcs'!B119,'PCT data'!$D$3:$D$159),VLOOKUP(B119,'Land data'!$B$2:$J$240,9,FALSE))</f>
        <v>0.39312262094254985</v>
      </c>
      <c r="I119" s="452">
        <f t="shared" si="1"/>
        <v>0.94816920748767464</v>
      </c>
    </row>
    <row r="120" spans="1:9" ht="12.75" customHeight="1" x14ac:dyDescent="0.2">
      <c r="A120" s="451" t="s">
        <v>708</v>
      </c>
      <c r="B120" s="172" t="s">
        <v>3660</v>
      </c>
      <c r="C120" s="172" t="s">
        <v>3661</v>
      </c>
      <c r="D120" s="171" t="s">
        <v>639</v>
      </c>
      <c r="E120" s="173">
        <f>IF(SUMIF('Staff data'!B:B,'Base MFF calcs'!B120,'Staff data'!O:O)=0,VLOOKUP(D120,'PCT data'!$B$3:$I$159,7,FALSE),SUMIF('Staff data'!B:B,'Base MFF calcs'!B120,'Staff data'!O:O))</f>
        <v>0.912878129738661</v>
      </c>
      <c r="F120" s="174">
        <f>VLOOKUP(B120,'M&amp;D data'!$C$13:$G$266,5,FALSE)</f>
        <v>0.99619990923086066</v>
      </c>
      <c r="G120" s="173">
        <f>IF(SUMIF('Buildings data'!B:B,'Base MFF calcs'!B120,'Buildings data'!L:L)=0,VLOOKUP(D120,'PCT data'!$B$3:$K$154,10,FALSE),SUMIF('Buildings data'!B:B,'Base MFF calcs'!B120,'Buildings data'!L:L))</f>
        <v>0.9685416992040905</v>
      </c>
      <c r="H120" s="174">
        <f>IF(ISNA(VLOOKUP(B120,'Land data'!$B$2:$J$240,9,FALSE)),SUMIF('PCT data'!$F$3:$F$159,'Base MFF calcs'!B120,'PCT data'!$R$3:$R$159)/SUMIF('PCT data'!$F$3:$F$159,'Base MFF calcs'!B120,'PCT data'!$D$3:$D$159),VLOOKUP(B120,'Land data'!$B$2:$J$240,9,FALSE))</f>
        <v>0.66038154169419627</v>
      </c>
      <c r="I120" s="452">
        <f t="shared" si="1"/>
        <v>0.94926875917263498</v>
      </c>
    </row>
    <row r="121" spans="1:9" ht="12.75" customHeight="1" x14ac:dyDescent="0.2">
      <c r="A121" s="451" t="s">
        <v>1167</v>
      </c>
      <c r="B121" s="172" t="s">
        <v>3664</v>
      </c>
      <c r="C121" s="172" t="s">
        <v>3665</v>
      </c>
      <c r="D121" s="171" t="s">
        <v>3468</v>
      </c>
      <c r="E121" s="173">
        <f>IF(SUMIF('Staff data'!B:B,'Base MFF calcs'!B121,'Staff data'!O:O)=0,VLOOKUP(D121,'PCT data'!$B$3:$I$159,7,FALSE),SUMIF('Staff data'!B:B,'Base MFF calcs'!B121,'Staff data'!O:O))</f>
        <v>1.179521345610711</v>
      </c>
      <c r="F121" s="174">
        <f>VLOOKUP(B121,'M&amp;D data'!$C$13:$G$266,5,FALSE)</f>
        <v>1.0185025427599708</v>
      </c>
      <c r="G121" s="173">
        <f>IF(SUMIF('Buildings data'!B:B,'Base MFF calcs'!B121,'Buildings data'!L:L)=0,VLOOKUP(D121,'PCT data'!$B$3:$K$154,10,FALSE),SUMIF('Buildings data'!B:B,'Base MFF calcs'!B121,'Buildings data'!L:L))</f>
        <v>1.1443756240474725</v>
      </c>
      <c r="H121" s="174">
        <f>IF(ISNA(VLOOKUP(B121,'Land data'!$B$2:$J$240,9,FALSE)),SUMIF('PCT data'!$F$3:$F$159,'Base MFF calcs'!B121,'PCT data'!$R$3:$R$159)/SUMIF('PCT data'!$F$3:$F$159,'Base MFF calcs'!B121,'PCT data'!$D$3:$D$159),VLOOKUP(B121,'Land data'!$B$2:$J$240,9,FALSE))</f>
        <v>1.5200442061281669</v>
      </c>
      <c r="I121" s="452">
        <f t="shared" si="1"/>
        <v>1.1073328215704821</v>
      </c>
    </row>
    <row r="122" spans="1:9" ht="12.75" customHeight="1" x14ac:dyDescent="0.2">
      <c r="A122" s="451" t="s">
        <v>3069</v>
      </c>
      <c r="B122" s="172" t="s">
        <v>3666</v>
      </c>
      <c r="C122" s="172" t="s">
        <v>3667</v>
      </c>
      <c r="D122" s="171" t="s">
        <v>2120</v>
      </c>
      <c r="E122" s="173">
        <f>IF(SUMIF('Staff data'!B:B,'Base MFF calcs'!B122,'Staff data'!O:O)=0,VLOOKUP(D122,'PCT data'!$B$3:$I$159,7,FALSE),SUMIF('Staff data'!B:B,'Base MFF calcs'!B122,'Staff data'!O:O))</f>
        <v>0.96883561227518755</v>
      </c>
      <c r="F122" s="174">
        <f>VLOOKUP(B122,'M&amp;D data'!$C$13:$G$266,5,FALSE)</f>
        <v>0.99619990923086066</v>
      </c>
      <c r="G122" s="173">
        <f>IF(SUMIF('Buildings data'!B:B,'Base MFF calcs'!B122,'Buildings data'!L:L)=0,VLOOKUP(D122,'PCT data'!$B$3:$K$154,10,FALSE),SUMIF('Buildings data'!B:B,'Base MFF calcs'!B122,'Buildings data'!L:L))</f>
        <v>0.96525596115309287</v>
      </c>
      <c r="H122" s="174">
        <f>IF(ISNA(VLOOKUP(B122,'Land data'!$B$2:$J$240,9,FALSE)),SUMIF('PCT data'!$F$3:$F$159,'Base MFF calcs'!B122,'PCT data'!$R$3:$R$159)/SUMIF('PCT data'!$F$3:$F$159,'Base MFF calcs'!B122,'PCT data'!$D$3:$D$159),VLOOKUP(B122,'Land data'!$B$2:$J$240,9,FALSE))</f>
        <v>1.3390477948249786</v>
      </c>
      <c r="I122" s="452">
        <f t="shared" si="1"/>
        <v>0.98295194178272882</v>
      </c>
    </row>
    <row r="123" spans="1:9" ht="12.75" customHeight="1" x14ac:dyDescent="0.2">
      <c r="A123" s="451" t="s">
        <v>3069</v>
      </c>
      <c r="B123" s="172" t="s">
        <v>3668</v>
      </c>
      <c r="C123" s="172" t="s">
        <v>3669</v>
      </c>
      <c r="D123" s="171" t="s">
        <v>2120</v>
      </c>
      <c r="E123" s="173">
        <f>IF(SUMIF('Staff data'!B:B,'Base MFF calcs'!B123,'Staff data'!O:O)=0,VLOOKUP(D123,'PCT data'!$B$3:$I$159,7,FALSE),SUMIF('Staff data'!B:B,'Base MFF calcs'!B123,'Staff data'!O:O))</f>
        <v>0.96557100816677033</v>
      </c>
      <c r="F123" s="174">
        <f>VLOOKUP(B123,'M&amp;D data'!$C$13:$G$266,5,FALSE)</f>
        <v>0.99619990923086066</v>
      </c>
      <c r="G123" s="173">
        <f>IF(SUMIF('Buildings data'!B:B,'Base MFF calcs'!B123,'Buildings data'!L:L)=0,VLOOKUP(D123,'PCT data'!$B$3:$K$154,10,FALSE),SUMIF('Buildings data'!B:B,'Base MFF calcs'!B123,'Buildings data'!L:L))</f>
        <v>0.96525596115309287</v>
      </c>
      <c r="H123" s="174">
        <f>IF(ISNA(VLOOKUP(B123,'Land data'!$B$2:$J$240,9,FALSE)),SUMIF('PCT data'!$F$3:$F$159,'Base MFF calcs'!B123,'PCT data'!$R$3:$R$159)/SUMIF('PCT data'!$F$3:$F$159,'Base MFF calcs'!B123,'PCT data'!$D$3:$D$159),VLOOKUP(B123,'Land data'!$B$2:$J$240,9,FALSE))</f>
        <v>0.99517849319662621</v>
      </c>
      <c r="I123" s="452">
        <f t="shared" si="1"/>
        <v>0.97961796938601386</v>
      </c>
    </row>
    <row r="124" spans="1:9" ht="12.75" customHeight="1" x14ac:dyDescent="0.2">
      <c r="A124" s="451" t="s">
        <v>3528</v>
      </c>
      <c r="B124" s="172" t="s">
        <v>3670</v>
      </c>
      <c r="C124" s="172" t="s">
        <v>3671</v>
      </c>
      <c r="D124" s="171" t="s">
        <v>3536</v>
      </c>
      <c r="E124" s="173">
        <f>IF(SUMIF('Staff data'!B:B,'Base MFF calcs'!B124,'Staff data'!O:O)=0,VLOOKUP(D124,'PCT data'!$B$3:$I$159,7,FALSE),SUMIF('Staff data'!B:B,'Base MFF calcs'!B124,'Staff data'!O:O))</f>
        <v>0.90514325192644995</v>
      </c>
      <c r="F124" s="174">
        <f>VLOOKUP(B124,'M&amp;D data'!$C$13:$G$266,5,FALSE)</f>
        <v>0.99619990923086066</v>
      </c>
      <c r="G124" s="173">
        <f>IF(SUMIF('Buildings data'!B:B,'Base MFF calcs'!B124,'Buildings data'!L:L)=0,VLOOKUP(D124,'PCT data'!$B$3:$K$154,10,FALSE),SUMIF('Buildings data'!B:B,'Base MFF calcs'!B124,'Buildings data'!L:L))</f>
        <v>0.95530486877007115</v>
      </c>
      <c r="H124" s="174">
        <f>IF(ISNA(VLOOKUP(B124,'Land data'!$B$2:$J$240,9,FALSE)),SUMIF('PCT data'!$F$3:$F$159,'Base MFF calcs'!B124,'PCT data'!$R$3:$R$159)/SUMIF('PCT data'!$F$3:$F$159,'Base MFF calcs'!B124,'PCT data'!$D$3:$D$159),VLOOKUP(B124,'Land data'!$B$2:$J$240,9,FALSE))</f>
        <v>0.57659509652715735</v>
      </c>
      <c r="I124" s="452">
        <f t="shared" si="1"/>
        <v>0.94429306669239366</v>
      </c>
    </row>
    <row r="125" spans="1:9" ht="12.75" customHeight="1" x14ac:dyDescent="0.2">
      <c r="A125" s="451" t="s">
        <v>3034</v>
      </c>
      <c r="B125" s="172" t="s">
        <v>3672</v>
      </c>
      <c r="C125" s="172" t="s">
        <v>3673</v>
      </c>
      <c r="D125" s="171" t="s">
        <v>3057</v>
      </c>
      <c r="E125" s="173">
        <f>IF(SUMIF('Staff data'!B:B,'Base MFF calcs'!B125,'Staff data'!O:O)=0,VLOOKUP(D125,'PCT data'!$B$3:$I$159,7,FALSE),SUMIF('Staff data'!B:B,'Base MFF calcs'!B125,'Staff data'!O:O))</f>
        <v>0.91730409099664056</v>
      </c>
      <c r="F125" s="174">
        <f>VLOOKUP(B125,'M&amp;D data'!$C$13:$G$266,5,FALSE)</f>
        <v>0.99619990923086066</v>
      </c>
      <c r="G125" s="173">
        <f>IF(SUMIF('Buildings data'!B:B,'Base MFF calcs'!B125,'Buildings data'!L:L)=0,VLOOKUP(D125,'PCT data'!$B$3:$K$154,10,FALSE),SUMIF('Buildings data'!B:B,'Base MFF calcs'!B125,'Buildings data'!L:L))</f>
        <v>0.92096261303812987</v>
      </c>
      <c r="H125" s="174">
        <f>IF(ISNA(VLOOKUP(B125,'Land data'!$B$2:$J$240,9,FALSE)),SUMIF('PCT data'!$F$3:$F$159,'Base MFF calcs'!B125,'PCT data'!$R$3:$R$159)/SUMIF('PCT data'!$F$3:$F$159,'Base MFF calcs'!B125,'PCT data'!$D$3:$D$159),VLOOKUP(B125,'Land data'!$B$2:$J$240,9,FALSE))</f>
        <v>0.46775449672404013</v>
      </c>
      <c r="I125" s="452">
        <f t="shared" si="1"/>
        <v>0.94956860925929076</v>
      </c>
    </row>
    <row r="126" spans="1:9" ht="12.75" customHeight="1" x14ac:dyDescent="0.2">
      <c r="A126" s="451" t="s">
        <v>708</v>
      </c>
      <c r="B126" s="172" t="s">
        <v>3674</v>
      </c>
      <c r="C126" s="172" t="s">
        <v>3675</v>
      </c>
      <c r="D126" s="171" t="s">
        <v>716</v>
      </c>
      <c r="E126" s="173">
        <f>IF(SUMIF('Staff data'!B:B,'Base MFF calcs'!B126,'Staff data'!O:O)=0,VLOOKUP(D126,'PCT data'!$B$3:$I$159,7,FALSE),SUMIF('Staff data'!B:B,'Base MFF calcs'!B126,'Staff data'!O:O))</f>
        <v>0.92357829381131717</v>
      </c>
      <c r="F126" s="174">
        <f>VLOOKUP(B126,'M&amp;D data'!$C$13:$G$266,5,FALSE)</f>
        <v>0.99619990923086066</v>
      </c>
      <c r="G126" s="173">
        <f>IF(SUMIF('Buildings data'!B:B,'Base MFF calcs'!B126,'Buildings data'!L:L)=0,VLOOKUP(D126,'PCT data'!$B$3:$K$154,10,FALSE),SUMIF('Buildings data'!B:B,'Base MFF calcs'!B126,'Buildings data'!L:L))</f>
        <v>0.98585298528752685</v>
      </c>
      <c r="H126" s="174">
        <f>IF(ISNA(VLOOKUP(B126,'Land data'!$B$2:$J$240,9,FALSE)),SUMIF('PCT data'!$F$3:$F$159,'Base MFF calcs'!B126,'PCT data'!$R$3:$R$159)/SUMIF('PCT data'!$F$3:$F$159,'Base MFF calcs'!B126,'PCT data'!$D$3:$D$159),VLOOKUP(B126,'Land data'!$B$2:$J$240,9,FALSE))</f>
        <v>0.20168629399074608</v>
      </c>
      <c r="I126" s="452">
        <f t="shared" si="1"/>
        <v>0.95354995330846126</v>
      </c>
    </row>
    <row r="127" spans="1:9" ht="12.75" customHeight="1" x14ac:dyDescent="0.2">
      <c r="A127" s="451" t="s">
        <v>708</v>
      </c>
      <c r="B127" s="172" t="s">
        <v>3676</v>
      </c>
      <c r="C127" s="172" t="s">
        <v>3677</v>
      </c>
      <c r="D127" s="171" t="s">
        <v>642</v>
      </c>
      <c r="E127" s="173">
        <f>IF(SUMIF('Staff data'!B:B,'Base MFF calcs'!B127,'Staff data'!O:O)=0,VLOOKUP(D127,'PCT data'!$B$3:$I$159,7,FALSE),SUMIF('Staff data'!B:B,'Base MFF calcs'!B127,'Staff data'!O:O))</f>
        <v>0.92302726905404597</v>
      </c>
      <c r="F127" s="174">
        <f>VLOOKUP(B127,'M&amp;D data'!$C$13:$G$266,5,FALSE)</f>
        <v>0.99619990923086066</v>
      </c>
      <c r="G127" s="173">
        <f>IF(SUMIF('Buildings data'!B:B,'Base MFF calcs'!B127,'Buildings data'!L:L)=0,VLOOKUP(D127,'PCT data'!$B$3:$K$154,10,FALSE),SUMIF('Buildings data'!B:B,'Base MFF calcs'!B127,'Buildings data'!L:L))</f>
        <v>1.0116994914756974</v>
      </c>
      <c r="H127" s="174">
        <f>IF(ISNA(VLOOKUP(B127,'Land data'!$B$2:$J$240,9,FALSE)),SUMIF('PCT data'!$F$3:$F$159,'Base MFF calcs'!B127,'PCT data'!$R$3:$R$159)/SUMIF('PCT data'!$F$3:$F$159,'Base MFF calcs'!B127,'PCT data'!$D$3:$D$159),VLOOKUP(B127,'Land data'!$B$2:$J$240,9,FALSE))</f>
        <v>0.24327628663114564</v>
      </c>
      <c r="I127" s="452">
        <f t="shared" si="1"/>
        <v>0.95412220496519429</v>
      </c>
    </row>
    <row r="128" spans="1:9" ht="12.75" customHeight="1" x14ac:dyDescent="0.2">
      <c r="A128" s="451" t="s">
        <v>3069</v>
      </c>
      <c r="B128" s="172" t="s">
        <v>3678</v>
      </c>
      <c r="C128" s="172" t="s">
        <v>3679</v>
      </c>
      <c r="D128" s="171" t="s">
        <v>2118</v>
      </c>
      <c r="E128" s="173">
        <f>IF(SUMIF('Staff data'!B:B,'Base MFF calcs'!B128,'Staff data'!O:O)=0,VLOOKUP(D128,'PCT data'!$B$3:$I$159,7,FALSE),SUMIF('Staff data'!B:B,'Base MFF calcs'!B128,'Staff data'!O:O))</f>
        <v>0.93561076072673477</v>
      </c>
      <c r="F128" s="174">
        <f>VLOOKUP(B128,'M&amp;D data'!$C$13:$G$266,5,FALSE)</f>
        <v>0.99619990923086066</v>
      </c>
      <c r="G128" s="173">
        <f>IF(SUMIF('Buildings data'!B:B,'Base MFF calcs'!B128,'Buildings data'!L:L)=0,VLOOKUP(D128,'PCT data'!$B$3:$K$154,10,FALSE),SUMIF('Buildings data'!B:B,'Base MFF calcs'!B128,'Buildings data'!L:L))</f>
        <v>0.91550049923798604</v>
      </c>
      <c r="H128" s="174">
        <f>IF(ISNA(VLOOKUP(B128,'Land data'!$B$2:$J$240,9,FALSE)),SUMIF('PCT data'!$F$3:$F$159,'Base MFF calcs'!B128,'PCT data'!$R$3:$R$159)/SUMIF('PCT data'!$F$3:$F$159,'Base MFF calcs'!B128,'PCT data'!$D$3:$D$159),VLOOKUP(B128,'Land data'!$B$2:$J$240,9,FALSE))</f>
        <v>1.0747050655283961</v>
      </c>
      <c r="I128" s="452">
        <f t="shared" si="1"/>
        <v>0.96219653949342687</v>
      </c>
    </row>
    <row r="129" spans="1:9" ht="12.75" customHeight="1" x14ac:dyDescent="0.2">
      <c r="A129" s="451" t="s">
        <v>3069</v>
      </c>
      <c r="B129" s="172" t="s">
        <v>3680</v>
      </c>
      <c r="C129" s="172" t="s">
        <v>3681</v>
      </c>
      <c r="D129" s="171" t="s">
        <v>2118</v>
      </c>
      <c r="E129" s="173">
        <f>IF(SUMIF('Staff data'!B:B,'Base MFF calcs'!B129,'Staff data'!O:O)=0,VLOOKUP(D129,'PCT data'!$B$3:$I$159,7,FALSE),SUMIF('Staff data'!B:B,'Base MFF calcs'!B129,'Staff data'!O:O))</f>
        <v>0.93122166785733773</v>
      </c>
      <c r="F129" s="174">
        <f>VLOOKUP(B129,'M&amp;D data'!$C$13:$G$266,5,FALSE)</f>
        <v>0.99619990923086066</v>
      </c>
      <c r="G129" s="173">
        <f>IF(SUMIF('Buildings data'!B:B,'Base MFF calcs'!B129,'Buildings data'!L:L)=0,VLOOKUP(D129,'PCT data'!$B$3:$K$154,10,FALSE),SUMIF('Buildings data'!B:B,'Base MFF calcs'!B129,'Buildings data'!L:L))</f>
        <v>0.92330381418167207</v>
      </c>
      <c r="H129" s="174">
        <f>IF(ISNA(VLOOKUP(B129,'Land data'!$B$2:$J$240,9,FALSE)),SUMIF('PCT data'!$F$3:$F$159,'Base MFF calcs'!B129,'PCT data'!$R$3:$R$159)/SUMIF('PCT data'!$F$3:$F$159,'Base MFF calcs'!B129,'PCT data'!$D$3:$D$159),VLOOKUP(B129,'Land data'!$B$2:$J$240,9,FALSE))</f>
        <v>0.26523523141266753</v>
      </c>
      <c r="I129" s="452">
        <f t="shared" si="1"/>
        <v>0.95636608083685104</v>
      </c>
    </row>
    <row r="130" spans="1:9" ht="12.75" customHeight="1" x14ac:dyDescent="0.2">
      <c r="A130" s="451" t="s">
        <v>191</v>
      </c>
      <c r="B130" s="172" t="s">
        <v>3682</v>
      </c>
      <c r="C130" s="172" t="s">
        <v>3683</v>
      </c>
      <c r="D130" s="171" t="s">
        <v>201</v>
      </c>
      <c r="E130" s="173">
        <f>IF(SUMIF('Staff data'!B:B,'Base MFF calcs'!B130,'Staff data'!O:O)=0,VLOOKUP(D130,'PCT data'!$B$3:$I$159,7,FALSE),SUMIF('Staff data'!B:B,'Base MFF calcs'!B130,'Staff data'!O:O))</f>
        <v>1.0309622839649819</v>
      </c>
      <c r="F130" s="174">
        <f>VLOOKUP(B130,'M&amp;D data'!$C$13:$G$266,5,FALSE)</f>
        <v>0.99619990923086066</v>
      </c>
      <c r="G130" s="173">
        <f>IF(SUMIF('Buildings data'!B:B,'Base MFF calcs'!B130,'Buildings data'!L:L)=0,VLOOKUP(D130,'PCT data'!$B$3:$K$154,10,FALSE),SUMIF('Buildings data'!B:B,'Base MFF calcs'!B130,'Buildings data'!L:L))</f>
        <v>0.99510923830215869</v>
      </c>
      <c r="H130" s="174">
        <f>IF(ISNA(VLOOKUP(B130,'Land data'!$B$2:$J$240,9,FALSE)),SUMIF('PCT data'!$F$3:$F$159,'Base MFF calcs'!B130,'PCT data'!$R$3:$R$159)/SUMIF('PCT data'!$F$3:$F$159,'Base MFF calcs'!B130,'PCT data'!$D$3:$D$159),VLOOKUP(B130,'Land data'!$B$2:$J$240,9,FALSE))</f>
        <v>1.650176027018496</v>
      </c>
      <c r="I130" s="452">
        <f t="shared" si="1"/>
        <v>1.0192582936765897</v>
      </c>
    </row>
    <row r="131" spans="1:9" ht="12.75" customHeight="1" x14ac:dyDescent="0.2">
      <c r="A131" s="451" t="s">
        <v>191</v>
      </c>
      <c r="B131" s="172" t="s">
        <v>3684</v>
      </c>
      <c r="C131" s="482" t="s">
        <v>1306</v>
      </c>
      <c r="D131" s="171" t="s">
        <v>201</v>
      </c>
      <c r="E131" s="173">
        <f>IF(SUMIF('Staff data'!B:B,'Base MFF calcs'!B131,'Staff data'!O:O)=0,VLOOKUP(D131,'PCT data'!$B$3:$I$159,7,FALSE),SUMIF('Staff data'!B:B,'Base MFF calcs'!B131,'Staff data'!O:O))</f>
        <v>1.0480488522336004</v>
      </c>
      <c r="F131" s="174">
        <f>VLOOKUP(B131,'M&amp;D data'!$C$13:$G$266,5,FALSE)</f>
        <v>0.99619990923086066</v>
      </c>
      <c r="G131" s="173">
        <f>IF(SUMIF('Buildings data'!B:B,'Base MFF calcs'!B131,'Buildings data'!L:L)=0,VLOOKUP(D131,'PCT data'!$B$3:$K$154,10,FALSE),SUMIF('Buildings data'!B:B,'Base MFF calcs'!B131,'Buildings data'!L:L))</f>
        <v>1.0130957047484759</v>
      </c>
      <c r="H131" s="174">
        <f>IF(ISNA(VLOOKUP(B131,'Land data'!$B$2:$J$240,9,FALSE)),SUMIF('PCT data'!$F$3:$F$159,'Base MFF calcs'!B131,'PCT data'!$R$3:$R$159)/SUMIF('PCT data'!$F$3:$F$159,'Base MFF calcs'!B131,'PCT data'!$D$3:$D$159),VLOOKUP(B131,'Land data'!$B$2:$J$240,9,FALSE))</f>
        <v>1.5809928038578962</v>
      </c>
      <c r="I131" s="452">
        <f t="shared" si="1"/>
        <v>1.0288103438797267</v>
      </c>
    </row>
    <row r="132" spans="1:9" ht="12.75" customHeight="1" x14ac:dyDescent="0.2">
      <c r="A132" s="451" t="s">
        <v>191</v>
      </c>
      <c r="B132" s="172" t="s">
        <v>3686</v>
      </c>
      <c r="C132" s="172" t="s">
        <v>3687</v>
      </c>
      <c r="D132" s="171" t="s">
        <v>201</v>
      </c>
      <c r="E132" s="173">
        <f>IF(SUMIF('Staff data'!B:B,'Base MFF calcs'!B132,'Staff data'!O:O)=0,VLOOKUP(D132,'PCT data'!$B$3:$I$159,7,FALSE),SUMIF('Staff data'!B:B,'Base MFF calcs'!B132,'Staff data'!O:O))</f>
        <v>1.0445728380316295</v>
      </c>
      <c r="F132" s="174">
        <f>VLOOKUP(B132,'M&amp;D data'!$C$13:$G$266,5,FALSE)</f>
        <v>0.99619990923086066</v>
      </c>
      <c r="G132" s="173">
        <f>IF(SUMIF('Buildings data'!B:B,'Base MFF calcs'!B132,'Buildings data'!L:L)=0,VLOOKUP(D132,'PCT data'!$B$3:$K$154,10,FALSE),SUMIF('Buildings data'!B:B,'Base MFF calcs'!B132,'Buildings data'!L:L))</f>
        <v>1.0063871430029163</v>
      </c>
      <c r="H132" s="174">
        <f>IF(ISNA(VLOOKUP(B132,'Land data'!$B$2:$J$240,9,FALSE)),SUMIF('PCT data'!$F$3:$F$159,'Base MFF calcs'!B132,'PCT data'!$R$3:$R$159)/SUMIF('PCT data'!$F$3:$F$159,'Base MFF calcs'!B132,'PCT data'!$D$3:$D$159),VLOOKUP(B132,'Land data'!$B$2:$J$240,9,FALSE))</f>
        <v>2.1062491951610851</v>
      </c>
      <c r="I132" s="452">
        <f t="shared" si="1"/>
        <v>1.0290770121724697</v>
      </c>
    </row>
    <row r="133" spans="1:9" ht="12.75" customHeight="1" x14ac:dyDescent="0.2">
      <c r="A133" s="451" t="s">
        <v>1167</v>
      </c>
      <c r="B133" s="172" t="s">
        <v>3688</v>
      </c>
      <c r="C133" s="172" t="s">
        <v>3689</v>
      </c>
      <c r="D133" s="171" t="s">
        <v>3470</v>
      </c>
      <c r="E133" s="173">
        <f>IF(SUMIF('Staff data'!B:B,'Base MFF calcs'!B133,'Staff data'!O:O)=0,VLOOKUP(D133,'PCT data'!$B$3:$I$159,7,FALSE),SUMIF('Staff data'!B:B,'Base MFF calcs'!B133,'Staff data'!O:O))</f>
        <v>1.1556509682891525</v>
      </c>
      <c r="F133" s="174">
        <f>VLOOKUP(B133,'M&amp;D data'!$C$13:$G$266,5,FALSE)</f>
        <v>1.0185025427599708</v>
      </c>
      <c r="G133" s="173">
        <f>IF(SUMIF('Buildings data'!B:B,'Base MFF calcs'!B133,'Buildings data'!L:L)=0,VLOOKUP(D133,'PCT data'!$B$3:$K$154,10,FALSE),SUMIF('Buildings data'!B:B,'Base MFF calcs'!B133,'Buildings data'!L:L))</f>
        <v>1.1216847258918374</v>
      </c>
      <c r="H133" s="174">
        <f>IF(ISNA(VLOOKUP(B133,'Land data'!$B$2:$J$240,9,FALSE)),SUMIF('PCT data'!$F$3:$F$159,'Base MFF calcs'!B133,'PCT data'!$R$3:$R$159)/SUMIF('PCT data'!$F$3:$F$159,'Base MFF calcs'!B133,'PCT data'!$D$3:$D$159),VLOOKUP(B133,'Land data'!$B$2:$J$240,9,FALSE))</f>
        <v>0.91483279832257314</v>
      </c>
      <c r="I133" s="452">
        <f t="shared" si="1"/>
        <v>1.0909075151323882</v>
      </c>
    </row>
    <row r="134" spans="1:9" ht="12.75" customHeight="1" x14ac:dyDescent="0.2">
      <c r="A134" s="451" t="s">
        <v>1127</v>
      </c>
      <c r="B134" s="172" t="s">
        <v>3690</v>
      </c>
      <c r="C134" s="172" t="s">
        <v>3691</v>
      </c>
      <c r="D134" s="171" t="s">
        <v>1133</v>
      </c>
      <c r="E134" s="173">
        <f>IF(SUMIF('Staff data'!B:B,'Base MFF calcs'!B134,'Staff data'!O:O)=0,VLOOKUP(D134,'PCT data'!$B$3:$I$159,7,FALSE),SUMIF('Staff data'!B:B,'Base MFF calcs'!B134,'Staff data'!O:O))</f>
        <v>1.0088200002197876</v>
      </c>
      <c r="F134" s="174">
        <f>VLOOKUP(B134,'M&amp;D data'!$C$13:$G$266,5,FALSE)</f>
        <v>0.99619990923086066</v>
      </c>
      <c r="G134" s="173">
        <f>IF(SUMIF('Buildings data'!B:B,'Base MFF calcs'!B134,'Buildings data'!L:L)=0,VLOOKUP(D134,'PCT data'!$B$3:$K$154,10,FALSE),SUMIF('Buildings data'!B:B,'Base MFF calcs'!B134,'Buildings data'!L:L))</f>
        <v>0.97520705353611448</v>
      </c>
      <c r="H134" s="174">
        <f>IF(ISNA(VLOOKUP(B134,'Land data'!$B$2:$J$240,9,FALSE)),SUMIF('PCT data'!$F$3:$F$159,'Base MFF calcs'!B134,'PCT data'!$R$3:$R$159)/SUMIF('PCT data'!$F$3:$F$159,'Base MFF calcs'!B134,'PCT data'!$D$3:$D$159),VLOOKUP(B134,'Land data'!$B$2:$J$240,9,FALSE))</f>
        <v>0.31604437333212632</v>
      </c>
      <c r="I134" s="452">
        <f t="shared" si="1"/>
        <v>1.0005892229238411</v>
      </c>
    </row>
    <row r="135" spans="1:9" ht="12.75" customHeight="1" x14ac:dyDescent="0.2">
      <c r="A135" s="451" t="s">
        <v>2975</v>
      </c>
      <c r="B135" s="172" t="s">
        <v>3692</v>
      </c>
      <c r="C135" s="172" t="s">
        <v>3693</v>
      </c>
      <c r="D135" s="171" t="s">
        <v>2986</v>
      </c>
      <c r="E135" s="173">
        <f>IF(SUMIF('Staff data'!B:B,'Base MFF calcs'!B135,'Staff data'!O:O)=0,VLOOKUP(D135,'PCT data'!$B$3:$I$159,7,FALSE),SUMIF('Staff data'!B:B,'Base MFF calcs'!B135,'Staff data'!O:O))</f>
        <v>0.95521280240077977</v>
      </c>
      <c r="F135" s="174">
        <f>VLOOKUP(B135,'M&amp;D data'!$C$13:$G$266,5,FALSE)</f>
        <v>0.99619990923086066</v>
      </c>
      <c r="G135" s="173">
        <f>IF(SUMIF('Buildings data'!B:B,'Base MFF calcs'!B135,'Buildings data'!L:L)=0,VLOOKUP(D135,'PCT data'!$B$3:$K$154,10,FALSE),SUMIF('Buildings data'!B:B,'Base MFF calcs'!B135,'Buildings data'!L:L))</f>
        <v>0.91350824785180373</v>
      </c>
      <c r="H135" s="174">
        <f>IF(ISNA(VLOOKUP(B135,'Land data'!$B$2:$J$240,9,FALSE)),SUMIF('PCT data'!$F$3:$F$159,'Base MFF calcs'!B135,'PCT data'!$R$3:$R$159)/SUMIF('PCT data'!$F$3:$F$159,'Base MFF calcs'!B135,'PCT data'!$D$3:$D$159),VLOOKUP(B135,'Land data'!$B$2:$J$240,9,FALSE))</f>
        <v>0.79725964077332534</v>
      </c>
      <c r="I135" s="452">
        <f t="shared" ref="I135:I198" si="2">E135*$E$4+F135*$F$4+G135*$G$4+H135*$H$4+$I$4</f>
        <v>0.97166437761923974</v>
      </c>
    </row>
    <row r="136" spans="1:9" ht="12.75" customHeight="1" x14ac:dyDescent="0.2">
      <c r="A136" s="451" t="s">
        <v>2975</v>
      </c>
      <c r="B136" s="172" t="s">
        <v>3694</v>
      </c>
      <c r="C136" s="172" t="s">
        <v>3695</v>
      </c>
      <c r="D136" s="171" t="s">
        <v>3013</v>
      </c>
      <c r="E136" s="173">
        <f>IF(SUMIF('Staff data'!B:B,'Base MFF calcs'!B136,'Staff data'!O:O)=0,VLOOKUP(D136,'PCT data'!$B$3:$I$159,7,FALSE),SUMIF('Staff data'!B:B,'Base MFF calcs'!B136,'Staff data'!O:O))</f>
        <v>0.95797192971535616</v>
      </c>
      <c r="F136" s="174">
        <f>VLOOKUP(B136,'M&amp;D data'!$C$13:$G$266,5,FALSE)</f>
        <v>0.99619990923086066</v>
      </c>
      <c r="G136" s="173">
        <f>IF(SUMIF('Buildings data'!B:B,'Base MFF calcs'!B136,'Buildings data'!L:L)=0,VLOOKUP(D136,'PCT data'!$B$3:$K$154,10,FALSE),SUMIF('Buildings data'!B:B,'Base MFF calcs'!B136,'Buildings data'!L:L))</f>
        <v>0.90261902382192749</v>
      </c>
      <c r="H136" s="174">
        <f>IF(ISNA(VLOOKUP(B136,'Land data'!$B$2:$J$240,9,FALSE)),SUMIF('PCT data'!$F$3:$F$159,'Base MFF calcs'!B136,'PCT data'!$R$3:$R$159)/SUMIF('PCT data'!$F$3:$F$159,'Base MFF calcs'!B136,'PCT data'!$D$3:$D$159),VLOOKUP(B136,'Land data'!$B$2:$J$240,9,FALSE))</f>
        <v>1.0146435900209074</v>
      </c>
      <c r="I136" s="452">
        <f t="shared" si="2"/>
        <v>0.97386381921087417</v>
      </c>
    </row>
    <row r="137" spans="1:9" ht="12.75" customHeight="1" x14ac:dyDescent="0.2">
      <c r="A137" s="451" t="s">
        <v>1127</v>
      </c>
      <c r="B137" s="172" t="s">
        <v>3696</v>
      </c>
      <c r="C137" s="172" t="s">
        <v>3697</v>
      </c>
      <c r="D137" s="171" t="s">
        <v>1157</v>
      </c>
      <c r="E137" s="173">
        <f>IF(SUMIF('Staff data'!B:B,'Base MFF calcs'!B137,'Staff data'!O:O)=0,VLOOKUP(D137,'PCT data'!$B$3:$I$159,7,FALSE),SUMIF('Staff data'!B:B,'Base MFF calcs'!B137,'Staff data'!O:O))</f>
        <v>0.96829553074010111</v>
      </c>
      <c r="F137" s="174">
        <f>VLOOKUP(B137,'M&amp;D data'!$C$13:$G$266,5,FALSE)</f>
        <v>0.99619990923086066</v>
      </c>
      <c r="G137" s="173">
        <f>IF(SUMIF('Buildings data'!B:B,'Base MFF calcs'!B137,'Buildings data'!L:L)=0,VLOOKUP(D137,'PCT data'!$B$3:$K$154,10,FALSE),SUMIF('Buildings data'!B:B,'Base MFF calcs'!B137,'Buildings data'!L:L))</f>
        <v>0.94339115724217015</v>
      </c>
      <c r="H137" s="174">
        <f>IF(ISNA(VLOOKUP(B137,'Land data'!$B$2:$J$240,9,FALSE)),SUMIF('PCT data'!$F$3:$F$159,'Base MFF calcs'!B137,'PCT data'!$R$3:$R$159)/SUMIF('PCT data'!$F$3:$F$159,'Base MFF calcs'!B137,'PCT data'!$D$3:$D$159),VLOOKUP(B137,'Land data'!$B$2:$J$240,9,FALSE))</f>
        <v>1.3504783188143845</v>
      </c>
      <c r="I137" s="452">
        <f t="shared" si="2"/>
        <v>0.98212420512108944</v>
      </c>
    </row>
    <row r="138" spans="1:9" ht="12.75" customHeight="1" x14ac:dyDescent="0.2">
      <c r="A138" s="451" t="s">
        <v>3528</v>
      </c>
      <c r="B138" s="172" t="s">
        <v>3698</v>
      </c>
      <c r="C138" s="172" t="s">
        <v>3699</v>
      </c>
      <c r="D138" s="171" t="s">
        <v>3549</v>
      </c>
      <c r="E138" s="173">
        <f>IF(SUMIF('Staff data'!B:B,'Base MFF calcs'!B138,'Staff data'!O:O)=0,VLOOKUP(D138,'PCT data'!$B$3:$I$159,7,FALSE),SUMIF('Staff data'!B:B,'Base MFF calcs'!B138,'Staff data'!O:O))</f>
        <v>0.89936918415607359</v>
      </c>
      <c r="F138" s="174">
        <f>VLOOKUP(B138,'M&amp;D data'!$C$13:$G$266,5,FALSE)</f>
        <v>0.99619990923086066</v>
      </c>
      <c r="G138" s="173">
        <f>IF(SUMIF('Buildings data'!B:B,'Base MFF calcs'!B138,'Buildings data'!L:L)=0,VLOOKUP(D138,'PCT data'!$B$3:$K$154,10,FALSE),SUMIF('Buildings data'!B:B,'Base MFF calcs'!B138,'Buildings data'!L:L))</f>
        <v>0.94535377638704976</v>
      </c>
      <c r="H138" s="174">
        <f>IF(ISNA(VLOOKUP(B138,'Land data'!$B$2:$J$240,9,FALSE)),SUMIF('PCT data'!$F$3:$F$159,'Base MFF calcs'!B138,'PCT data'!$R$3:$R$159)/SUMIF('PCT data'!$F$3:$F$159,'Base MFF calcs'!B138,'PCT data'!$D$3:$D$159),VLOOKUP(B138,'Land data'!$B$2:$J$240,9,FALSE))</f>
        <v>0.60369559884492563</v>
      </c>
      <c r="I138" s="452">
        <f t="shared" si="2"/>
        <v>0.94097866170433075</v>
      </c>
    </row>
    <row r="139" spans="1:9" ht="12.75" customHeight="1" x14ac:dyDescent="0.2">
      <c r="A139" s="451" t="s">
        <v>3528</v>
      </c>
      <c r="B139" s="172" t="s">
        <v>3700</v>
      </c>
      <c r="C139" s="172" t="s">
        <v>3701</v>
      </c>
      <c r="D139" s="171" t="s">
        <v>3540</v>
      </c>
      <c r="E139" s="173">
        <f>IF(SUMIF('Staff data'!B:B,'Base MFF calcs'!B139,'Staff data'!O:O)=0,VLOOKUP(D139,'PCT data'!$B$3:$I$159,7,FALSE),SUMIF('Staff data'!B:B,'Base MFF calcs'!B139,'Staff data'!O:O))</f>
        <v>0.97037605888487988</v>
      </c>
      <c r="F139" s="174">
        <f>VLOOKUP(B139,'M&amp;D data'!$C$13:$G$266,5,FALSE)</f>
        <v>0.99619990923086066</v>
      </c>
      <c r="G139" s="173">
        <f>IF(SUMIF('Buildings data'!B:B,'Base MFF calcs'!B139,'Buildings data'!L:L)=0,VLOOKUP(D139,'PCT data'!$B$3:$K$154,10,FALSE),SUMIF('Buildings data'!B:B,'Base MFF calcs'!B139,'Buildings data'!L:L))</f>
        <v>1.0150114230682019</v>
      </c>
      <c r="H139" s="174">
        <f>IF(ISNA(VLOOKUP(B139,'Land data'!$B$2:$J$240,9,FALSE)),SUMIF('PCT data'!$F$3:$F$159,'Base MFF calcs'!B139,'PCT data'!$R$3:$R$159)/SUMIF('PCT data'!$F$3:$F$159,'Base MFF calcs'!B139,'PCT data'!$D$3:$D$159),VLOOKUP(B139,'Land data'!$B$2:$J$240,9,FALSE))</f>
        <v>1.9912356509716029</v>
      </c>
      <c r="I139" s="452">
        <f t="shared" si="2"/>
        <v>0.98804625194548001</v>
      </c>
    </row>
    <row r="140" spans="1:9" ht="12.75" customHeight="1" x14ac:dyDescent="0.2">
      <c r="A140" s="451" t="s">
        <v>191</v>
      </c>
      <c r="B140" s="172" t="s">
        <v>3702</v>
      </c>
      <c r="C140" s="172" t="s">
        <v>3703</v>
      </c>
      <c r="D140" s="171" t="s">
        <v>205</v>
      </c>
      <c r="E140" s="173">
        <f>IF(SUMIF('Staff data'!B:B,'Base MFF calcs'!B140,'Staff data'!O:O)=0,VLOOKUP(D140,'PCT data'!$B$3:$I$159,7,FALSE),SUMIF('Staff data'!B:B,'Base MFF calcs'!B140,'Staff data'!O:O))</f>
        <v>1.0148416363411261</v>
      </c>
      <c r="F140" s="174">
        <f>VLOOKUP(B140,'M&amp;D data'!$C$13:$G$266,5,FALSE)</f>
        <v>0.99619990923086066</v>
      </c>
      <c r="G140" s="173">
        <f>IF(SUMIF('Buildings data'!B:B,'Base MFF calcs'!B140,'Buildings data'!L:L)=0,VLOOKUP(D140,'PCT data'!$B$3:$K$154,10,FALSE),SUMIF('Buildings data'!B:B,'Base MFF calcs'!B140,'Buildings data'!L:L))</f>
        <v>0.98515814591913609</v>
      </c>
      <c r="H140" s="174">
        <f>IF(ISNA(VLOOKUP(B140,'Land data'!$B$2:$J$240,9,FALSE)),SUMIF('PCT data'!$F$3:$F$159,'Base MFF calcs'!B140,'PCT data'!$R$3:$R$159)/SUMIF('PCT data'!$F$3:$F$159,'Base MFF calcs'!B140,'PCT data'!$D$3:$D$159),VLOOKUP(B140,'Land data'!$B$2:$J$240,9,FALSE))</f>
        <v>1.3390088124134847</v>
      </c>
      <c r="I140" s="452">
        <f t="shared" si="2"/>
        <v>1.0087459726585919</v>
      </c>
    </row>
    <row r="141" spans="1:9" ht="12.75" customHeight="1" x14ac:dyDescent="0.2">
      <c r="A141" s="451" t="s">
        <v>3496</v>
      </c>
      <c r="B141" s="172" t="s">
        <v>3704</v>
      </c>
      <c r="C141" s="172" t="s">
        <v>3705</v>
      </c>
      <c r="D141" s="171" t="s">
        <v>3512</v>
      </c>
      <c r="E141" s="173">
        <f>IF(SUMIF('Staff data'!B:B,'Base MFF calcs'!B141,'Staff data'!O:O)=0,VLOOKUP(D141,'PCT data'!$B$3:$I$159,7,FALSE),SUMIF('Staff data'!B:B,'Base MFF calcs'!B141,'Staff data'!O:O))</f>
        <v>1.1038278127444074</v>
      </c>
      <c r="F141" s="174">
        <f>VLOOKUP(B141,'M&amp;D data'!$C$13:$G$266,5,FALSE)</f>
        <v>0.99619990923086066</v>
      </c>
      <c r="G141" s="173">
        <f>IF(SUMIF('Buildings data'!B:B,'Base MFF calcs'!B141,'Buildings data'!L:L)=0,VLOOKUP(D141,'PCT data'!$B$3:$K$154,10,FALSE),SUMIF('Buildings data'!B:B,'Base MFF calcs'!B141,'Buildings data'!L:L))</f>
        <v>1.0548157926002883</v>
      </c>
      <c r="H141" s="174">
        <f>IF(ISNA(VLOOKUP(B141,'Land data'!$B$2:$J$240,9,FALSE)),SUMIF('PCT data'!$F$3:$F$159,'Base MFF calcs'!B141,'PCT data'!$R$3:$R$159)/SUMIF('PCT data'!$F$3:$F$159,'Base MFF calcs'!B141,'PCT data'!$D$3:$D$159),VLOOKUP(B141,'Land data'!$B$2:$J$240,9,FALSE))</f>
        <v>1.1706471597936698</v>
      </c>
      <c r="I141" s="452">
        <f t="shared" si="2"/>
        <v>1.0587132985969907</v>
      </c>
    </row>
    <row r="142" spans="1:9" ht="12.75" customHeight="1" x14ac:dyDescent="0.2">
      <c r="A142" s="451" t="s">
        <v>2133</v>
      </c>
      <c r="B142" s="172" t="s">
        <v>3706</v>
      </c>
      <c r="C142" s="468" t="s">
        <v>1302</v>
      </c>
      <c r="D142" s="171" t="s">
        <v>2154</v>
      </c>
      <c r="E142" s="173">
        <f>IF(SUMIF('Staff data'!B:B,'Base MFF calcs'!B142,'Staff data'!O:O)=0,VLOOKUP(D142,'PCT data'!$B$3:$I$159,7,FALSE),SUMIF('Staff data'!B:B,'Base MFF calcs'!B142,'Staff data'!O:O))</f>
        <v>0.93098086503354838</v>
      </c>
      <c r="F142" s="174">
        <f>VLOOKUP(B142,'M&amp;D data'!$C$13:$G$266,5,FALSE)</f>
        <v>0.99619990923086066</v>
      </c>
      <c r="G142" s="173">
        <f>IF(SUMIF('Buildings data'!B:B,'Base MFF calcs'!B142,'Buildings data'!L:L)=0,VLOOKUP(D142,'PCT data'!$B$3:$K$154,10,FALSE),SUMIF('Buildings data'!B:B,'Base MFF calcs'!B142,'Buildings data'!L:L))</f>
        <v>0.93540268400402815</v>
      </c>
      <c r="H142" s="174">
        <f>IF(ISNA(VLOOKUP(B142,'Land data'!$B$2:$J$240,9,FALSE)),SUMIF('PCT data'!$F$3:$F$159,'Base MFF calcs'!B142,'PCT data'!$R$3:$R$159)/SUMIF('PCT data'!$F$3:$F$159,'Base MFF calcs'!B142,'PCT data'!$D$3:$D$159),VLOOKUP(B142,'Land data'!$B$2:$J$240,9,FALSE))</f>
        <v>5.416304816355421E-2</v>
      </c>
      <c r="I142" s="452">
        <f t="shared" si="2"/>
        <v>0.95561008016282867</v>
      </c>
    </row>
    <row r="143" spans="1:9" ht="12.75" customHeight="1" x14ac:dyDescent="0.2">
      <c r="A143" s="451" t="s">
        <v>3034</v>
      </c>
      <c r="B143" s="172" t="s">
        <v>3708</v>
      </c>
      <c r="C143" s="482" t="s">
        <v>1316</v>
      </c>
      <c r="D143" s="171" t="s">
        <v>3044</v>
      </c>
      <c r="E143" s="173">
        <f>IF(SUMIF('Staff data'!B:B,'Base MFF calcs'!B143,'Staff data'!O:O)=0,VLOOKUP(D143,'PCT data'!$B$3:$I$159,7,FALSE),SUMIF('Staff data'!B:B,'Base MFF calcs'!B143,'Staff data'!O:O))</f>
        <v>0.92721174932569039</v>
      </c>
      <c r="F143" s="174">
        <f>VLOOKUP(B143,'M&amp;D data'!$C$13:$G$266,5,FALSE)</f>
        <v>0.99619990923086066</v>
      </c>
      <c r="G143" s="173">
        <f>IF(SUMIF('Buildings data'!B:B,'Base MFF calcs'!B143,'Buildings data'!L:L)=0,VLOOKUP(D143,'PCT data'!$B$3:$K$154,10,FALSE),SUMIF('Buildings data'!B:B,'Base MFF calcs'!B143,'Buildings data'!L:L))</f>
        <v>1.0016015464380901</v>
      </c>
      <c r="H143" s="174">
        <f>IF(ISNA(VLOOKUP(B143,'Land data'!$B$2:$J$240,9,FALSE)),SUMIF('PCT data'!$F$3:$F$159,'Base MFF calcs'!B143,'PCT data'!$R$3:$R$159)/SUMIF('PCT data'!$F$3:$F$159,'Base MFF calcs'!B143,'PCT data'!$D$3:$D$159),VLOOKUP(B143,'Land data'!$B$2:$J$240,9,FALSE))</f>
        <v>0.66783091692174623</v>
      </c>
      <c r="I143" s="452">
        <f t="shared" si="2"/>
        <v>0.95805399136498637</v>
      </c>
    </row>
    <row r="144" spans="1:9" ht="12.75" customHeight="1" x14ac:dyDescent="0.2">
      <c r="A144" s="451" t="s">
        <v>191</v>
      </c>
      <c r="B144" s="172" t="s">
        <v>3710</v>
      </c>
      <c r="C144" s="172" t="s">
        <v>3711</v>
      </c>
      <c r="D144" s="171" t="s">
        <v>3524</v>
      </c>
      <c r="E144" s="173">
        <f>IF(SUMIF('Staff data'!B:B,'Base MFF calcs'!B144,'Staff data'!O:O)=0,VLOOKUP(D144,'PCT data'!$B$3:$I$159,7,FALSE),SUMIF('Staff data'!B:B,'Base MFF calcs'!B144,'Staff data'!O:O))</f>
        <v>1.1104432400936537</v>
      </c>
      <c r="F144" s="174">
        <f>VLOOKUP(B144,'M&amp;D data'!$C$13:$G$266,5,FALSE)</f>
        <v>0.99619990923086066</v>
      </c>
      <c r="G144" s="173">
        <f>IF(SUMIF('Buildings data'!B:B,'Base MFF calcs'!B144,'Buildings data'!L:L)=0,VLOOKUP(D144,'PCT data'!$B$3:$K$154,10,FALSE),SUMIF('Buildings data'!B:B,'Base MFF calcs'!B144,'Buildings data'!L:L))</f>
        <v>1.0349136078342451</v>
      </c>
      <c r="H144" s="174">
        <f>IF(ISNA(VLOOKUP(B144,'Land data'!$B$2:$J$240,9,FALSE)),SUMIF('PCT data'!$F$3:$F$159,'Base MFF calcs'!B144,'PCT data'!$R$3:$R$159)/SUMIF('PCT data'!$F$3:$F$159,'Base MFF calcs'!B144,'PCT data'!$D$3:$D$159),VLOOKUP(B144,'Land data'!$B$2:$J$240,9,FALSE))</f>
        <v>1.8922037202777806</v>
      </c>
      <c r="I144" s="452">
        <f t="shared" si="2"/>
        <v>1.0650500544411026</v>
      </c>
    </row>
    <row r="145" spans="1:9" ht="12.75" customHeight="1" x14ac:dyDescent="0.2">
      <c r="A145" s="451" t="s">
        <v>2975</v>
      </c>
      <c r="B145" s="172" t="s">
        <v>3712</v>
      </c>
      <c r="C145" s="482" t="s">
        <v>1303</v>
      </c>
      <c r="D145" s="171" t="s">
        <v>3010</v>
      </c>
      <c r="E145" s="173">
        <f>IF(SUMIF('Staff data'!B:B,'Base MFF calcs'!B145,'Staff data'!O:O)=0,VLOOKUP(D145,'PCT data'!$B$3:$I$159,7,FALSE),SUMIF('Staff data'!B:B,'Base MFF calcs'!B145,'Staff data'!O:O))</f>
        <v>0.95271331200120835</v>
      </c>
      <c r="F145" s="174">
        <f>VLOOKUP(B145,'M&amp;D data'!$C$13:$G$266,5,FALSE)</f>
        <v>0.99619990923086066</v>
      </c>
      <c r="G145" s="173">
        <f>IF(SUMIF('Buildings data'!B:B,'Base MFF calcs'!B145,'Buildings data'!L:L)=0,VLOOKUP(D145,'PCT data'!$B$3:$K$154,10,FALSE),SUMIF('Buildings data'!B:B,'Base MFF calcs'!B145,'Buildings data'!L:L))</f>
        <v>0.91550049923798604</v>
      </c>
      <c r="H145" s="174">
        <f>IF(ISNA(VLOOKUP(B145,'Land data'!$B$2:$J$240,9,FALSE)),SUMIF('PCT data'!$F$3:$F$159,'Base MFF calcs'!B145,'PCT data'!$R$3:$R$159)/SUMIF('PCT data'!$F$3:$F$159,'Base MFF calcs'!B145,'PCT data'!$D$3:$D$159),VLOOKUP(B145,'Land data'!$B$2:$J$240,9,FALSE))</f>
        <v>0.89966624754301827</v>
      </c>
      <c r="I145" s="452">
        <f t="shared" si="2"/>
        <v>0.97080384005677778</v>
      </c>
    </row>
    <row r="146" spans="1:9" ht="12.75" customHeight="1" x14ac:dyDescent="0.2">
      <c r="A146" s="451" t="s">
        <v>1167</v>
      </c>
      <c r="B146" s="172" t="s">
        <v>3714</v>
      </c>
      <c r="C146" s="172" t="s">
        <v>3715</v>
      </c>
      <c r="D146" s="171" t="s">
        <v>3439</v>
      </c>
      <c r="E146" s="173">
        <f>IF(SUMIF('Staff data'!B:B,'Base MFF calcs'!B146,'Staff data'!O:O)=0,VLOOKUP(D146,'PCT data'!$B$3:$I$159,7,FALSE),SUMIF('Staff data'!B:B,'Base MFF calcs'!B146,'Staff data'!O:O))</f>
        <v>1.1831284548666516</v>
      </c>
      <c r="F146" s="174">
        <f>VLOOKUP(B146,'M&amp;D data'!$C$13:$G$266,5,FALSE)</f>
        <v>1.0185025427599708</v>
      </c>
      <c r="G146" s="173">
        <f>IF(SUMIF('Buildings data'!B:B,'Base MFF calcs'!B146,'Buildings data'!L:L)=0,VLOOKUP(D146,'PCT data'!$B$3:$K$154,10,FALSE),SUMIF('Buildings data'!B:B,'Base MFF calcs'!B146,'Buildings data'!L:L))</f>
        <v>1.2209557697776923</v>
      </c>
      <c r="H146" s="174">
        <f>IF(ISNA(VLOOKUP(B146,'Land data'!$B$2:$J$240,9,FALSE)),SUMIF('PCT data'!$F$3:$F$159,'Base MFF calcs'!B146,'PCT data'!$R$3:$R$159)/SUMIF('PCT data'!$F$3:$F$159,'Base MFF calcs'!B146,'PCT data'!$D$3:$D$159),VLOOKUP(B146,'Land data'!$B$2:$J$240,9,FALSE))</f>
        <v>12.566898217389056</v>
      </c>
      <c r="I146" s="452">
        <f t="shared" si="2"/>
        <v>1.1608654427647642</v>
      </c>
    </row>
    <row r="147" spans="1:9" ht="12.75" customHeight="1" x14ac:dyDescent="0.2">
      <c r="A147" s="451" t="s">
        <v>3528</v>
      </c>
      <c r="B147" s="172" t="s">
        <v>3716</v>
      </c>
      <c r="C147" s="172" t="s">
        <v>3717</v>
      </c>
      <c r="D147" s="171" t="s">
        <v>3534</v>
      </c>
      <c r="E147" s="173">
        <f>IF(SUMIF('Staff data'!B:B,'Base MFF calcs'!B147,'Staff data'!O:O)=0,VLOOKUP(D147,'PCT data'!$B$3:$I$159,7,FALSE),SUMIF('Staff data'!B:B,'Base MFF calcs'!B147,'Staff data'!O:O))</f>
        <v>0.87455735762477205</v>
      </c>
      <c r="F147" s="174">
        <f>VLOOKUP(B147,'M&amp;D data'!$C$13:$G$266,5,FALSE)</f>
        <v>0.99619990923086066</v>
      </c>
      <c r="G147" s="173">
        <f>IF(SUMIF('Buildings data'!B:B,'Base MFF calcs'!B147,'Buildings data'!L:L)=0,VLOOKUP(D147,'PCT data'!$B$3:$K$154,10,FALSE),SUMIF('Buildings data'!B:B,'Base MFF calcs'!B147,'Buildings data'!L:L))</f>
        <v>0.97520705353611459</v>
      </c>
      <c r="H147" s="174">
        <f>IF(ISNA(VLOOKUP(B147,'Land data'!$B$2:$J$240,9,FALSE)),SUMIF('PCT data'!$F$3:$F$159,'Base MFF calcs'!B147,'PCT data'!$R$3:$R$159)/SUMIF('PCT data'!$F$3:$F$159,'Base MFF calcs'!B147,'PCT data'!$D$3:$D$159),VLOOKUP(B147,'Land data'!$B$2:$J$240,9,FALSE))</f>
        <v>0.85582706569965394</v>
      </c>
      <c r="I147" s="452">
        <f t="shared" si="2"/>
        <v>0.92927852277956413</v>
      </c>
    </row>
    <row r="148" spans="1:9" ht="12.75" customHeight="1" x14ac:dyDescent="0.2">
      <c r="A148" s="451" t="s">
        <v>3528</v>
      </c>
      <c r="B148" s="172" t="s">
        <v>3718</v>
      </c>
      <c r="C148" s="172" t="s">
        <v>3719</v>
      </c>
      <c r="D148" s="171" t="s">
        <v>3536</v>
      </c>
      <c r="E148" s="173">
        <f>IF(SUMIF('Staff data'!B:B,'Base MFF calcs'!B148,'Staff data'!O:O)=0,VLOOKUP(D148,'PCT data'!$B$3:$I$159,7,FALSE),SUMIF('Staff data'!B:B,'Base MFF calcs'!B148,'Staff data'!O:O))</f>
        <v>0.90413294889896267</v>
      </c>
      <c r="F148" s="174">
        <f>VLOOKUP(B148,'M&amp;D data'!$C$13:$G$266,5,FALSE)</f>
        <v>0.99619990923086066</v>
      </c>
      <c r="G148" s="173">
        <f>IF(SUMIF('Buildings data'!B:B,'Base MFF calcs'!B148,'Buildings data'!L:L)=0,VLOOKUP(D148,'PCT data'!$B$3:$K$154,10,FALSE),SUMIF('Buildings data'!B:B,'Base MFF calcs'!B148,'Buildings data'!L:L))</f>
        <v>0.95530486877007137</v>
      </c>
      <c r="H148" s="174">
        <f>IF(ISNA(VLOOKUP(B148,'Land data'!$B$2:$J$240,9,FALSE)),SUMIF('PCT data'!$F$3:$F$159,'Base MFF calcs'!B148,'PCT data'!$R$3:$R$159)/SUMIF('PCT data'!$F$3:$F$159,'Base MFF calcs'!B148,'PCT data'!$D$3:$D$159),VLOOKUP(B148,'Land data'!$B$2:$J$240,9,FALSE))</f>
        <v>1.0620641474010641</v>
      </c>
      <c r="I148" s="452">
        <f t="shared" si="2"/>
        <v>0.94591413447854289</v>
      </c>
    </row>
    <row r="149" spans="1:9" ht="12.75" customHeight="1" x14ac:dyDescent="0.2">
      <c r="A149" s="451" t="s">
        <v>1167</v>
      </c>
      <c r="B149" s="172" t="s">
        <v>3720</v>
      </c>
      <c r="C149" s="172" t="s">
        <v>3521</v>
      </c>
      <c r="D149" s="171" t="s">
        <v>3436</v>
      </c>
      <c r="E149" s="173">
        <f>IF(SUMIF('Staff data'!B:B,'Base MFF calcs'!B149,'Staff data'!O:O)=0,VLOOKUP(D149,'PCT data'!$B$3:$I$159,7,FALSE),SUMIF('Staff data'!B:B,'Base MFF calcs'!B149,'Staff data'!O:O))</f>
        <v>1.1949361928415665</v>
      </c>
      <c r="F149" s="174">
        <f>VLOOKUP(B149,'M&amp;D data'!$C$13:$G$266,5,FALSE)</f>
        <v>1.0185025427599708</v>
      </c>
      <c r="G149" s="173">
        <f>IF(SUMIF('Buildings data'!B:B,'Base MFF calcs'!B149,'Buildings data'!L:L)=0,VLOOKUP(D149,'PCT data'!$B$3:$K$154,10,FALSE),SUMIF('Buildings data'!B:B,'Base MFF calcs'!B149,'Buildings data'!L:L))</f>
        <v>1.2637887326437416</v>
      </c>
      <c r="H149" s="174">
        <f>IF(ISNA(VLOOKUP(B149,'Land data'!$B$2:$J$240,9,FALSE)),SUMIF('PCT data'!$F$3:$F$159,'Base MFF calcs'!B149,'PCT data'!$R$3:$R$159)/SUMIF('PCT data'!$F$3:$F$159,'Base MFF calcs'!B149,'PCT data'!$D$3:$D$159),VLOOKUP(B149,'Land data'!$B$2:$J$240,9,FALSE))</f>
        <v>9.4768637908857496</v>
      </c>
      <c r="I149" s="452">
        <f t="shared" si="2"/>
        <v>1.1546409780417339</v>
      </c>
    </row>
    <row r="150" spans="1:9" ht="12.75" customHeight="1" x14ac:dyDescent="0.2">
      <c r="A150" s="451" t="s">
        <v>2975</v>
      </c>
      <c r="B150" s="172" t="s">
        <v>3722</v>
      </c>
      <c r="C150" s="172" t="s">
        <v>3723</v>
      </c>
      <c r="D150" s="171" t="s">
        <v>2979</v>
      </c>
      <c r="E150" s="173">
        <f>IF(SUMIF('Staff data'!B:B,'Base MFF calcs'!B150,'Staff data'!O:O)=0,VLOOKUP(D150,'PCT data'!$B$3:$I$159,7,FALSE),SUMIF('Staff data'!B:B,'Base MFF calcs'!B150,'Staff data'!O:O))</f>
        <v>0.94165146937030286</v>
      </c>
      <c r="F150" s="174">
        <f>VLOOKUP(B150,'M&amp;D data'!$C$13:$G$266,5,FALSE)</f>
        <v>0.99619990923086066</v>
      </c>
      <c r="G150" s="173">
        <f>IF(SUMIF('Buildings data'!B:B,'Base MFF calcs'!B150,'Buildings data'!L:L)=0,VLOOKUP(D150,'PCT data'!$B$3:$K$154,10,FALSE),SUMIF('Buildings data'!B:B,'Base MFF calcs'!B150,'Buildings data'!L:L))</f>
        <v>0.91550049923798604</v>
      </c>
      <c r="H150" s="174">
        <f>IF(ISNA(VLOOKUP(B150,'Land data'!$B$2:$J$240,9,FALSE)),SUMIF('PCT data'!$F$3:$F$159,'Base MFF calcs'!B150,'PCT data'!$R$3:$R$159)/SUMIF('PCT data'!$F$3:$F$159,'Base MFF calcs'!B150,'PCT data'!$D$3:$D$159),VLOOKUP(B150,'Land data'!$B$2:$J$240,9,FALSE))</f>
        <v>1.0617172936328605</v>
      </c>
      <c r="I150" s="452">
        <f t="shared" si="2"/>
        <v>0.96545556889640882</v>
      </c>
    </row>
    <row r="151" spans="1:9" ht="12.75" customHeight="1" x14ac:dyDescent="0.2">
      <c r="A151" s="451" t="s">
        <v>3528</v>
      </c>
      <c r="B151" s="172" t="s">
        <v>3724</v>
      </c>
      <c r="C151" s="172" t="s">
        <v>3725</v>
      </c>
      <c r="D151" s="171" t="s">
        <v>3555</v>
      </c>
      <c r="E151" s="173">
        <f>IF(SUMIF('Staff data'!B:B,'Base MFF calcs'!B151,'Staff data'!O:O)=0,VLOOKUP(D151,'PCT data'!$B$3:$I$159,7,FALSE),SUMIF('Staff data'!B:B,'Base MFF calcs'!B151,'Staff data'!O:O))</f>
        <v>0.9904008825513253</v>
      </c>
      <c r="F151" s="174">
        <f>VLOOKUP(B151,'M&amp;D data'!$C$13:$G$266,5,FALSE)</f>
        <v>0.99619990923086066</v>
      </c>
      <c r="G151" s="173">
        <f>IF(SUMIF('Buildings data'!B:B,'Base MFF calcs'!B151,'Buildings data'!L:L)=0,VLOOKUP(D151,'PCT data'!$B$3:$K$154,10,FALSE),SUMIF('Buildings data'!B:B,'Base MFF calcs'!B151,'Buildings data'!L:L))</f>
        <v>1.0150114230682019</v>
      </c>
      <c r="H151" s="174">
        <f>IF(ISNA(VLOOKUP(B151,'Land data'!$B$2:$J$240,9,FALSE)),SUMIF('PCT data'!$F$3:$F$159,'Base MFF calcs'!B151,'PCT data'!$R$3:$R$159)/SUMIF('PCT data'!$F$3:$F$159,'Base MFF calcs'!B151,'PCT data'!$D$3:$D$159),VLOOKUP(B151,'Land data'!$B$2:$J$240,9,FALSE))</f>
        <v>6.5179210228687579</v>
      </c>
      <c r="I151" s="452">
        <f t="shared" si="2"/>
        <v>1.0193314486527596</v>
      </c>
    </row>
    <row r="152" spans="1:9" ht="12.75" customHeight="1" x14ac:dyDescent="0.2">
      <c r="A152" s="451" t="s">
        <v>1167</v>
      </c>
      <c r="B152" s="172" t="s">
        <v>3726</v>
      </c>
      <c r="C152" s="172" t="s">
        <v>3727</v>
      </c>
      <c r="D152" s="171" t="s">
        <v>3393</v>
      </c>
      <c r="E152" s="173">
        <f>IF(SUMIF('Staff data'!B:B,'Base MFF calcs'!B152,'Staff data'!O:O)=0,VLOOKUP(D152,'PCT data'!$B$3:$I$159,7,FALSE),SUMIF('Staff data'!B:B,'Base MFF calcs'!B152,'Staff data'!O:O))</f>
        <v>1.1662047271056375</v>
      </c>
      <c r="F152" s="174">
        <f>VLOOKUP(B152,'M&amp;D data'!$C$13:$G$266,5,FALSE)</f>
        <v>1.0185025427599708</v>
      </c>
      <c r="G152" s="173">
        <f>IF(SUMIF('Buildings data'!B:B,'Base MFF calcs'!B152,'Buildings data'!L:L)=0,VLOOKUP(D152,'PCT data'!$B$3:$K$154,10,FALSE),SUMIF('Buildings data'!B:B,'Base MFF calcs'!B152,'Buildings data'!L:L))</f>
        <v>1.1045712545153963</v>
      </c>
      <c r="H152" s="174">
        <f>IF(ISNA(VLOOKUP(B152,'Land data'!$B$2:$J$240,9,FALSE)),SUMIF('PCT data'!$F$3:$F$159,'Base MFF calcs'!B152,'PCT data'!$R$3:$R$159)/SUMIF('PCT data'!$F$3:$F$159,'Base MFF calcs'!B152,'PCT data'!$D$3:$D$159),VLOOKUP(B152,'Land data'!$B$2:$J$240,9,FALSE))</f>
        <v>0.19431532135163079</v>
      </c>
      <c r="I152" s="452">
        <f t="shared" si="2"/>
        <v>1.0930178967535167</v>
      </c>
    </row>
    <row r="153" spans="1:9" ht="12.75" customHeight="1" x14ac:dyDescent="0.2">
      <c r="A153" s="451" t="s">
        <v>3496</v>
      </c>
      <c r="B153" s="172" t="s">
        <v>3728</v>
      </c>
      <c r="C153" s="172" t="s">
        <v>3729</v>
      </c>
      <c r="D153" s="171" t="s">
        <v>3498</v>
      </c>
      <c r="E153" s="173">
        <f>IF(SUMIF('Staff data'!B:B,'Base MFF calcs'!B153,'Staff data'!O:O)=0,VLOOKUP(D153,'PCT data'!$B$3:$I$159,7,FALSE),SUMIF('Staff data'!B:B,'Base MFF calcs'!B153,'Staff data'!O:O))</f>
        <v>1.1238963440974656</v>
      </c>
      <c r="F153" s="174">
        <f>VLOOKUP(B153,'M&amp;D data'!$C$13:$G$266,5,FALSE)</f>
        <v>0.99619990923086066</v>
      </c>
      <c r="G153" s="173">
        <f>IF(SUMIF('Buildings data'!B:B,'Base MFF calcs'!B153,'Buildings data'!L:L)=0,VLOOKUP(D153,'PCT data'!$B$3:$K$154,10,FALSE),SUMIF('Buildings data'!B:B,'Base MFF calcs'!B153,'Buildings data'!L:L))</f>
        <v>1.1045712545153963</v>
      </c>
      <c r="H153" s="174">
        <f>IF(ISNA(VLOOKUP(B153,'Land data'!$B$2:$J$240,9,FALSE)),SUMIF('PCT data'!$F$3:$F$159,'Base MFF calcs'!B153,'PCT data'!$R$3:$R$159)/SUMIF('PCT data'!$F$3:$F$159,'Base MFF calcs'!B153,'PCT data'!$D$3:$D$159),VLOOKUP(B153,'Land data'!$B$2:$J$240,9,FALSE))</f>
        <v>1.9427778688467847</v>
      </c>
      <c r="I153" s="452">
        <f t="shared" si="2"/>
        <v>1.0745198460419412</v>
      </c>
    </row>
    <row r="154" spans="1:9" ht="12.75" customHeight="1" x14ac:dyDescent="0.2">
      <c r="A154" s="451" t="s">
        <v>3528</v>
      </c>
      <c r="B154" s="172" t="s">
        <v>3730</v>
      </c>
      <c r="C154" s="172" t="s">
        <v>3731</v>
      </c>
      <c r="D154" s="171" t="s">
        <v>3555</v>
      </c>
      <c r="E154" s="173">
        <f>IF(SUMIF('Staff data'!B:B,'Base MFF calcs'!B154,'Staff data'!O:O)=0,VLOOKUP(D154,'PCT data'!$B$3:$I$159,7,FALSE),SUMIF('Staff data'!B:B,'Base MFF calcs'!B154,'Staff data'!O:O))</f>
        <v>0.99202242885104264</v>
      </c>
      <c r="F154" s="174">
        <f>VLOOKUP(B154,'M&amp;D data'!$C$13:$G$266,5,FALSE)</f>
        <v>0.99619990923086066</v>
      </c>
      <c r="G154" s="173">
        <f>IF(SUMIF('Buildings data'!B:B,'Base MFF calcs'!B154,'Buildings data'!L:L)=0,VLOOKUP(D154,'PCT data'!$B$3:$K$154,10,FALSE),SUMIF('Buildings data'!B:B,'Base MFF calcs'!B154,'Buildings data'!L:L))</f>
        <v>1.0150114230682019</v>
      </c>
      <c r="H154" s="174">
        <f>IF(ISNA(VLOOKUP(B154,'Land data'!$B$2:$J$240,9,FALSE)),SUMIF('PCT data'!$F$3:$F$159,'Base MFF calcs'!B154,'PCT data'!$R$3:$R$159)/SUMIF('PCT data'!$F$3:$F$159,'Base MFF calcs'!B154,'PCT data'!$D$3:$D$159),VLOOKUP(B154,'Land data'!$B$2:$J$240,9,FALSE))</f>
        <v>2.2004407455875112</v>
      </c>
      <c r="I154" s="452">
        <f t="shared" si="2"/>
        <v>1.000870961604936</v>
      </c>
    </row>
    <row r="155" spans="1:9" ht="12.75" customHeight="1" x14ac:dyDescent="0.2">
      <c r="A155" s="451" t="s">
        <v>2975</v>
      </c>
      <c r="B155" s="172" t="s">
        <v>3732</v>
      </c>
      <c r="C155" s="172" t="s">
        <v>3733</v>
      </c>
      <c r="D155" s="171" t="s">
        <v>3017</v>
      </c>
      <c r="E155" s="173">
        <f>IF(SUMIF('Staff data'!B:B,'Base MFF calcs'!B155,'Staff data'!O:O)=0,VLOOKUP(D155,'PCT data'!$B$3:$I$159,7,FALSE),SUMIF('Staff data'!B:B,'Base MFF calcs'!B155,'Staff data'!O:O))</f>
        <v>0.96495873580994374</v>
      </c>
      <c r="F155" s="174">
        <f>VLOOKUP(B155,'M&amp;D data'!$C$13:$G$266,5,FALSE)</f>
        <v>0.99619990923086066</v>
      </c>
      <c r="G155" s="173">
        <f>IF(SUMIF('Buildings data'!B:B,'Base MFF calcs'!B155,'Buildings data'!L:L)=0,VLOOKUP(D155,'PCT data'!$B$3:$K$154,10,FALSE),SUMIF('Buildings data'!B:B,'Base MFF calcs'!B155,'Buildings data'!L:L))</f>
        <v>0.91550049923798604</v>
      </c>
      <c r="H155" s="174">
        <f>IF(ISNA(VLOOKUP(B155,'Land data'!$B$2:$J$240,9,FALSE)),SUMIF('PCT data'!$F$3:$F$159,'Base MFF calcs'!B155,'PCT data'!$R$3:$R$159)/SUMIF('PCT data'!$F$3:$F$159,'Base MFF calcs'!B155,'PCT data'!$D$3:$D$159),VLOOKUP(B155,'Land data'!$B$2:$J$240,9,FALSE))</f>
        <v>1.0439861626772329</v>
      </c>
      <c r="I155" s="452">
        <f t="shared" si="2"/>
        <v>0.97817522723949746</v>
      </c>
    </row>
    <row r="156" spans="1:9" ht="12.75" customHeight="1" x14ac:dyDescent="0.2">
      <c r="A156" s="451" t="s">
        <v>3528</v>
      </c>
      <c r="B156" s="172" t="s">
        <v>3734</v>
      </c>
      <c r="C156" s="172" t="s">
        <v>3735</v>
      </c>
      <c r="D156" s="171" t="s">
        <v>3532</v>
      </c>
      <c r="E156" s="173">
        <f>IF(SUMIF('Staff data'!B:B,'Base MFF calcs'!B156,'Staff data'!O:O)=0,VLOOKUP(D156,'PCT data'!$B$3:$I$159,7,FALSE),SUMIF('Staff data'!B:B,'Base MFF calcs'!B156,'Staff data'!O:O))</f>
        <v>0.99144714519050481</v>
      </c>
      <c r="F156" s="174">
        <f>VLOOKUP(B156,'M&amp;D data'!$C$13:$G$266,5,FALSE)</f>
        <v>0.99619990923086066</v>
      </c>
      <c r="G156" s="173">
        <f>IF(SUMIF('Buildings data'!B:B,'Base MFF calcs'!B156,'Buildings data'!L:L)=0,VLOOKUP(D156,'PCT data'!$B$3:$K$154,10,FALSE),SUMIF('Buildings data'!B:B,'Base MFF calcs'!B156,'Buildings data'!L:L))</f>
        <v>0.99510923830215869</v>
      </c>
      <c r="H156" s="174">
        <f>IF(ISNA(VLOOKUP(B156,'Land data'!$B$2:$J$240,9,FALSE)),SUMIF('PCT data'!$F$3:$F$159,'Base MFF calcs'!B156,'PCT data'!$R$3:$R$159)/SUMIF('PCT data'!$F$3:$F$159,'Base MFF calcs'!B156,'PCT data'!$D$3:$D$159),VLOOKUP(B156,'Land data'!$B$2:$J$240,9,FALSE))</f>
        <v>0.29333614203523706</v>
      </c>
      <c r="I156" s="452">
        <f t="shared" si="2"/>
        <v>0.99147729116142536</v>
      </c>
    </row>
    <row r="157" spans="1:9" ht="12.75" customHeight="1" x14ac:dyDescent="0.2">
      <c r="A157" s="451" t="s">
        <v>2133</v>
      </c>
      <c r="B157" s="172" t="s">
        <v>3736</v>
      </c>
      <c r="C157" s="172" t="s">
        <v>2769</v>
      </c>
      <c r="D157" s="171" t="s">
        <v>2135</v>
      </c>
      <c r="E157" s="173">
        <f>IF(SUMIF('Staff data'!B:B,'Base MFF calcs'!B157,'Staff data'!O:O)=0,VLOOKUP(D157,'PCT data'!$B$3:$I$159,7,FALSE),SUMIF('Staff data'!B:B,'Base MFF calcs'!B157,'Staff data'!O:O))</f>
        <v>0.94081488276845704</v>
      </c>
      <c r="F157" s="174">
        <f>VLOOKUP(B157,'M&amp;D data'!$C$13:$G$266,5,FALSE)</f>
        <v>0.99619990923086066</v>
      </c>
      <c r="G157" s="173">
        <f>IF(SUMIF('Buildings data'!B:B,'Base MFF calcs'!B157,'Buildings data'!L:L)=0,VLOOKUP(D157,'PCT data'!$B$3:$K$154,10,FALSE),SUMIF('Buildings data'!B:B,'Base MFF calcs'!B157,'Buildings data'!L:L))</f>
        <v>0.94535377638704965</v>
      </c>
      <c r="H157" s="174">
        <f>IF(ISNA(VLOOKUP(B157,'Land data'!$B$2:$J$240,9,FALSE)),SUMIF('PCT data'!$F$3:$F$159,'Base MFF calcs'!B157,'PCT data'!$R$3:$R$159)/SUMIF('PCT data'!$F$3:$F$159,'Base MFF calcs'!B157,'PCT data'!$D$3:$D$159),VLOOKUP(B157,'Land data'!$B$2:$J$240,9,FALSE))</f>
        <v>0.63993128484230377</v>
      </c>
      <c r="I157" s="452">
        <f t="shared" si="2"/>
        <v>0.96390087583161499</v>
      </c>
    </row>
    <row r="158" spans="1:9" ht="12.75" customHeight="1" x14ac:dyDescent="0.2">
      <c r="A158" s="451" t="s">
        <v>2133</v>
      </c>
      <c r="B158" s="172" t="s">
        <v>2770</v>
      </c>
      <c r="C158" s="552" t="s">
        <v>2394</v>
      </c>
      <c r="D158" s="171" t="s">
        <v>1113</v>
      </c>
      <c r="E158" s="173">
        <f>IF(SUMIF('Staff data'!B:B,'Base MFF calcs'!B158,'Staff data'!O:O)=0,VLOOKUP(D158,'PCT data'!$B$3:$I$159,7,FALSE),SUMIF('Staff data'!B:B,'Base MFF calcs'!B158,'Staff data'!O:O))</f>
        <v>0.93674094561039534</v>
      </c>
      <c r="F158" s="174">
        <f>VLOOKUP(B158,'M&amp;D data'!$C$13:$G$266,5,FALSE)</f>
        <v>0.99619990923086066</v>
      </c>
      <c r="G158" s="173">
        <f>IF(SUMIF('Buildings data'!B:B,'Base MFF calcs'!B158,'Buildings data'!L:L)=0,VLOOKUP(D158,'PCT data'!$B$3:$K$154,10,FALSE),SUMIF('Buildings data'!B:B,'Base MFF calcs'!B158,'Buildings data'!L:L))</f>
        <v>0.94535377638704954</v>
      </c>
      <c r="H158" s="174">
        <f>IF(ISNA(VLOOKUP(B158,'Land data'!$B$2:$J$240,9,FALSE)),SUMIF('PCT data'!$F$3:$F$159,'Base MFF calcs'!B158,'PCT data'!$R$3:$R$159)/SUMIF('PCT data'!$F$3:$F$159,'Base MFF calcs'!B158,'PCT data'!$D$3:$D$159),VLOOKUP(B158,'Land data'!$B$2:$J$240,9,FALSE))</f>
        <v>0.85529228919633837</v>
      </c>
      <c r="I158" s="452">
        <f t="shared" si="2"/>
        <v>0.96262893149497031</v>
      </c>
    </row>
    <row r="159" spans="1:9" ht="12.75" customHeight="1" x14ac:dyDescent="0.2">
      <c r="A159" s="451" t="s">
        <v>3034</v>
      </c>
      <c r="B159" s="172" t="s">
        <v>2772</v>
      </c>
      <c r="C159" s="172" t="s">
        <v>2773</v>
      </c>
      <c r="D159" s="171" t="s">
        <v>3046</v>
      </c>
      <c r="E159" s="173">
        <f>IF(SUMIF('Staff data'!B:B,'Base MFF calcs'!B159,'Staff data'!O:O)=0,VLOOKUP(D159,'PCT data'!$B$3:$I$159,7,FALSE),SUMIF('Staff data'!B:B,'Base MFF calcs'!B159,'Staff data'!O:O))</f>
        <v>0.91610940281522735</v>
      </c>
      <c r="F159" s="174">
        <f>VLOOKUP(B159,'M&amp;D data'!$C$13:$G$266,5,FALSE)</f>
        <v>0.99619990923086066</v>
      </c>
      <c r="G159" s="173">
        <f>IF(SUMIF('Buildings data'!B:B,'Base MFF calcs'!B159,'Buildings data'!L:L)=0,VLOOKUP(D159,'PCT data'!$B$3:$K$154,10,FALSE),SUMIF('Buildings data'!B:B,'Base MFF calcs'!B159,'Buildings data'!L:L))</f>
        <v>0.97520705353611459</v>
      </c>
      <c r="H159" s="174">
        <f>IF(ISNA(VLOOKUP(B159,'Land data'!$B$2:$J$240,9,FALSE)),SUMIF('PCT data'!$F$3:$F$159,'Base MFF calcs'!B159,'PCT data'!$R$3:$R$159)/SUMIF('PCT data'!$F$3:$F$159,'Base MFF calcs'!B159,'PCT data'!$D$3:$D$159),VLOOKUP(B159,'Land data'!$B$2:$J$240,9,FALSE))</f>
        <v>0.46694772499593934</v>
      </c>
      <c r="I159" s="452">
        <f t="shared" si="2"/>
        <v>0.95035377046855429</v>
      </c>
    </row>
    <row r="160" spans="1:9" ht="12.75" customHeight="1" x14ac:dyDescent="0.2">
      <c r="A160" s="451" t="s">
        <v>3034</v>
      </c>
      <c r="B160" s="172" t="s">
        <v>2774</v>
      </c>
      <c r="C160" s="552" t="s">
        <v>2395</v>
      </c>
      <c r="D160" s="171" t="s">
        <v>3061</v>
      </c>
      <c r="E160" s="173">
        <f>IF(SUMIF('Staff data'!B:B,'Base MFF calcs'!B160,'Staff data'!O:O)=0,VLOOKUP(D160,'PCT data'!$B$3:$I$159,7,FALSE),SUMIF('Staff data'!B:B,'Base MFF calcs'!B160,'Staff data'!O:O))</f>
        <v>0.92177451327074578</v>
      </c>
      <c r="F160" s="174">
        <f>VLOOKUP(B160,'M&amp;D data'!$C$13:$G$266,5,FALSE)</f>
        <v>0.99619990923086066</v>
      </c>
      <c r="G160" s="173">
        <f>IF(SUMIF('Buildings data'!B:B,'Base MFF calcs'!B160,'Buildings data'!L:L)=0,VLOOKUP(D160,'PCT data'!$B$3:$K$154,10,FALSE),SUMIF('Buildings data'!B:B,'Base MFF calcs'!B160,'Buildings data'!L:L))</f>
        <v>0.9851581459191362</v>
      </c>
      <c r="H160" s="174">
        <f>IF(ISNA(VLOOKUP(B160,'Land data'!$B$2:$J$240,9,FALSE)),SUMIF('PCT data'!$F$3:$F$159,'Base MFF calcs'!B160,'PCT data'!$R$3:$R$159)/SUMIF('PCT data'!$F$3:$F$159,'Base MFF calcs'!B160,'PCT data'!$D$3:$D$159),VLOOKUP(B160,'Land data'!$B$2:$J$240,9,FALSE))</f>
        <v>0.65607866575327878</v>
      </c>
      <c r="I160" s="452">
        <f t="shared" si="2"/>
        <v>0.95457749157257821</v>
      </c>
    </row>
    <row r="161" spans="1:9" ht="12.75" customHeight="1" x14ac:dyDescent="0.2">
      <c r="A161" s="451" t="s">
        <v>3034</v>
      </c>
      <c r="B161" s="172" t="s">
        <v>2776</v>
      </c>
      <c r="C161" s="172" t="s">
        <v>2777</v>
      </c>
      <c r="D161" s="171" t="s">
        <v>3061</v>
      </c>
      <c r="E161" s="173">
        <f>IF(SUMIF('Staff data'!B:B,'Base MFF calcs'!B161,'Staff data'!O:O)=0,VLOOKUP(D161,'PCT data'!$B$3:$I$159,7,FALSE),SUMIF('Staff data'!B:B,'Base MFF calcs'!B161,'Staff data'!O:O))</f>
        <v>0.92025269393558384</v>
      </c>
      <c r="F161" s="174">
        <f>VLOOKUP(B161,'M&amp;D data'!$C$13:$G$266,5,FALSE)</f>
        <v>0.99619990923086066</v>
      </c>
      <c r="G161" s="173">
        <f>IF(SUMIF('Buildings data'!B:B,'Base MFF calcs'!B161,'Buildings data'!L:L)=0,VLOOKUP(D161,'PCT data'!$B$3:$K$154,10,FALSE),SUMIF('Buildings data'!B:B,'Base MFF calcs'!B161,'Buildings data'!L:L))</f>
        <v>0.98515814591913597</v>
      </c>
      <c r="H161" s="174">
        <f>IF(ISNA(VLOOKUP(B161,'Land data'!$B$2:$J$240,9,FALSE)),SUMIF('PCT data'!$F$3:$F$159,'Base MFF calcs'!B161,'PCT data'!$R$3:$R$159)/SUMIF('PCT data'!$F$3:$F$159,'Base MFF calcs'!B161,'PCT data'!$D$3:$D$159),VLOOKUP(B161,'Land data'!$B$2:$J$240,9,FALSE))</f>
        <v>1.3002433058503493</v>
      </c>
      <c r="I161" s="452">
        <f t="shared" si="2"/>
        <v>0.9566289353591575</v>
      </c>
    </row>
    <row r="162" spans="1:9" ht="12.75" customHeight="1" x14ac:dyDescent="0.2">
      <c r="A162" s="451" t="s">
        <v>3034</v>
      </c>
      <c r="B162" s="172" t="s">
        <v>2778</v>
      </c>
      <c r="C162" s="172" t="s">
        <v>2779</v>
      </c>
      <c r="D162" s="171" t="s">
        <v>3061</v>
      </c>
      <c r="E162" s="173">
        <f>IF(SUMIF('Staff data'!B:B,'Base MFF calcs'!B162,'Staff data'!O:O)=0,VLOOKUP(D162,'PCT data'!$B$3:$I$159,7,FALSE),SUMIF('Staff data'!B:B,'Base MFF calcs'!B162,'Staff data'!O:O))</f>
        <v>0.92072272502999442</v>
      </c>
      <c r="F162" s="174">
        <f>VLOOKUP(B162,'M&amp;D data'!$C$13:$G$266,5,FALSE)</f>
        <v>0.99619990923086066</v>
      </c>
      <c r="G162" s="173">
        <f>IF(SUMIF('Buildings data'!B:B,'Base MFF calcs'!B162,'Buildings data'!L:L)=0,VLOOKUP(D162,'PCT data'!$B$3:$K$154,10,FALSE),SUMIF('Buildings data'!B:B,'Base MFF calcs'!B162,'Buildings data'!L:L))</f>
        <v>0.9851581459191362</v>
      </c>
      <c r="H162" s="174">
        <f>IF(ISNA(VLOOKUP(B162,'Land data'!$B$2:$J$240,9,FALSE)),SUMIF('PCT data'!$F$3:$F$159,'Base MFF calcs'!B162,'PCT data'!$R$3:$R$159)/SUMIF('PCT data'!$F$3:$F$159,'Base MFF calcs'!B162,'PCT data'!$D$3:$D$159),VLOOKUP(B162,'Land data'!$B$2:$J$240,9,FALSE))</f>
        <v>0.56220210035471208</v>
      </c>
      <c r="I162" s="452">
        <f t="shared" si="2"/>
        <v>0.95357914963469814</v>
      </c>
    </row>
    <row r="163" spans="1:9" ht="12.75" customHeight="1" x14ac:dyDescent="0.2">
      <c r="A163" s="451" t="s">
        <v>3069</v>
      </c>
      <c r="B163" s="172" t="s">
        <v>2780</v>
      </c>
      <c r="C163" s="172" t="s">
        <v>2781</v>
      </c>
      <c r="D163" s="171" t="s">
        <v>2130</v>
      </c>
      <c r="E163" s="173">
        <f>IF(SUMIF('Staff data'!B:B,'Base MFF calcs'!B163,'Staff data'!O:O)=0,VLOOKUP(D163,'PCT data'!$B$3:$I$159,7,FALSE),SUMIF('Staff data'!B:B,'Base MFF calcs'!B163,'Staff data'!O:O))</f>
        <v>0.92754993272126374</v>
      </c>
      <c r="F163" s="174">
        <f>VLOOKUP(B163,'M&amp;D data'!$C$13:$G$266,5,FALSE)</f>
        <v>0.99619990923086066</v>
      </c>
      <c r="G163" s="173">
        <f>IF(SUMIF('Buildings data'!B:B,'Base MFF calcs'!B163,'Buildings data'!L:L)=0,VLOOKUP(D163,'PCT data'!$B$3:$K$154,10,FALSE),SUMIF('Buildings data'!B:B,'Base MFF calcs'!B163,'Buildings data'!L:L))</f>
        <v>0.89559831447194282</v>
      </c>
      <c r="H163" s="174">
        <f>IF(ISNA(VLOOKUP(B163,'Land data'!$B$2:$J$240,9,FALSE)),SUMIF('PCT data'!$F$3:$F$159,'Base MFF calcs'!B163,'PCT data'!$R$3:$R$159)/SUMIF('PCT data'!$F$3:$F$159,'Base MFF calcs'!B163,'PCT data'!$D$3:$D$159),VLOOKUP(B163,'Land data'!$B$2:$J$240,9,FALSE))</f>
        <v>0.6742005424052856</v>
      </c>
      <c r="I163" s="452">
        <f t="shared" si="2"/>
        <v>0.95544478497158813</v>
      </c>
    </row>
    <row r="164" spans="1:9" ht="12.75" customHeight="1" x14ac:dyDescent="0.2">
      <c r="A164" s="451" t="s">
        <v>2133</v>
      </c>
      <c r="B164" s="172" t="s">
        <v>2782</v>
      </c>
      <c r="C164" s="172" t="s">
        <v>2783</v>
      </c>
      <c r="D164" s="171" t="s">
        <v>2154</v>
      </c>
      <c r="E164" s="173">
        <f>IF(SUMIF('Staff data'!B:B,'Base MFF calcs'!B164,'Staff data'!O:O)=0,VLOOKUP(D164,'PCT data'!$B$3:$I$159,7,FALSE),SUMIF('Staff data'!B:B,'Base MFF calcs'!B164,'Staff data'!O:O))</f>
        <v>0.91377085940408886</v>
      </c>
      <c r="F164" s="174">
        <f>VLOOKUP(B164,'M&amp;D data'!$C$13:$G$266,5,FALSE)</f>
        <v>0.99619990923086066</v>
      </c>
      <c r="G164" s="173">
        <f>IF(SUMIF('Buildings data'!B:B,'Base MFF calcs'!B164,'Buildings data'!L:L)=0,VLOOKUP(D164,'PCT data'!$B$3:$K$154,10,FALSE),SUMIF('Buildings data'!B:B,'Base MFF calcs'!B164,'Buildings data'!L:L))</f>
        <v>0.92718710208680366</v>
      </c>
      <c r="H164" s="174">
        <f>IF(ISNA(VLOOKUP(B164,'Land data'!$B$2:$J$240,9,FALSE)),SUMIF('PCT data'!$F$3:$F$159,'Base MFF calcs'!B164,'PCT data'!$R$3:$R$159)/SUMIF('PCT data'!$F$3:$F$159,'Base MFF calcs'!B164,'PCT data'!$D$3:$D$159),VLOOKUP(B164,'Land data'!$B$2:$J$240,9,FALSE))</f>
        <v>1.1029012458899965</v>
      </c>
      <c r="I164" s="452">
        <f t="shared" si="2"/>
        <v>0.95064086610629017</v>
      </c>
    </row>
    <row r="165" spans="1:9" ht="12.75" customHeight="1" x14ac:dyDescent="0.2">
      <c r="A165" s="451" t="s">
        <v>3528</v>
      </c>
      <c r="B165" s="172" t="s">
        <v>2787</v>
      </c>
      <c r="C165" s="172" t="s">
        <v>2788</v>
      </c>
      <c r="D165" s="171" t="s">
        <v>3559</v>
      </c>
      <c r="E165" s="173">
        <f>IF(SUMIF('Staff data'!B:B,'Base MFF calcs'!B165,'Staff data'!O:O)=0,VLOOKUP(D165,'PCT data'!$B$3:$I$159,7,FALSE),SUMIF('Staff data'!B:B,'Base MFF calcs'!B165,'Staff data'!O:O))</f>
        <v>0.92755022513284735</v>
      </c>
      <c r="F165" s="174">
        <f>VLOOKUP(B165,'M&amp;D data'!$C$13:$G$266,5,FALSE)</f>
        <v>0.99619990923086066</v>
      </c>
      <c r="G165" s="173">
        <f>IF(SUMIF('Buildings data'!B:B,'Base MFF calcs'!B165,'Buildings data'!L:L)=0,VLOOKUP(D165,'PCT data'!$B$3:$K$154,10,FALSE),SUMIF('Buildings data'!B:B,'Base MFF calcs'!B165,'Buildings data'!L:L))</f>
        <v>0.96525596115309298</v>
      </c>
      <c r="H165" s="174">
        <f>IF(ISNA(VLOOKUP(B165,'Land data'!$B$2:$J$240,9,FALSE)),SUMIF('PCT data'!$F$3:$F$159,'Base MFF calcs'!B165,'PCT data'!$R$3:$R$159)/SUMIF('PCT data'!$F$3:$F$159,'Base MFF calcs'!B165,'PCT data'!$D$3:$D$159),VLOOKUP(B165,'Land data'!$B$2:$J$240,9,FALSE))</f>
        <v>1.1344701987844186</v>
      </c>
      <c r="I165" s="452">
        <f t="shared" si="2"/>
        <v>0.95936325353378815</v>
      </c>
    </row>
    <row r="166" spans="1:9" ht="12.75" customHeight="1" x14ac:dyDescent="0.2">
      <c r="A166" s="451" t="s">
        <v>3528</v>
      </c>
      <c r="B166" s="172" t="s">
        <v>2790</v>
      </c>
      <c r="C166" s="172" t="s">
        <v>2791</v>
      </c>
      <c r="D166" s="171" t="s">
        <v>3561</v>
      </c>
      <c r="E166" s="173">
        <f>IF(SUMIF('Staff data'!B:B,'Base MFF calcs'!B166,'Staff data'!O:O)=0,VLOOKUP(D166,'PCT data'!$B$3:$I$159,7,FALSE),SUMIF('Staff data'!B:B,'Base MFF calcs'!B166,'Staff data'!O:O))</f>
        <v>0.89162818046971637</v>
      </c>
      <c r="F166" s="174">
        <f>VLOOKUP(B166,'M&amp;D data'!$C$13:$G$266,5,FALSE)</f>
        <v>0.99619990923086066</v>
      </c>
      <c r="G166" s="173">
        <f>IF(SUMIF('Buildings data'!B:B,'Base MFF calcs'!B166,'Buildings data'!L:L)=0,VLOOKUP(D166,'PCT data'!$B$3:$K$154,10,FALSE),SUMIF('Buildings data'!B:B,'Base MFF calcs'!B166,'Buildings data'!L:L))</f>
        <v>0.97520705353611448</v>
      </c>
      <c r="H166" s="174">
        <f>IF(ISNA(VLOOKUP(B166,'Land data'!$B$2:$J$240,9,FALSE)),SUMIF('PCT data'!$F$3:$F$159,'Base MFF calcs'!B166,'PCT data'!$R$3:$R$159)/SUMIF('PCT data'!$F$3:$F$159,'Base MFF calcs'!B166,'PCT data'!$D$3:$D$159),VLOOKUP(B166,'Land data'!$B$2:$J$240,9,FALSE))</f>
        <v>0.90943440281421639</v>
      </c>
      <c r="I166" s="452">
        <f t="shared" si="2"/>
        <v>0.93889319227980539</v>
      </c>
    </row>
    <row r="167" spans="1:9" ht="12.75" customHeight="1" x14ac:dyDescent="0.2">
      <c r="A167" s="451" t="s">
        <v>3496</v>
      </c>
      <c r="B167" s="172" t="s">
        <v>545</v>
      </c>
      <c r="C167" s="172" t="s">
        <v>2327</v>
      </c>
      <c r="D167" s="171" t="s">
        <v>3500</v>
      </c>
      <c r="E167" s="173">
        <f>IF(SUMIF('Staff data'!B:B,'Base MFF calcs'!B167,'Staff data'!O:O)=0,VLOOKUP(D167,'PCT data'!$B$3:$I$159,7,FALSE),SUMIF('Staff data'!B:B,'Base MFF calcs'!B167,'Staff data'!O:O))</f>
        <v>0.98250235419250864</v>
      </c>
      <c r="F167" s="174">
        <f>VLOOKUP(B167,'M&amp;D data'!$C$13:$G$266,5,FALSE)</f>
        <v>0.99619990923086066</v>
      </c>
      <c r="G167" s="173">
        <f>IF(SUMIF('Buildings data'!B:B,'Base MFF calcs'!B167,'Buildings data'!L:L)=0,VLOOKUP(D167,'PCT data'!$B$3:$K$154,10,FALSE),SUMIF('Buildings data'!B:B,'Base MFF calcs'!B167,'Buildings data'!L:L))</f>
        <v>1.0699029326648692</v>
      </c>
      <c r="H167" s="174">
        <f>IF(ISNA(VLOOKUP(B167,'Land data'!$B$2:$J$240,9,FALSE)),SUMIF('PCT data'!$F$3:$F$159,'Base MFF calcs'!B167,'PCT data'!$R$3:$R$159)/SUMIF('PCT data'!$F$3:$F$159,'Base MFF calcs'!B167,'PCT data'!$D$3:$D$159),VLOOKUP(B167,'Land data'!$B$2:$J$240,9,FALSE))</f>
        <v>0.94107069904949969</v>
      </c>
      <c r="I167" s="452">
        <f t="shared" si="2"/>
        <v>0.99146060884407028</v>
      </c>
    </row>
    <row r="168" spans="1:9" ht="12.75" customHeight="1" x14ac:dyDescent="0.2">
      <c r="A168" s="451" t="s">
        <v>1127</v>
      </c>
      <c r="B168" s="172" t="s">
        <v>548</v>
      </c>
      <c r="C168" s="172" t="s">
        <v>549</v>
      </c>
      <c r="D168" s="171" t="s">
        <v>1151</v>
      </c>
      <c r="E168" s="173">
        <f>IF(SUMIF('Staff data'!B:B,'Base MFF calcs'!B168,'Staff data'!O:O)=0,VLOOKUP(D168,'PCT data'!$B$3:$I$159,7,FALSE),SUMIF('Staff data'!B:B,'Base MFF calcs'!B168,'Staff data'!O:O))</f>
        <v>1.0420797248259008</v>
      </c>
      <c r="F168" s="174">
        <f>VLOOKUP(B168,'M&amp;D data'!$C$13:$G$266,5,FALSE)</f>
        <v>0.99619990923086066</v>
      </c>
      <c r="G168" s="173">
        <f>IF(SUMIF('Buildings data'!B:B,'Base MFF calcs'!B168,'Buildings data'!L:L)=0,VLOOKUP(D168,'PCT data'!$B$3:$K$154,10,FALSE),SUMIF('Buildings data'!B:B,'Base MFF calcs'!B168,'Buildings data'!L:L))</f>
        <v>1.0391999417449584</v>
      </c>
      <c r="H168" s="174">
        <f>IF(ISNA(VLOOKUP(B168,'Land data'!$B$2:$J$240,9,FALSE)),SUMIF('PCT data'!$F$3:$F$159,'Base MFF calcs'!B168,'PCT data'!$R$3:$R$159)/SUMIF('PCT data'!$F$3:$F$159,'Base MFF calcs'!B168,'PCT data'!$D$3:$D$159),VLOOKUP(B168,'Land data'!$B$2:$J$240,9,FALSE))</f>
        <v>1.3264906214257421</v>
      </c>
      <c r="I168" s="452">
        <f t="shared" si="2"/>
        <v>1.0250870366064653</v>
      </c>
    </row>
    <row r="169" spans="1:9" ht="12.75" customHeight="1" x14ac:dyDescent="0.2">
      <c r="A169" s="451" t="s">
        <v>1167</v>
      </c>
      <c r="B169" s="172" t="s">
        <v>550</v>
      </c>
      <c r="C169" s="172" t="s">
        <v>551</v>
      </c>
      <c r="D169" s="171" t="s">
        <v>3447</v>
      </c>
      <c r="E169" s="173">
        <f>IF(SUMIF('Staff data'!B:B,'Base MFF calcs'!B169,'Staff data'!O:O)=0,VLOOKUP(D169,'PCT data'!$B$3:$I$159,7,FALSE),SUMIF('Staff data'!B:B,'Base MFF calcs'!B169,'Staff data'!O:O))</f>
        <v>1.1845450974533378</v>
      </c>
      <c r="F169" s="174">
        <f>VLOOKUP(B169,'M&amp;D data'!$C$13:$G$266,5,FALSE)</f>
        <v>1.0185025427599708</v>
      </c>
      <c r="G169" s="173">
        <f>IF(SUMIF('Buildings data'!B:B,'Base MFF calcs'!B169,'Buildings data'!L:L)=0,VLOOKUP(D169,'PCT data'!$B$3:$K$154,10,FALSE),SUMIF('Buildings data'!B:B,'Base MFF calcs'!B169,'Buildings data'!L:L))</f>
        <v>1.1667711976499033</v>
      </c>
      <c r="H169" s="174">
        <f>IF(ISNA(VLOOKUP(B169,'Land data'!$B$2:$J$240,9,FALSE)),SUMIF('PCT data'!$F$3:$F$159,'Base MFF calcs'!B169,'PCT data'!$R$3:$R$159)/SUMIF('PCT data'!$F$3:$F$159,'Base MFF calcs'!B169,'PCT data'!$D$3:$D$159),VLOOKUP(B169,'Land data'!$B$2:$J$240,9,FALSE))</f>
        <v>0.57982900126367698</v>
      </c>
      <c r="I169" s="452">
        <f t="shared" si="2"/>
        <v>1.1064740775964723</v>
      </c>
    </row>
    <row r="170" spans="1:9" ht="12.75" customHeight="1" x14ac:dyDescent="0.2">
      <c r="A170" s="451" t="s">
        <v>1167</v>
      </c>
      <c r="B170" s="172" t="s">
        <v>552</v>
      </c>
      <c r="C170" s="172" t="s">
        <v>553</v>
      </c>
      <c r="D170" s="171" t="s">
        <v>3474</v>
      </c>
      <c r="E170" s="173">
        <f>IF(SUMIF('Staff data'!B:B,'Base MFF calcs'!B170,'Staff data'!O:O)=0,VLOOKUP(D170,'PCT data'!$B$3:$I$159,7,FALSE),SUMIF('Staff data'!B:B,'Base MFF calcs'!B170,'Staff data'!O:O))</f>
        <v>1.1621405908189502</v>
      </c>
      <c r="F170" s="174">
        <f>VLOOKUP(B170,'M&amp;D data'!$C$13:$G$266,5,FALSE)</f>
        <v>1.0185025427599708</v>
      </c>
      <c r="G170" s="173">
        <f>IF(SUMIF('Buildings data'!B:B,'Base MFF calcs'!B170,'Buildings data'!L:L)=0,VLOOKUP(D170,'PCT data'!$B$3:$K$154,10,FALSE),SUMIF('Buildings data'!B:B,'Base MFF calcs'!B170,'Buildings data'!L:L))</f>
        <v>1.1366282811468018</v>
      </c>
      <c r="H170" s="174">
        <f>IF(ISNA(VLOOKUP(B170,'Land data'!$B$2:$J$240,9,FALSE)),SUMIF('PCT data'!$F$3:$F$159,'Base MFF calcs'!B170,'PCT data'!$R$3:$R$159)/SUMIF('PCT data'!$F$3:$F$159,'Base MFF calcs'!B170,'PCT data'!$D$3:$D$159),VLOOKUP(B170,'Land data'!$B$2:$J$240,9,FALSE))</f>
        <v>1.5403903464401347</v>
      </c>
      <c r="I170" s="452">
        <f t="shared" si="2"/>
        <v>1.0976730576120168</v>
      </c>
    </row>
    <row r="171" spans="1:9" ht="12.75" customHeight="1" x14ac:dyDescent="0.2">
      <c r="A171" s="451" t="s">
        <v>2133</v>
      </c>
      <c r="B171" s="172" t="s">
        <v>554</v>
      </c>
      <c r="C171" s="172" t="s">
        <v>555</v>
      </c>
      <c r="D171" s="171" t="s">
        <v>2140</v>
      </c>
      <c r="E171" s="173">
        <f>IF(SUMIF('Staff data'!B:B,'Base MFF calcs'!B171,'Staff data'!O:O)=0,VLOOKUP(D171,'PCT data'!$B$3:$I$159,7,FALSE),SUMIF('Staff data'!B:B,'Base MFF calcs'!B171,'Staff data'!O:O))</f>
        <v>0.92087334518992159</v>
      </c>
      <c r="F171" s="174">
        <f>VLOOKUP(B171,'M&amp;D data'!$C$13:$G$266,5,FALSE)</f>
        <v>0.99619990923086066</v>
      </c>
      <c r="G171" s="173">
        <f>IF(SUMIF('Buildings data'!B:B,'Base MFF calcs'!B171,'Buildings data'!L:L)=0,VLOOKUP(D171,'PCT data'!$B$3:$K$154,10,FALSE),SUMIF('Buildings data'!B:B,'Base MFF calcs'!B171,'Buildings data'!L:L))</f>
        <v>0.92393156732624837</v>
      </c>
      <c r="H171" s="174">
        <f>IF(ISNA(VLOOKUP(B171,'Land data'!$B$2:$J$240,9,FALSE)),SUMIF('PCT data'!$F$3:$F$159,'Base MFF calcs'!B171,'PCT data'!$R$3:$R$159)/SUMIF('PCT data'!$F$3:$F$159,'Base MFF calcs'!B171,'PCT data'!$D$3:$D$159),VLOOKUP(B171,'Land data'!$B$2:$J$240,9,FALSE))</f>
        <v>1.337683821563783</v>
      </c>
      <c r="I171" s="452">
        <f t="shared" si="2"/>
        <v>0.95550676170326176</v>
      </c>
    </row>
    <row r="172" spans="1:9" ht="12.75" customHeight="1" x14ac:dyDescent="0.2">
      <c r="A172" s="451" t="s">
        <v>708</v>
      </c>
      <c r="B172" s="172" t="s">
        <v>556</v>
      </c>
      <c r="C172" s="172" t="s">
        <v>557</v>
      </c>
      <c r="D172" s="171" t="s">
        <v>644</v>
      </c>
      <c r="E172" s="173">
        <f>IF(SUMIF('Staff data'!B:B,'Base MFF calcs'!B172,'Staff data'!O:O)=0,VLOOKUP(D172,'PCT data'!$B$3:$I$159,7,FALSE),SUMIF('Staff data'!B:B,'Base MFF calcs'!B172,'Staff data'!O:O))</f>
        <v>0.91770673841528794</v>
      </c>
      <c r="F172" s="174">
        <f>VLOOKUP(B172,'M&amp;D data'!$C$13:$G$266,5,FALSE)</f>
        <v>0.99619990923086066</v>
      </c>
      <c r="G172" s="173">
        <f>IF(SUMIF('Buildings data'!B:B,'Base MFF calcs'!B172,'Buildings data'!L:L)=0,VLOOKUP(D172,'PCT data'!$B$3:$K$154,10,FALSE),SUMIF('Buildings data'!B:B,'Base MFF calcs'!B172,'Buildings data'!L:L))</f>
        <v>1.0000136454816797</v>
      </c>
      <c r="H172" s="174">
        <f>IF(ISNA(VLOOKUP(B172,'Land data'!$B$2:$J$240,9,FALSE)),SUMIF('PCT data'!$F$3:$F$159,'Base MFF calcs'!B172,'PCT data'!$R$3:$R$159)/SUMIF('PCT data'!$F$3:$F$159,'Base MFF calcs'!B172,'PCT data'!$D$3:$D$159),VLOOKUP(B172,'Land data'!$B$2:$J$240,9,FALSE))</f>
        <v>0.80229883911554623</v>
      </c>
      <c r="I172" s="452">
        <f t="shared" si="2"/>
        <v>0.95339472816839388</v>
      </c>
    </row>
    <row r="173" spans="1:9" ht="12.75" customHeight="1" x14ac:dyDescent="0.2">
      <c r="A173" s="451" t="s">
        <v>708</v>
      </c>
      <c r="B173" s="172" t="s">
        <v>558</v>
      </c>
      <c r="C173" s="172" t="s">
        <v>559</v>
      </c>
      <c r="D173" s="171" t="s">
        <v>646</v>
      </c>
      <c r="E173" s="173">
        <f>IF(SUMIF('Staff data'!B:B,'Base MFF calcs'!B173,'Staff data'!O:O)=0,VLOOKUP(D173,'PCT data'!$B$3:$I$159,7,FALSE),SUMIF('Staff data'!B:B,'Base MFF calcs'!B173,'Staff data'!O:O))</f>
        <v>0.91819375598144126</v>
      </c>
      <c r="F173" s="174">
        <f>VLOOKUP(B173,'M&amp;D data'!$C$13:$G$266,5,FALSE)</f>
        <v>0.99619990923086066</v>
      </c>
      <c r="G173" s="173">
        <f>IF(SUMIF('Buildings data'!B:B,'Base MFF calcs'!B173,'Buildings data'!L:L)=0,VLOOKUP(D173,'PCT data'!$B$3:$K$154,10,FALSE),SUMIF('Buildings data'!B:B,'Base MFF calcs'!B173,'Buildings data'!L:L))</f>
        <v>0.95530486877007126</v>
      </c>
      <c r="H173" s="174">
        <f>IF(ISNA(VLOOKUP(B173,'Land data'!$B$2:$J$240,9,FALSE)),SUMIF('PCT data'!$F$3:$F$159,'Base MFF calcs'!B173,'PCT data'!$R$3:$R$159)/SUMIF('PCT data'!$F$3:$F$159,'Base MFF calcs'!B173,'PCT data'!$D$3:$D$159),VLOOKUP(B173,'Land data'!$B$2:$J$240,9,FALSE))</f>
        <v>1.0472099885161077</v>
      </c>
      <c r="I173" s="452">
        <f t="shared" si="2"/>
        <v>0.95356901649942793</v>
      </c>
    </row>
    <row r="174" spans="1:9" ht="12.75" customHeight="1" x14ac:dyDescent="0.2">
      <c r="A174" s="451" t="s">
        <v>2133</v>
      </c>
      <c r="B174" s="172" t="s">
        <v>560</v>
      </c>
      <c r="C174" s="482" t="s">
        <v>1301</v>
      </c>
      <c r="D174" s="171" t="s">
        <v>2146</v>
      </c>
      <c r="E174" s="173">
        <f>IF(SUMIF('Staff data'!B:B,'Base MFF calcs'!B174,'Staff data'!O:O)=0,VLOOKUP(D174,'PCT data'!$B$3:$I$159,7,FALSE),SUMIF('Staff data'!B:B,'Base MFF calcs'!B174,'Staff data'!O:O))</f>
        <v>0.96446165267406847</v>
      </c>
      <c r="F174" s="174">
        <f>VLOOKUP(B174,'M&amp;D data'!$C$13:$G$266,5,FALSE)</f>
        <v>0.99619990923086066</v>
      </c>
      <c r="G174" s="173">
        <f>IF(SUMIF('Buildings data'!B:B,'Base MFF calcs'!B174,'Buildings data'!L:L)=0,VLOOKUP(D174,'PCT data'!$B$3:$K$154,10,FALSE),SUMIF('Buildings data'!B:B,'Base MFF calcs'!B174,'Buildings data'!L:L))</f>
        <v>0.95530486877007126</v>
      </c>
      <c r="H174" s="174">
        <f>IF(ISNA(VLOOKUP(B174,'Land data'!$B$2:$J$240,9,FALSE)),SUMIF('PCT data'!$F$3:$F$159,'Base MFF calcs'!B174,'PCT data'!$R$3:$R$159)/SUMIF('PCT data'!$F$3:$F$159,'Base MFF calcs'!B174,'PCT data'!$D$3:$D$159),VLOOKUP(B174,'Land data'!$B$2:$J$240,9,FALSE))</f>
        <v>0.98621838341512946</v>
      </c>
      <c r="I174" s="452">
        <f t="shared" si="2"/>
        <v>0.97870355618982474</v>
      </c>
    </row>
    <row r="175" spans="1:9" ht="12.75" customHeight="1" x14ac:dyDescent="0.2">
      <c r="A175" s="451" t="s">
        <v>1167</v>
      </c>
      <c r="B175" s="172" t="s">
        <v>562</v>
      </c>
      <c r="C175" s="172" t="s">
        <v>563</v>
      </c>
      <c r="D175" s="171" t="s">
        <v>3476</v>
      </c>
      <c r="E175" s="173">
        <f>IF(SUMIF('Staff data'!B:B,'Base MFF calcs'!B175,'Staff data'!O:O)=0,VLOOKUP(D175,'PCT data'!$B$3:$I$159,7,FALSE),SUMIF('Staff data'!B:B,'Base MFF calcs'!B175,'Staff data'!O:O))</f>
        <v>1.1848292256337858</v>
      </c>
      <c r="F175" s="174">
        <f>VLOOKUP(B175,'M&amp;D data'!$C$13:$G$266,5,FALSE)</f>
        <v>1.0185025427599708</v>
      </c>
      <c r="G175" s="173">
        <f>IF(SUMIF('Buildings data'!B:B,'Base MFF calcs'!B175,'Buildings data'!L:L)=0,VLOOKUP(D175,'PCT data'!$B$3:$K$154,10,FALSE),SUMIF('Buildings data'!B:B,'Base MFF calcs'!B175,'Buildings data'!L:L))</f>
        <v>1.1888841463424482</v>
      </c>
      <c r="H175" s="174">
        <f>IF(ISNA(VLOOKUP(B175,'Land data'!$B$2:$J$240,9,FALSE)),SUMIF('PCT data'!$F$3:$F$159,'Base MFF calcs'!B175,'PCT data'!$R$3:$R$159)/SUMIF('PCT data'!$F$3:$F$159,'Base MFF calcs'!B175,'PCT data'!$D$3:$D$159),VLOOKUP(B175,'Land data'!$B$2:$J$240,9,FALSE))</f>
        <v>1.7065126381810183</v>
      </c>
      <c r="I175" s="452">
        <f t="shared" si="2"/>
        <v>1.1122688975542092</v>
      </c>
    </row>
    <row r="176" spans="1:9" ht="12.75" customHeight="1" x14ac:dyDescent="0.2">
      <c r="A176" s="451" t="s">
        <v>3034</v>
      </c>
      <c r="B176" s="172" t="s">
        <v>564</v>
      </c>
      <c r="C176" s="172" t="s">
        <v>565</v>
      </c>
      <c r="D176" s="171" t="s">
        <v>3055</v>
      </c>
      <c r="E176" s="173">
        <f>IF(SUMIF('Staff data'!B:B,'Base MFF calcs'!B176,'Staff data'!O:O)=0,VLOOKUP(D176,'PCT data'!$B$3:$I$159,7,FALSE),SUMIF('Staff data'!B:B,'Base MFF calcs'!B176,'Staff data'!O:O))</f>
        <v>0.93641181985026878</v>
      </c>
      <c r="F176" s="174">
        <f>VLOOKUP(B176,'M&amp;D data'!$C$13:$G$266,5,FALSE)</f>
        <v>0.99619990923086066</v>
      </c>
      <c r="G176" s="173">
        <f>IF(SUMIF('Buildings data'!B:B,'Base MFF calcs'!B176,'Buildings data'!L:L)=0,VLOOKUP(D176,'PCT data'!$B$3:$K$154,10,FALSE),SUMIF('Buildings data'!B:B,'Base MFF calcs'!B176,'Buildings data'!L:L))</f>
        <v>0.94759501341025287</v>
      </c>
      <c r="H176" s="174">
        <f>IF(ISNA(VLOOKUP(B176,'Land data'!$B$2:$J$240,9,FALSE)),SUMIF('PCT data'!$F$3:$F$159,'Base MFF calcs'!B176,'PCT data'!$R$3:$R$159)/SUMIF('PCT data'!$F$3:$F$159,'Base MFF calcs'!B176,'PCT data'!$D$3:$D$159),VLOOKUP(B176,'Land data'!$B$2:$J$240,9,FALSE))</f>
        <v>0.45736341383417806</v>
      </c>
      <c r="I176" s="452">
        <f t="shared" si="2"/>
        <v>0.96072437171617708</v>
      </c>
    </row>
    <row r="177" spans="1:9" ht="12.75" customHeight="1" x14ac:dyDescent="0.2">
      <c r="A177" s="451" t="s">
        <v>191</v>
      </c>
      <c r="B177" s="172" t="s">
        <v>567</v>
      </c>
      <c r="C177" s="482" t="s">
        <v>1297</v>
      </c>
      <c r="D177" s="171" t="s">
        <v>3527</v>
      </c>
      <c r="E177" s="173">
        <f>IF(SUMIF('Staff data'!B:B,'Base MFF calcs'!B177,'Staff data'!O:O)=0,VLOOKUP(D177,'PCT data'!$B$3:$I$159,7,FALSE),SUMIF('Staff data'!B:B,'Base MFF calcs'!B177,'Staff data'!O:O))</f>
        <v>1.0115900019673678</v>
      </c>
      <c r="F177" s="174">
        <f>VLOOKUP(B177,'M&amp;D data'!$C$13:$G$266,5,FALSE)</f>
        <v>0.99619990923086066</v>
      </c>
      <c r="G177" s="173">
        <f>IF(SUMIF('Buildings data'!B:B,'Base MFF calcs'!B177,'Buildings data'!L:L)=0,VLOOKUP(D177,'PCT data'!$B$3:$K$154,10,FALSE),SUMIF('Buildings data'!B:B,'Base MFF calcs'!B177,'Buildings data'!L:L))</f>
        <v>1.0150114230682019</v>
      </c>
      <c r="H177" s="174">
        <f>IF(ISNA(VLOOKUP(B177,'Land data'!$B$2:$J$240,9,FALSE)),SUMIF('PCT data'!$F$3:$F$159,'Base MFF calcs'!B177,'PCT data'!$R$3:$R$159)/SUMIF('PCT data'!$F$3:$F$159,'Base MFF calcs'!B177,'PCT data'!$D$3:$D$159),VLOOKUP(B177,'Land data'!$B$2:$J$240,9,FALSE))</f>
        <v>1.2759986939546555</v>
      </c>
      <c r="I177" s="452">
        <f t="shared" si="2"/>
        <v>1.0074730961814631</v>
      </c>
    </row>
    <row r="178" spans="1:9" ht="12.75" customHeight="1" x14ac:dyDescent="0.2">
      <c r="A178" s="451" t="s">
        <v>1127</v>
      </c>
      <c r="B178" s="172" t="s">
        <v>569</v>
      </c>
      <c r="C178" s="172" t="s">
        <v>570</v>
      </c>
      <c r="D178" s="171" t="s">
        <v>1164</v>
      </c>
      <c r="E178" s="173">
        <f>IF(SUMIF('Staff data'!B:B,'Base MFF calcs'!B178,'Staff data'!O:O)=0,VLOOKUP(D178,'PCT data'!$B$3:$I$159,7,FALSE),SUMIF('Staff data'!B:B,'Base MFF calcs'!B178,'Staff data'!O:O))</f>
        <v>0.98894180185986902</v>
      </c>
      <c r="F178" s="174">
        <f>VLOOKUP(B178,'M&amp;D data'!$C$13:$G$266,5,FALSE)</f>
        <v>0.99619990923086066</v>
      </c>
      <c r="G178" s="173">
        <f>IF(SUMIF('Buildings data'!B:B,'Base MFF calcs'!B178,'Buildings data'!L:L)=0,VLOOKUP(D178,'PCT data'!$B$3:$K$154,10,FALSE),SUMIF('Buildings data'!B:B,'Base MFF calcs'!B178,'Buildings data'!L:L))</f>
        <v>1.0846690697493531</v>
      </c>
      <c r="H178" s="174">
        <f>IF(ISNA(VLOOKUP(B178,'Land data'!$B$2:$J$240,9,FALSE)),SUMIF('PCT data'!$F$3:$F$159,'Base MFF calcs'!B178,'PCT data'!$R$3:$R$159)/SUMIF('PCT data'!$F$3:$F$159,'Base MFF calcs'!B178,'PCT data'!$D$3:$D$159),VLOOKUP(B178,'Land data'!$B$2:$J$240,9,FALSE))</f>
        <v>1.6921324371193294</v>
      </c>
      <c r="I178" s="452">
        <f t="shared" si="2"/>
        <v>0.99875638229802433</v>
      </c>
    </row>
    <row r="179" spans="1:9" ht="12.75" customHeight="1" x14ac:dyDescent="0.2">
      <c r="A179" s="451" t="s">
        <v>2975</v>
      </c>
      <c r="B179" s="172" t="s">
        <v>571</v>
      </c>
      <c r="C179" s="172" t="s">
        <v>572</v>
      </c>
      <c r="D179" s="171" t="s">
        <v>3019</v>
      </c>
      <c r="E179" s="173">
        <f>IF(SUMIF('Staff data'!B:B,'Base MFF calcs'!B179,'Staff data'!O:O)=0,VLOOKUP(D179,'PCT data'!$B$3:$I$159,7,FALSE),SUMIF('Staff data'!B:B,'Base MFF calcs'!B179,'Staff data'!O:O))</f>
        <v>0.93660138258697878</v>
      </c>
      <c r="F179" s="174">
        <f>VLOOKUP(B179,'M&amp;D data'!$C$13:$G$266,5,FALSE)</f>
        <v>0.99619990923086066</v>
      </c>
      <c r="G179" s="173">
        <f>IF(SUMIF('Buildings data'!B:B,'Base MFF calcs'!B179,'Buildings data'!L:L)=0,VLOOKUP(D179,'PCT data'!$B$3:$K$154,10,FALSE),SUMIF('Buildings data'!B:B,'Base MFF calcs'!B179,'Buildings data'!L:L))</f>
        <v>0.91550049923798604</v>
      </c>
      <c r="H179" s="174">
        <f>IF(ISNA(VLOOKUP(B179,'Land data'!$B$2:$J$240,9,FALSE)),SUMIF('PCT data'!$F$3:$F$159,'Base MFF calcs'!B179,'PCT data'!$R$3:$R$159)/SUMIF('PCT data'!$F$3:$F$159,'Base MFF calcs'!B179,'PCT data'!$D$3:$D$159),VLOOKUP(B179,'Land data'!$B$2:$J$240,9,FALSE))</f>
        <v>0.40331669296034139</v>
      </c>
      <c r="I179" s="452">
        <f t="shared" si="2"/>
        <v>0.95973137306734468</v>
      </c>
    </row>
    <row r="180" spans="1:9" ht="12.75" customHeight="1" x14ac:dyDescent="0.2">
      <c r="A180" s="451" t="s">
        <v>1167</v>
      </c>
      <c r="B180" s="172" t="s">
        <v>573</v>
      </c>
      <c r="C180" s="172" t="s">
        <v>574</v>
      </c>
      <c r="D180" s="171" t="s">
        <v>3476</v>
      </c>
      <c r="E180" s="173">
        <f>IF(SUMIF('Staff data'!B:B,'Base MFF calcs'!B180,'Staff data'!O:O)=0,VLOOKUP(D180,'PCT data'!$B$3:$I$159,7,FALSE),SUMIF('Staff data'!B:B,'Base MFF calcs'!B180,'Staff data'!O:O))</f>
        <v>1.1872055964101771</v>
      </c>
      <c r="F180" s="174">
        <f>VLOOKUP(B180,'M&amp;D data'!$C$13:$G$266,5,FALSE)</f>
        <v>1.0185025427599708</v>
      </c>
      <c r="G180" s="173">
        <f>IF(SUMIF('Buildings data'!B:B,'Base MFF calcs'!B180,'Buildings data'!L:L)=0,VLOOKUP(D180,'PCT data'!$B$3:$K$154,10,FALSE),SUMIF('Buildings data'!B:B,'Base MFF calcs'!B180,'Buildings data'!L:L))</f>
        <v>1.2021165304674839</v>
      </c>
      <c r="H180" s="174">
        <f>IF(ISNA(VLOOKUP(B180,'Land data'!$B$2:$J$240,9,FALSE)),SUMIF('PCT data'!$F$3:$F$159,'Base MFF calcs'!B180,'PCT data'!$R$3:$R$159)/SUMIF('PCT data'!$F$3:$F$159,'Base MFF calcs'!B180,'PCT data'!$D$3:$D$159),VLOOKUP(B180,'Land data'!$B$2:$J$240,9,FALSE))</f>
        <v>3.7589986494967209</v>
      </c>
      <c r="I180" s="452">
        <f t="shared" si="2"/>
        <v>1.1231255757737957</v>
      </c>
    </row>
    <row r="181" spans="1:9" ht="12.75" customHeight="1" x14ac:dyDescent="0.2">
      <c r="A181" s="451" t="s">
        <v>2975</v>
      </c>
      <c r="B181" s="172" t="s">
        <v>575</v>
      </c>
      <c r="C181" s="172" t="s">
        <v>576</v>
      </c>
      <c r="D181" s="171" t="s">
        <v>3021</v>
      </c>
      <c r="E181" s="173">
        <f>IF(SUMIF('Staff data'!B:B,'Base MFF calcs'!B181,'Staff data'!O:O)=0,VLOOKUP(D181,'PCT data'!$B$3:$I$159,7,FALSE),SUMIF('Staff data'!B:B,'Base MFF calcs'!B181,'Staff data'!O:O))</f>
        <v>0.94858283559904089</v>
      </c>
      <c r="F181" s="174">
        <f>VLOOKUP(B181,'M&amp;D data'!$C$13:$G$266,5,FALSE)</f>
        <v>0.99619990923086066</v>
      </c>
      <c r="G181" s="173">
        <f>IF(SUMIF('Buildings data'!B:B,'Base MFF calcs'!B181,'Buildings data'!L:L)=0,VLOOKUP(D181,'PCT data'!$B$3:$K$154,10,FALSE),SUMIF('Buildings data'!B:B,'Base MFF calcs'!B181,'Buildings data'!L:L))</f>
        <v>0.89559831447194282</v>
      </c>
      <c r="H181" s="174">
        <f>IF(ISNA(VLOOKUP(B181,'Land data'!$B$2:$J$240,9,FALSE)),SUMIF('PCT data'!$F$3:$F$159,'Base MFF calcs'!B181,'PCT data'!$R$3:$R$159)/SUMIF('PCT data'!$F$3:$F$159,'Base MFF calcs'!B181,'PCT data'!$D$3:$D$159),VLOOKUP(B181,'Land data'!$B$2:$J$240,9,FALSE))</f>
        <v>0.50144932147755594</v>
      </c>
      <c r="I181" s="452">
        <f t="shared" si="2"/>
        <v>0.96622068167940833</v>
      </c>
    </row>
    <row r="182" spans="1:9" ht="12.75" customHeight="1" x14ac:dyDescent="0.2">
      <c r="A182" s="451" t="s">
        <v>2975</v>
      </c>
      <c r="B182" s="172" t="s">
        <v>578</v>
      </c>
      <c r="C182" s="172" t="s">
        <v>579</v>
      </c>
      <c r="D182" s="171" t="s">
        <v>3023</v>
      </c>
      <c r="E182" s="173">
        <f>IF(SUMIF('Staff data'!B:B,'Base MFF calcs'!B182,'Staff data'!O:O)=0,VLOOKUP(D182,'PCT data'!$B$3:$I$159,7,FALSE),SUMIF('Staff data'!B:B,'Base MFF calcs'!B182,'Staff data'!O:O))</f>
        <v>0.96702040100147724</v>
      </c>
      <c r="F182" s="174">
        <f>VLOOKUP(B182,'M&amp;D data'!$C$13:$G$266,5,FALSE)</f>
        <v>0.99619990923086066</v>
      </c>
      <c r="G182" s="173">
        <f>IF(SUMIF('Buildings data'!B:B,'Base MFF calcs'!B182,'Buildings data'!L:L)=0,VLOOKUP(D182,'PCT data'!$B$3:$K$154,10,FALSE),SUMIF('Buildings data'!B:B,'Base MFF calcs'!B182,'Buildings data'!L:L))</f>
        <v>0.90554940685496443</v>
      </c>
      <c r="H182" s="174">
        <f>IF(ISNA(VLOOKUP(B182,'Land data'!$B$2:$J$240,9,FALSE)),SUMIF('PCT data'!$F$3:$F$159,'Base MFF calcs'!B182,'PCT data'!$R$3:$R$159)/SUMIF('PCT data'!$F$3:$F$159,'Base MFF calcs'!B182,'PCT data'!$D$3:$D$159),VLOOKUP(B182,'Land data'!$B$2:$J$240,9,FALSE))</f>
        <v>1.1248503015888127</v>
      </c>
      <c r="I182" s="452">
        <f t="shared" si="2"/>
        <v>0.97940476488881001</v>
      </c>
    </row>
    <row r="183" spans="1:9" ht="12.75" customHeight="1" x14ac:dyDescent="0.2">
      <c r="A183" s="451" t="s">
        <v>3496</v>
      </c>
      <c r="B183" s="172" t="s">
        <v>580</v>
      </c>
      <c r="C183" s="172" t="s">
        <v>581</v>
      </c>
      <c r="D183" s="171" t="s">
        <v>3498</v>
      </c>
      <c r="E183" s="173">
        <f>IF(SUMIF('Staff data'!B:B,'Base MFF calcs'!B183,'Staff data'!O:O)=0,VLOOKUP(D183,'PCT data'!$B$3:$I$159,7,FALSE),SUMIF('Staff data'!B:B,'Base MFF calcs'!B183,'Staff data'!O:O))</f>
        <v>1.1500857335003465</v>
      </c>
      <c r="F183" s="174">
        <f>VLOOKUP(B183,'M&amp;D data'!$C$13:$G$266,5,FALSE)</f>
        <v>0.99619990923086066</v>
      </c>
      <c r="G183" s="173">
        <f>IF(SUMIF('Buildings data'!B:B,'Base MFF calcs'!B183,'Buildings data'!L:L)=0,VLOOKUP(D183,'PCT data'!$B$3:$K$154,10,FALSE),SUMIF('Buildings data'!B:B,'Base MFF calcs'!B183,'Buildings data'!L:L))</f>
        <v>1.1045712545153963</v>
      </c>
      <c r="H183" s="174">
        <f>IF(ISNA(VLOOKUP(B183,'Land data'!$B$2:$J$240,9,FALSE)),SUMIF('PCT data'!$F$3:$F$159,'Base MFF calcs'!B183,'PCT data'!$R$3:$R$159)/SUMIF('PCT data'!$F$3:$F$159,'Base MFF calcs'!B183,'PCT data'!$D$3:$D$159),VLOOKUP(B183,'Land data'!$B$2:$J$240,9,FALSE))</f>
        <v>1.0860083638659155</v>
      </c>
      <c r="I183" s="452">
        <f t="shared" si="2"/>
        <v>1.0850616435961238</v>
      </c>
    </row>
    <row r="184" spans="1:9" ht="12.75" customHeight="1" x14ac:dyDescent="0.2">
      <c r="A184" s="451" t="s">
        <v>3496</v>
      </c>
      <c r="B184" s="172" t="s">
        <v>582</v>
      </c>
      <c r="C184" s="172" t="s">
        <v>583</v>
      </c>
      <c r="D184" s="171" t="s">
        <v>3498</v>
      </c>
      <c r="E184" s="173">
        <f>IF(SUMIF('Staff data'!B:B,'Base MFF calcs'!B184,'Staff data'!O:O)=0,VLOOKUP(D184,'PCT data'!$B$3:$I$159,7,FALSE),SUMIF('Staff data'!B:B,'Base MFF calcs'!B184,'Staff data'!O:O))</f>
        <v>1.1433543691935444</v>
      </c>
      <c r="F184" s="174">
        <f>VLOOKUP(B184,'M&amp;D data'!$C$13:$G$266,5,FALSE)</f>
        <v>0.99619990923086066</v>
      </c>
      <c r="G184" s="173">
        <f>IF(SUMIF('Buildings data'!B:B,'Base MFF calcs'!B184,'Buildings data'!L:L)=0,VLOOKUP(D184,'PCT data'!$B$3:$K$154,10,FALSE),SUMIF('Buildings data'!B:B,'Base MFF calcs'!B184,'Buildings data'!L:L))</f>
        <v>1.1045712545153963</v>
      </c>
      <c r="H184" s="174">
        <f>IF(ISNA(VLOOKUP(B184,'Land data'!$B$2:$J$240,9,FALSE)),SUMIF('PCT data'!$F$3:$F$159,'Base MFF calcs'!B184,'PCT data'!$R$3:$R$159)/SUMIF('PCT data'!$F$3:$F$159,'Base MFF calcs'!B184,'PCT data'!$D$3:$D$159),VLOOKUP(B184,'Land data'!$B$2:$J$240,9,FALSE))</f>
        <v>0.53243162720078208</v>
      </c>
      <c r="I184" s="452">
        <f t="shared" si="2"/>
        <v>1.0788839990283725</v>
      </c>
    </row>
    <row r="185" spans="1:9" ht="12.75" customHeight="1" x14ac:dyDescent="0.2">
      <c r="A185" s="451" t="s">
        <v>3496</v>
      </c>
      <c r="B185" s="172" t="s">
        <v>584</v>
      </c>
      <c r="C185" s="172" t="s">
        <v>585</v>
      </c>
      <c r="D185" s="171" t="s">
        <v>3512</v>
      </c>
      <c r="E185" s="173">
        <f>IF(SUMIF('Staff data'!B:B,'Base MFF calcs'!B185,'Staff data'!O:O)=0,VLOOKUP(D185,'PCT data'!$B$3:$I$159,7,FALSE),SUMIF('Staff data'!B:B,'Base MFF calcs'!B185,'Staff data'!O:O))</f>
        <v>0.99072665691797646</v>
      </c>
      <c r="F185" s="174">
        <f>VLOOKUP(B185,'M&amp;D data'!$C$13:$G$266,5,FALSE)</f>
        <v>0.99619990923086066</v>
      </c>
      <c r="G185" s="173">
        <f>IF(SUMIF('Buildings data'!B:B,'Base MFF calcs'!B185,'Buildings data'!L:L)=0,VLOOKUP(D185,'PCT data'!$B$3:$K$154,10,FALSE),SUMIF('Buildings data'!B:B,'Base MFF calcs'!B185,'Buildings data'!L:L))</f>
        <v>1.0579762798494881</v>
      </c>
      <c r="H185" s="174">
        <f>IF(ISNA(VLOOKUP(B185,'Land data'!$B$2:$J$240,9,FALSE)),SUMIF('PCT data'!$F$3:$F$159,'Base MFF calcs'!B185,'PCT data'!$R$3:$R$159)/SUMIF('PCT data'!$F$3:$F$159,'Base MFF calcs'!B185,'PCT data'!$D$3:$D$159),VLOOKUP(B185,'Land data'!$B$2:$J$240,9,FALSE))</f>
        <v>1.4016416970915924</v>
      </c>
      <c r="I185" s="452">
        <f t="shared" si="2"/>
        <v>0.99772357059421823</v>
      </c>
    </row>
    <row r="186" spans="1:9" ht="12.75" customHeight="1" x14ac:dyDescent="0.2">
      <c r="A186" s="451" t="s">
        <v>2975</v>
      </c>
      <c r="B186" s="172" t="s">
        <v>586</v>
      </c>
      <c r="C186" s="172" t="s">
        <v>587</v>
      </c>
      <c r="D186" s="171" t="s">
        <v>3013</v>
      </c>
      <c r="E186" s="173">
        <f>IF(SUMIF('Staff data'!B:B,'Base MFF calcs'!B186,'Staff data'!O:O)=0,VLOOKUP(D186,'PCT data'!$B$3:$I$159,7,FALSE),SUMIF('Staff data'!B:B,'Base MFF calcs'!B186,'Staff data'!O:O))</f>
        <v>0.96007334809232625</v>
      </c>
      <c r="F186" s="174">
        <f>VLOOKUP(B186,'M&amp;D data'!$C$13:$G$266,5,FALSE)</f>
        <v>0.99619990923086066</v>
      </c>
      <c r="G186" s="173">
        <f>IF(SUMIF('Buildings data'!B:B,'Base MFF calcs'!B186,'Buildings data'!L:L)=0,VLOOKUP(D186,'PCT data'!$B$3:$K$154,10,FALSE),SUMIF('Buildings data'!B:B,'Base MFF calcs'!B186,'Buildings data'!L:L))</f>
        <v>0.90554940685496443</v>
      </c>
      <c r="H186" s="174">
        <f>IF(ISNA(VLOOKUP(B186,'Land data'!$B$2:$J$240,9,FALSE)),SUMIF('PCT data'!$F$3:$F$159,'Base MFF calcs'!B186,'PCT data'!$R$3:$R$159)/SUMIF('PCT data'!$F$3:$F$159,'Base MFF calcs'!B186,'PCT data'!$D$3:$D$159),VLOOKUP(B186,'Land data'!$B$2:$J$240,9,FALSE))</f>
        <v>0.94604239240576504</v>
      </c>
      <c r="I186" s="452">
        <f t="shared" si="2"/>
        <v>0.97478839008340779</v>
      </c>
    </row>
    <row r="187" spans="1:9" ht="12.75" customHeight="1" x14ac:dyDescent="0.2">
      <c r="A187" s="451" t="s">
        <v>3528</v>
      </c>
      <c r="B187" s="172" t="s">
        <v>588</v>
      </c>
      <c r="C187" s="172" t="s">
        <v>589</v>
      </c>
      <c r="D187" s="171" t="s">
        <v>3559</v>
      </c>
      <c r="E187" s="173">
        <f>IF(SUMIF('Staff data'!B:B,'Base MFF calcs'!B187,'Staff data'!O:O)=0,VLOOKUP(D187,'PCT data'!$B$3:$I$159,7,FALSE),SUMIF('Staff data'!B:B,'Base MFF calcs'!B187,'Staff data'!O:O))</f>
        <v>0.91771094017346155</v>
      </c>
      <c r="F187" s="174">
        <f>VLOOKUP(B187,'M&amp;D data'!$C$13:$G$266,5,FALSE)</f>
        <v>0.99619990923086066</v>
      </c>
      <c r="G187" s="173">
        <f>IF(SUMIF('Buildings data'!B:B,'Base MFF calcs'!B187,'Buildings data'!L:L)=0,VLOOKUP(D187,'PCT data'!$B$3:$K$154,10,FALSE),SUMIF('Buildings data'!B:B,'Base MFF calcs'!B187,'Buildings data'!L:L))</f>
        <v>0.96525596115309287</v>
      </c>
      <c r="H187" s="174">
        <f>IF(ISNA(VLOOKUP(B187,'Land data'!$B$2:$J$240,9,FALSE)),SUMIF('PCT data'!$F$3:$F$159,'Base MFF calcs'!B187,'PCT data'!$R$3:$R$159)/SUMIF('PCT data'!$F$3:$F$159,'Base MFF calcs'!B187,'PCT data'!$D$3:$D$159),VLOOKUP(B187,'Land data'!$B$2:$J$240,9,FALSE))</f>
        <v>1.113058272031203</v>
      </c>
      <c r="I187" s="452">
        <f t="shared" si="2"/>
        <v>0.95386406556451409</v>
      </c>
    </row>
    <row r="188" spans="1:9" ht="12.75" customHeight="1" x14ac:dyDescent="0.2">
      <c r="A188" s="451" t="s">
        <v>1167</v>
      </c>
      <c r="B188" s="172" t="s">
        <v>590</v>
      </c>
      <c r="C188" s="172" t="s">
        <v>591</v>
      </c>
      <c r="D188" s="171" t="s">
        <v>3436</v>
      </c>
      <c r="E188" s="173">
        <f>IF(SUMIF('Staff data'!B:B,'Base MFF calcs'!B188,'Staff data'!O:O)=0,VLOOKUP(D188,'PCT data'!$B$3:$I$159,7,FALSE),SUMIF('Staff data'!B:B,'Base MFF calcs'!B188,'Staff data'!O:O))</f>
        <v>1.2295375483432651</v>
      </c>
      <c r="F188" s="174">
        <f>VLOOKUP(B188,'M&amp;D data'!$C$13:$G$266,5,FALSE)</f>
        <v>1.0185025427599708</v>
      </c>
      <c r="G188" s="173">
        <f>IF(SUMIF('Buildings data'!B:B,'Base MFF calcs'!B188,'Buildings data'!L:L)=0,VLOOKUP(D188,'PCT data'!$B$3:$K$154,10,FALSE),SUMIF('Buildings data'!B:B,'Base MFF calcs'!B188,'Buildings data'!L:L))</f>
        <v>1.2637887326437416</v>
      </c>
      <c r="H188" s="174">
        <f>IF(ISNA(VLOOKUP(B188,'Land data'!$B$2:$J$240,9,FALSE)),SUMIF('PCT data'!$F$3:$F$159,'Base MFF calcs'!B188,'PCT data'!$R$3:$R$159)/SUMIF('PCT data'!$F$3:$F$159,'Base MFF calcs'!B188,'PCT data'!$D$3:$D$159),VLOOKUP(B188,'Land data'!$B$2:$J$240,9,FALSE))</f>
        <v>3.5414743597055001</v>
      </c>
      <c r="I188" s="452">
        <f t="shared" si="2"/>
        <v>1.1470398018093602</v>
      </c>
    </row>
    <row r="189" spans="1:9" ht="12.75" customHeight="1" x14ac:dyDescent="0.2">
      <c r="A189" s="451" t="s">
        <v>708</v>
      </c>
      <c r="B189" s="172" t="s">
        <v>592</v>
      </c>
      <c r="C189" s="172" t="s">
        <v>593</v>
      </c>
      <c r="D189" s="171" t="s">
        <v>2974</v>
      </c>
      <c r="E189" s="173">
        <f>IF(SUMIF('Staff data'!B:B,'Base MFF calcs'!B189,'Staff data'!O:O)=0,VLOOKUP(D189,'PCT data'!$B$3:$I$159,7,FALSE),SUMIF('Staff data'!B:B,'Base MFF calcs'!B189,'Staff data'!O:O))</f>
        <v>0.91589598390232552</v>
      </c>
      <c r="F189" s="174">
        <f>VLOOKUP(B189,'M&amp;D data'!$C$13:$G$266,5,FALSE)</f>
        <v>0.99619990923086066</v>
      </c>
      <c r="G189" s="173">
        <f>IF(SUMIF('Buildings data'!B:B,'Base MFF calcs'!B189,'Buildings data'!L:L)=0,VLOOKUP(D189,'PCT data'!$B$3:$K$154,10,FALSE),SUMIF('Buildings data'!B:B,'Base MFF calcs'!B189,'Buildings data'!L:L))</f>
        <v>0.97866598939117577</v>
      </c>
      <c r="H189" s="174">
        <f>IF(ISNA(VLOOKUP(B189,'Land data'!$B$2:$J$240,9,FALSE)),SUMIF('PCT data'!$F$3:$F$159,'Base MFF calcs'!B189,'PCT data'!$R$3:$R$159)/SUMIF('PCT data'!$F$3:$F$159,'Base MFF calcs'!B189,'PCT data'!$D$3:$D$159),VLOOKUP(B189,'Land data'!$B$2:$J$240,9,FALSE))</f>
        <v>0.59648932552651934</v>
      </c>
      <c r="I189" s="452">
        <f t="shared" si="2"/>
        <v>0.95090930879258773</v>
      </c>
    </row>
    <row r="190" spans="1:9" ht="12.75" customHeight="1" x14ac:dyDescent="0.2">
      <c r="A190" s="451" t="s">
        <v>2975</v>
      </c>
      <c r="B190" s="172" t="s">
        <v>594</v>
      </c>
      <c r="C190" s="172" t="s">
        <v>595</v>
      </c>
      <c r="D190" s="171" t="s">
        <v>2986</v>
      </c>
      <c r="E190" s="173">
        <f>IF(SUMIF('Staff data'!B:B,'Base MFF calcs'!B190,'Staff data'!O:O)=0,VLOOKUP(D190,'PCT data'!$B$3:$I$159,7,FALSE),SUMIF('Staff data'!B:B,'Base MFF calcs'!B190,'Staff data'!O:O))</f>
        <v>0.96935035243809597</v>
      </c>
      <c r="F190" s="174">
        <f>VLOOKUP(B190,'M&amp;D data'!$C$13:$G$266,5,FALSE)</f>
        <v>0.99619990923086066</v>
      </c>
      <c r="G190" s="173">
        <f>IF(SUMIF('Buildings data'!B:B,'Base MFF calcs'!B190,'Buildings data'!L:L)=0,VLOOKUP(D190,'PCT data'!$B$3:$K$154,10,FALSE),SUMIF('Buildings data'!B:B,'Base MFF calcs'!B190,'Buildings data'!L:L))</f>
        <v>0.94535377638704965</v>
      </c>
      <c r="H190" s="174">
        <f>IF(ISNA(VLOOKUP(B190,'Land data'!$B$2:$J$240,9,FALSE)),SUMIF('PCT data'!$F$3:$F$159,'Base MFF calcs'!B190,'PCT data'!$R$3:$R$159)/SUMIF('PCT data'!$F$3:$F$159,'Base MFF calcs'!B190,'PCT data'!$D$3:$D$159),VLOOKUP(B190,'Land data'!$B$2:$J$240,9,FALSE))</f>
        <v>2.573563777114388</v>
      </c>
      <c r="I190" s="452">
        <f t="shared" si="2"/>
        <v>0.98823760509320002</v>
      </c>
    </row>
    <row r="191" spans="1:9" ht="12.75" customHeight="1" x14ac:dyDescent="0.2">
      <c r="A191" s="451" t="s">
        <v>2133</v>
      </c>
      <c r="B191" s="172" t="s">
        <v>596</v>
      </c>
      <c r="C191" s="468" t="s">
        <v>1305</v>
      </c>
      <c r="D191" s="171" t="s">
        <v>2144</v>
      </c>
      <c r="E191" s="173">
        <f>IF(SUMIF('Staff data'!B:B,'Base MFF calcs'!B191,'Staff data'!O:O)=0,VLOOKUP(D191,'PCT data'!$B$3:$I$159,7,FALSE),SUMIF('Staff data'!B:B,'Base MFF calcs'!B191,'Staff data'!O:O))</f>
        <v>0.93096364211548754</v>
      </c>
      <c r="F191" s="174">
        <f>VLOOKUP(B191,'M&amp;D data'!$C$13:$G$266,5,FALSE)</f>
        <v>0.99619990923086066</v>
      </c>
      <c r="G191" s="173">
        <f>IF(SUMIF('Buildings data'!B:B,'Base MFF calcs'!B191,'Buildings data'!L:L)=0,VLOOKUP(D191,'PCT data'!$B$3:$K$154,10,FALSE),SUMIF('Buildings data'!B:B,'Base MFF calcs'!B191,'Buildings data'!L:L))</f>
        <v>0.90554940685496443</v>
      </c>
      <c r="H191" s="174">
        <f>IF(ISNA(VLOOKUP(B191,'Land data'!$B$2:$J$240,9,FALSE)),SUMIF('PCT data'!$F$3:$F$159,'Base MFF calcs'!B191,'PCT data'!$R$3:$R$159)/SUMIF('PCT data'!$F$3:$F$159,'Base MFF calcs'!B191,'PCT data'!$D$3:$D$159),VLOOKUP(B191,'Land data'!$B$2:$J$240,9,FALSE))</f>
        <v>1.0674943920838056</v>
      </c>
      <c r="I191" s="452">
        <f t="shared" si="2"/>
        <v>0.95934721316674243</v>
      </c>
    </row>
    <row r="192" spans="1:9" ht="12.75" customHeight="1" x14ac:dyDescent="0.2">
      <c r="A192" s="451" t="s">
        <v>1167</v>
      </c>
      <c r="B192" s="172" t="s">
        <v>598</v>
      </c>
      <c r="C192" s="171" t="s">
        <v>3522</v>
      </c>
      <c r="D192" s="171" t="s">
        <v>3480</v>
      </c>
      <c r="E192" s="173">
        <f>IF(SUMIF('Staff data'!B:B,'Base MFF calcs'!B192,'Staff data'!O:O)=0,VLOOKUP(D192,'PCT data'!$B$3:$I$159,7,FALSE),SUMIF('Staff data'!B:B,'Base MFF calcs'!B192,'Staff data'!O:O))</f>
        <v>1.1633418851399613</v>
      </c>
      <c r="F192" s="174">
        <f>VLOOKUP(B192,'M&amp;D data'!$C$13:$G$266,5,FALSE)</f>
        <v>1.0185025427599708</v>
      </c>
      <c r="G192" s="173">
        <f>IF(SUMIF('Buildings data'!B:B,'Base MFF calcs'!B192,'Buildings data'!L:L)=0,VLOOKUP(D192,'PCT data'!$B$3:$K$154,10,FALSE),SUMIF('Buildings data'!B:B,'Base MFF calcs'!B192,'Buildings data'!L:L))</f>
        <v>1.1045712545153963</v>
      </c>
      <c r="H192" s="174">
        <f>IF(ISNA(VLOOKUP(B192,'Land data'!$B$2:$J$240,9,FALSE)),SUMIF('PCT data'!$F$3:$F$159,'Base MFF calcs'!B192,'PCT data'!$R$3:$R$159)/SUMIF('PCT data'!$F$3:$F$159,'Base MFF calcs'!B192,'PCT data'!$D$3:$D$159),VLOOKUP(B192,'Land data'!$B$2:$J$240,9,FALSE))</f>
        <v>1.1846476566634245</v>
      </c>
      <c r="I192" s="452">
        <f t="shared" si="2"/>
        <v>1.0958844454950554</v>
      </c>
    </row>
    <row r="193" spans="1:9" ht="12.75" customHeight="1" x14ac:dyDescent="0.2">
      <c r="A193" s="451" t="s">
        <v>1167</v>
      </c>
      <c r="B193" s="172" t="s">
        <v>600</v>
      </c>
      <c r="C193" s="468" t="s">
        <v>1298</v>
      </c>
      <c r="D193" s="171" t="s">
        <v>3482</v>
      </c>
      <c r="E193" s="173">
        <f>IF(SUMIF('Staff data'!B:B,'Base MFF calcs'!B193,'Staff data'!O:O)=0,VLOOKUP(D193,'PCT data'!$B$3:$I$159,7,FALSE),SUMIF('Staff data'!B:B,'Base MFF calcs'!B193,'Staff data'!O:O))</f>
        <v>1.1831196983041017</v>
      </c>
      <c r="F193" s="174">
        <f>VLOOKUP(B193,'M&amp;D data'!$C$13:$G$266,5,FALSE)</f>
        <v>1.0185025427599708</v>
      </c>
      <c r="G193" s="173">
        <f>IF(SUMIF('Buildings data'!B:B,'Base MFF calcs'!B193,'Buildings data'!L:L)=0,VLOOKUP(D193,'PCT data'!$B$3:$K$154,10,FALSE),SUMIF('Buildings data'!B:B,'Base MFF calcs'!B193,'Buildings data'!L:L))</f>
        <v>1.1145223468984178</v>
      </c>
      <c r="H193" s="174">
        <f>IF(ISNA(VLOOKUP(B193,'Land data'!$B$2:$J$240,9,FALSE)),SUMIF('PCT data'!$F$3:$F$159,'Base MFF calcs'!B193,'PCT data'!$R$3:$R$159)/SUMIF('PCT data'!$F$3:$F$159,'Base MFF calcs'!B193,'PCT data'!$D$3:$D$159),VLOOKUP(B193,'Land data'!$B$2:$J$240,9,FALSE))</f>
        <v>4.7915675446048969</v>
      </c>
      <c r="I193" s="452">
        <f t="shared" si="2"/>
        <v>1.1231766602930393</v>
      </c>
    </row>
    <row r="194" spans="1:9" ht="12.75" customHeight="1" x14ac:dyDescent="0.2">
      <c r="A194" s="451" t="s">
        <v>708</v>
      </c>
      <c r="B194" s="172" t="s">
        <v>602</v>
      </c>
      <c r="C194" s="172" t="s">
        <v>603</v>
      </c>
      <c r="D194" s="171" t="s">
        <v>716</v>
      </c>
      <c r="E194" s="173">
        <f>IF(SUMIF('Staff data'!B:B,'Base MFF calcs'!B194,'Staff data'!O:O)=0,VLOOKUP(D194,'PCT data'!$B$3:$I$159,7,FALSE),SUMIF('Staff data'!B:B,'Base MFF calcs'!B194,'Staff data'!O:O))</f>
        <v>0.92351494461181005</v>
      </c>
      <c r="F194" s="174">
        <f>VLOOKUP(B194,'M&amp;D data'!$C$13:$G$266,5,FALSE)</f>
        <v>0.99619990923086066</v>
      </c>
      <c r="G194" s="173">
        <f>IF(SUMIF('Buildings data'!B:B,'Base MFF calcs'!B194,'Buildings data'!L:L)=0,VLOOKUP(D194,'PCT data'!$B$3:$K$154,10,FALSE),SUMIF('Buildings data'!B:B,'Base MFF calcs'!B194,'Buildings data'!L:L))</f>
        <v>0.97520705353611448</v>
      </c>
      <c r="H194" s="174">
        <f>IF(ISNA(VLOOKUP(B194,'Land data'!$B$2:$J$240,9,FALSE)),SUMIF('PCT data'!$F$3:$F$159,'Base MFF calcs'!B194,'PCT data'!$R$3:$R$159)/SUMIF('PCT data'!$F$3:$F$159,'Base MFF calcs'!B194,'PCT data'!$D$3:$D$159),VLOOKUP(B194,'Land data'!$B$2:$J$240,9,FALSE))</f>
        <v>1.6007691920465208</v>
      </c>
      <c r="I194" s="452">
        <f t="shared" si="2"/>
        <v>0.95950229603352621</v>
      </c>
    </row>
    <row r="195" spans="1:9" ht="12.75" customHeight="1" x14ac:dyDescent="0.2">
      <c r="A195" s="451" t="s">
        <v>1127</v>
      </c>
      <c r="B195" s="172" t="s">
        <v>604</v>
      </c>
      <c r="C195" s="172" t="s">
        <v>605</v>
      </c>
      <c r="D195" s="171" t="s">
        <v>1159</v>
      </c>
      <c r="E195" s="173">
        <f>IF(SUMIF('Staff data'!B:B,'Base MFF calcs'!B195,'Staff data'!O:O)=0,VLOOKUP(D195,'PCT data'!$B$3:$I$159,7,FALSE),SUMIF('Staff data'!B:B,'Base MFF calcs'!B195,'Staff data'!O:O))</f>
        <v>1.1206707577127037</v>
      </c>
      <c r="F195" s="174">
        <f>VLOOKUP(B195,'M&amp;D data'!$C$13:$G$266,5,FALSE)</f>
        <v>0.99619990923086066</v>
      </c>
      <c r="G195" s="173">
        <f>IF(SUMIF('Buildings data'!B:B,'Base MFF calcs'!B195,'Buildings data'!L:L)=0,VLOOKUP(D195,'PCT data'!$B$3:$K$154,10,FALSE),SUMIF('Buildings data'!B:B,'Base MFF calcs'!B195,'Buildings data'!L:L))</f>
        <v>1.0548157926002883</v>
      </c>
      <c r="H195" s="174">
        <f>IF(ISNA(VLOOKUP(B195,'Land data'!$B$2:$J$240,9,FALSE)),SUMIF('PCT data'!$F$3:$F$159,'Base MFF calcs'!B195,'PCT data'!$R$3:$R$159)/SUMIF('PCT data'!$F$3:$F$159,'Base MFF calcs'!B195,'PCT data'!$D$3:$D$159),VLOOKUP(B195,'Land data'!$B$2:$J$240,9,FALSE))</f>
        <v>1.2767547047865322</v>
      </c>
      <c r="I195" s="452">
        <f t="shared" si="2"/>
        <v>1.0684381355467991</v>
      </c>
    </row>
    <row r="196" spans="1:9" ht="12.75" customHeight="1" x14ac:dyDescent="0.2">
      <c r="A196" s="451" t="s">
        <v>1127</v>
      </c>
      <c r="B196" s="172" t="s">
        <v>606</v>
      </c>
      <c r="C196" s="482" t="s">
        <v>1291</v>
      </c>
      <c r="D196" s="171" t="s">
        <v>1140</v>
      </c>
      <c r="E196" s="173">
        <f>IF(SUMIF('Staff data'!B:B,'Base MFF calcs'!B196,'Staff data'!O:O)=0,VLOOKUP(D196,'PCT data'!$B$3:$I$159,7,FALSE),SUMIF('Staff data'!B:B,'Base MFF calcs'!B196,'Staff data'!O:O))</f>
        <v>0.92036885726444617</v>
      </c>
      <c r="F196" s="174">
        <f>VLOOKUP(B196,'M&amp;D data'!$C$13:$G$266,5,FALSE)</f>
        <v>0.99619990923086066</v>
      </c>
      <c r="G196" s="173">
        <f>IF(SUMIF('Buildings data'!B:B,'Base MFF calcs'!B196,'Buildings data'!L:L)=0,VLOOKUP(D196,'PCT data'!$B$3:$K$154,10,FALSE),SUMIF('Buildings data'!B:B,'Base MFF calcs'!B196,'Buildings data'!L:L))</f>
        <v>0.92545159162100765</v>
      </c>
      <c r="H196" s="174">
        <f>IF(ISNA(VLOOKUP(B196,'Land data'!$B$2:$J$240,9,FALSE)),SUMIF('PCT data'!$F$3:$F$159,'Base MFF calcs'!B196,'PCT data'!$R$3:$R$159)/SUMIF('PCT data'!$F$3:$F$159,'Base MFF calcs'!B196,'PCT data'!$D$3:$D$159),VLOOKUP(B196,'Land data'!$B$2:$J$240,9,FALSE))</f>
        <v>0.24250092364910492</v>
      </c>
      <c r="I196" s="452">
        <f t="shared" si="2"/>
        <v>0.95036159829173306</v>
      </c>
    </row>
    <row r="197" spans="1:9" ht="12.75" customHeight="1" x14ac:dyDescent="0.2">
      <c r="A197" s="451" t="s">
        <v>3034</v>
      </c>
      <c r="B197" s="172" t="s">
        <v>608</v>
      </c>
      <c r="C197" s="172" t="s">
        <v>609</v>
      </c>
      <c r="D197" s="171" t="s">
        <v>3066</v>
      </c>
      <c r="E197" s="173">
        <f>IF(SUMIF('Staff data'!B:B,'Base MFF calcs'!B197,'Staff data'!O:O)=0,VLOOKUP(D197,'PCT data'!$B$3:$I$159,7,FALSE),SUMIF('Staff data'!B:B,'Base MFF calcs'!B197,'Staff data'!O:O))</f>
        <v>0.92275179773917171</v>
      </c>
      <c r="F197" s="174">
        <f>VLOOKUP(B197,'M&amp;D data'!$C$13:$G$266,5,FALSE)</f>
        <v>0.99619990923086066</v>
      </c>
      <c r="G197" s="173">
        <f>IF(SUMIF('Buildings data'!B:B,'Base MFF calcs'!B197,'Buildings data'!L:L)=0,VLOOKUP(D197,'PCT data'!$B$3:$K$154,10,FALSE),SUMIF('Buildings data'!B:B,'Base MFF calcs'!B197,'Buildings data'!L:L))</f>
        <v>0.91550049923798604</v>
      </c>
      <c r="H197" s="174">
        <f>IF(ISNA(VLOOKUP(B197,'Land data'!$B$2:$J$240,9,FALSE)),SUMIF('PCT data'!$F$3:$F$159,'Base MFF calcs'!B197,'PCT data'!$R$3:$R$159)/SUMIF('PCT data'!$F$3:$F$159,'Base MFF calcs'!B197,'PCT data'!$D$3:$D$159),VLOOKUP(B197,'Land data'!$B$2:$J$240,9,FALSE))</f>
        <v>0.26879636354975178</v>
      </c>
      <c r="I197" s="452">
        <f t="shared" si="2"/>
        <v>0.95152298647122446</v>
      </c>
    </row>
    <row r="198" spans="1:9" ht="12.75" customHeight="1" x14ac:dyDescent="0.2">
      <c r="A198" s="451" t="s">
        <v>3528</v>
      </c>
      <c r="B198" s="172" t="s">
        <v>610</v>
      </c>
      <c r="C198" s="172" t="s">
        <v>611</v>
      </c>
      <c r="D198" s="171" t="s">
        <v>3540</v>
      </c>
      <c r="E198" s="173">
        <f>IF(SUMIF('Staff data'!B:B,'Base MFF calcs'!B198,'Staff data'!O:O)=0,VLOOKUP(D198,'PCT data'!$B$3:$I$159,7,FALSE),SUMIF('Staff data'!B:B,'Base MFF calcs'!B198,'Staff data'!O:O))</f>
        <v>0.97354945730645914</v>
      </c>
      <c r="F198" s="174">
        <f>VLOOKUP(B198,'M&amp;D data'!$C$13:$G$266,5,FALSE)</f>
        <v>0.99619990923086066</v>
      </c>
      <c r="G198" s="173">
        <f>IF(SUMIF('Buildings data'!B:B,'Base MFF calcs'!B198,'Buildings data'!L:L)=0,VLOOKUP(D198,'PCT data'!$B$3:$K$154,10,FALSE),SUMIF('Buildings data'!B:B,'Base MFF calcs'!B198,'Buildings data'!L:L))</f>
        <v>1.0061041515645182</v>
      </c>
      <c r="H198" s="174">
        <f>IF(ISNA(VLOOKUP(B198,'Land data'!$B$2:$J$240,9,FALSE)),SUMIF('PCT data'!$F$3:$F$159,'Base MFF calcs'!B198,'PCT data'!$R$3:$R$159)/SUMIF('PCT data'!$F$3:$F$159,'Base MFF calcs'!B198,'PCT data'!$D$3:$D$159),VLOOKUP(B198,'Land data'!$B$2:$J$240,9,FALSE))</f>
        <v>1.2528355533622733</v>
      </c>
      <c r="I198" s="452">
        <f t="shared" si="2"/>
        <v>0.98624215414008365</v>
      </c>
    </row>
    <row r="199" spans="1:9" ht="12.75" customHeight="1" x14ac:dyDescent="0.2">
      <c r="A199" s="451" t="s">
        <v>1167</v>
      </c>
      <c r="B199" s="172" t="s">
        <v>612</v>
      </c>
      <c r="C199" s="172" t="s">
        <v>613</v>
      </c>
      <c r="D199" s="171" t="s">
        <v>3439</v>
      </c>
      <c r="E199" s="173">
        <f>IF(SUMIF('Staff data'!B:B,'Base MFF calcs'!B199,'Staff data'!O:O)=0,VLOOKUP(D199,'PCT data'!$B$3:$I$159,7,FALSE),SUMIF('Staff data'!B:B,'Base MFF calcs'!B199,'Staff data'!O:O))</f>
        <v>1.1815236972774865</v>
      </c>
      <c r="F199" s="174">
        <f>VLOOKUP(B199,'M&amp;D data'!$C$13:$G$266,5,FALSE)</f>
        <v>1.0185025427599708</v>
      </c>
      <c r="G199" s="173">
        <f>IF(SUMIF('Buildings data'!B:B,'Base MFF calcs'!B199,'Buildings data'!L:L)=0,VLOOKUP(D199,'PCT data'!$B$3:$K$154,10,FALSE),SUMIF('Buildings data'!B:B,'Base MFF calcs'!B199,'Buildings data'!L:L))</f>
        <v>1.1996919905295669</v>
      </c>
      <c r="H199" s="174">
        <f>IF(ISNA(VLOOKUP(B199,'Land data'!$B$2:$J$240,9,FALSE)),SUMIF('PCT data'!$F$3:$F$159,'Base MFF calcs'!B199,'PCT data'!$R$3:$R$159)/SUMIF('PCT data'!$F$3:$F$159,'Base MFF calcs'!B199,'PCT data'!$D$3:$D$159),VLOOKUP(B199,'Land data'!$B$2:$J$240,9,FALSE))</f>
        <v>4.7347738174227292</v>
      </c>
      <c r="I199" s="452">
        <f t="shared" ref="I199:I228" si="3">E199*$E$4+F199*$F$4+G199*$G$4+H199*$H$4+$I$4</f>
        <v>1.1243142215402913</v>
      </c>
    </row>
    <row r="200" spans="1:9" ht="12.75" customHeight="1" x14ac:dyDescent="0.2">
      <c r="A200" s="451" t="s">
        <v>2133</v>
      </c>
      <c r="B200" s="172" t="s">
        <v>614</v>
      </c>
      <c r="C200" s="172" t="s">
        <v>3869</v>
      </c>
      <c r="D200" s="171" t="s">
        <v>2138</v>
      </c>
      <c r="E200" s="173">
        <f>IF(SUMIF('Staff data'!B:B,'Base MFF calcs'!B200,'Staff data'!O:O)=0,VLOOKUP(D200,'PCT data'!$B$3:$I$159,7,FALSE),SUMIF('Staff data'!B:B,'Base MFF calcs'!B200,'Staff data'!O:O))</f>
        <v>0.94421105372228975</v>
      </c>
      <c r="F200" s="174">
        <f>VLOOKUP(B200,'M&amp;D data'!$C$13:$G$266,5,FALSE)</f>
        <v>0.99619990923086066</v>
      </c>
      <c r="G200" s="173">
        <f>IF(SUMIF('Buildings data'!B:B,'Base MFF calcs'!B200,'Buildings data'!L:L)=0,VLOOKUP(D200,'PCT data'!$B$3:$K$154,10,FALSE),SUMIF('Buildings data'!B:B,'Base MFF calcs'!B200,'Buildings data'!L:L))</f>
        <v>0.94535377638704965</v>
      </c>
      <c r="H200" s="174">
        <f>IF(ISNA(VLOOKUP(B200,'Land data'!$B$2:$J$240,9,FALSE)),SUMIF('PCT data'!$F$3:$F$159,'Base MFF calcs'!B200,'PCT data'!$R$3:$R$159)/SUMIF('PCT data'!$F$3:$F$159,'Base MFF calcs'!B200,'PCT data'!$D$3:$D$159),VLOOKUP(B200,'Land data'!$B$2:$J$240,9,FALSE))</f>
        <v>1.032864978843236</v>
      </c>
      <c r="I200" s="452">
        <f t="shared" si="3"/>
        <v>0.96752700455048157</v>
      </c>
    </row>
    <row r="201" spans="1:9" ht="12.75" customHeight="1" x14ac:dyDescent="0.2">
      <c r="A201" s="451" t="s">
        <v>2133</v>
      </c>
      <c r="B201" s="172" t="s">
        <v>3870</v>
      </c>
      <c r="C201" s="172" t="s">
        <v>3075</v>
      </c>
      <c r="D201" s="171" t="s">
        <v>1110</v>
      </c>
      <c r="E201" s="173">
        <f>IF(SUMIF('Staff data'!B:B,'Base MFF calcs'!B201,'Staff data'!O:O)=0,VLOOKUP(D201,'PCT data'!$B$3:$I$159,7,FALSE),SUMIF('Staff data'!B:B,'Base MFF calcs'!B201,'Staff data'!O:O))</f>
        <v>0.93048911087473352</v>
      </c>
      <c r="F201" s="174">
        <f>VLOOKUP(B201,'M&amp;D data'!$C$13:$G$266,5,FALSE)</f>
        <v>0.99619990923086066</v>
      </c>
      <c r="G201" s="173">
        <f>IF(SUMIF('Buildings data'!B:B,'Base MFF calcs'!B201,'Buildings data'!L:L)=0,VLOOKUP(D201,'PCT data'!$B$3:$K$154,10,FALSE),SUMIF('Buildings data'!B:B,'Base MFF calcs'!B201,'Buildings data'!L:L))</f>
        <v>0.92545159162100765</v>
      </c>
      <c r="H201" s="174">
        <f>IF(ISNA(VLOOKUP(B201,'Land data'!$B$2:$J$240,9,FALSE)),SUMIF('PCT data'!$F$3:$F$159,'Base MFF calcs'!B201,'PCT data'!$R$3:$R$159)/SUMIF('PCT data'!$F$3:$F$159,'Base MFF calcs'!B201,'PCT data'!$D$3:$D$159),VLOOKUP(B201,'Land data'!$B$2:$J$240,9,FALSE))</f>
        <v>0.68990223631796954</v>
      </c>
      <c r="I201" s="452">
        <f t="shared" si="3"/>
        <v>0.95792436480549936</v>
      </c>
    </row>
    <row r="202" spans="1:9" ht="12.75" customHeight="1" x14ac:dyDescent="0.2">
      <c r="A202" s="451" t="s">
        <v>2975</v>
      </c>
      <c r="B202" s="172" t="s">
        <v>3872</v>
      </c>
      <c r="C202" s="172" t="s">
        <v>3873</v>
      </c>
      <c r="D202" s="171" t="s">
        <v>2979</v>
      </c>
      <c r="E202" s="173">
        <f>IF(SUMIF('Staff data'!B:B,'Base MFF calcs'!B202,'Staff data'!O:O)=0,VLOOKUP(D202,'PCT data'!$B$3:$I$159,7,FALSE),SUMIF('Staff data'!B:B,'Base MFF calcs'!B202,'Staff data'!O:O))</f>
        <v>0.94224901981644704</v>
      </c>
      <c r="F202" s="174">
        <f>VLOOKUP(B202,'M&amp;D data'!$C$13:$G$266,5,FALSE)</f>
        <v>0.99619990923086066</v>
      </c>
      <c r="G202" s="173">
        <f>IF(SUMIF('Buildings data'!B:B,'Base MFF calcs'!B202,'Buildings data'!L:L)=0,VLOOKUP(D202,'PCT data'!$B$3:$K$154,10,FALSE),SUMIF('Buildings data'!B:B,'Base MFF calcs'!B202,'Buildings data'!L:L))</f>
        <v>0.91550049923798604</v>
      </c>
      <c r="H202" s="174">
        <f>IF(ISNA(VLOOKUP(B202,'Land data'!$B$2:$J$240,9,FALSE)),SUMIF('PCT data'!$F$3:$F$159,'Base MFF calcs'!B202,'PCT data'!$R$3:$R$159)/SUMIF('PCT data'!$F$3:$F$159,'Base MFF calcs'!B202,'PCT data'!$D$3:$D$159),VLOOKUP(B202,'Land data'!$B$2:$J$240,9,FALSE))</f>
        <v>0.59450790874219317</v>
      </c>
      <c r="I202" s="452">
        <f t="shared" si="3"/>
        <v>0.96368967888266099</v>
      </c>
    </row>
    <row r="203" spans="1:9" ht="12.75" customHeight="1" x14ac:dyDescent="0.2">
      <c r="A203" s="451" t="s">
        <v>1167</v>
      </c>
      <c r="B203" s="172" t="s">
        <v>3874</v>
      </c>
      <c r="C203" s="172" t="s">
        <v>3875</v>
      </c>
      <c r="D203" s="171" t="s">
        <v>3460</v>
      </c>
      <c r="E203" s="173">
        <f>IF(SUMIF('Staff data'!B:B,'Base MFF calcs'!B203,'Staff data'!O:O)=0,VLOOKUP(D203,'PCT data'!$B$3:$I$159,7,FALSE),SUMIF('Staff data'!B:B,'Base MFF calcs'!B203,'Staff data'!O:O))</f>
        <v>1.1925103643780761</v>
      </c>
      <c r="F203" s="174">
        <f>VLOOKUP(B203,'M&amp;D data'!$C$13:$G$266,5,FALSE)</f>
        <v>1.0185025427599708</v>
      </c>
      <c r="G203" s="173">
        <f>IF(SUMIF('Buildings data'!B:B,'Base MFF calcs'!B203,'Buildings data'!L:L)=0,VLOOKUP(D203,'PCT data'!$B$3:$K$154,10,FALSE),SUMIF('Buildings data'!B:B,'Base MFF calcs'!B203,'Buildings data'!L:L))</f>
        <v>1.2040821783456119</v>
      </c>
      <c r="H203" s="174">
        <f>IF(ISNA(VLOOKUP(B203,'Land data'!$B$2:$J$240,9,FALSE)),SUMIF('PCT data'!$F$3:$F$159,'Base MFF calcs'!B203,'PCT data'!$R$3:$R$159)/SUMIF('PCT data'!$F$3:$F$159,'Base MFF calcs'!B203,'PCT data'!$D$3:$D$159),VLOOKUP(B203,'Land data'!$B$2:$J$240,9,FALSE))</f>
        <v>3.2868817288260597</v>
      </c>
      <c r="I203" s="452">
        <f t="shared" si="3"/>
        <v>1.1239750037138911</v>
      </c>
    </row>
    <row r="204" spans="1:9" ht="12.75" customHeight="1" x14ac:dyDescent="0.2">
      <c r="A204" s="451" t="s">
        <v>3069</v>
      </c>
      <c r="B204" s="172" t="s">
        <v>3876</v>
      </c>
      <c r="C204" s="172" t="s">
        <v>3877</v>
      </c>
      <c r="D204" s="171" t="s">
        <v>2124</v>
      </c>
      <c r="E204" s="173">
        <f>IF(SUMIF('Staff data'!B:B,'Base MFF calcs'!B204,'Staff data'!O:O)=0,VLOOKUP(D204,'PCT data'!$B$3:$I$159,7,FALSE),SUMIF('Staff data'!B:B,'Base MFF calcs'!B204,'Staff data'!O:O))</f>
        <v>0.90088223379237964</v>
      </c>
      <c r="F204" s="174">
        <f>VLOOKUP(B204,'M&amp;D data'!$C$13:$G$266,5,FALSE)</f>
        <v>0.99619990923086066</v>
      </c>
      <c r="G204" s="173">
        <f>IF(SUMIF('Buildings data'!B:B,'Base MFF calcs'!B204,'Buildings data'!L:L)=0,VLOOKUP(D204,'PCT data'!$B$3:$K$154,10,FALSE),SUMIF('Buildings data'!B:B,'Base MFF calcs'!B204,'Buildings data'!L:L))</f>
        <v>0.90554940685496443</v>
      </c>
      <c r="H204" s="174">
        <f>IF(ISNA(VLOOKUP(B204,'Land data'!$B$2:$J$240,9,FALSE)),SUMIF('PCT data'!$F$3:$F$159,'Base MFF calcs'!B204,'PCT data'!$R$3:$R$159)/SUMIF('PCT data'!$F$3:$F$159,'Base MFF calcs'!B204,'PCT data'!$D$3:$D$159),VLOOKUP(B204,'Land data'!$B$2:$J$240,9,FALSE))</f>
        <v>0.31282026165917665</v>
      </c>
      <c r="I204" s="452">
        <f t="shared" si="3"/>
        <v>0.93944562916406671</v>
      </c>
    </row>
    <row r="205" spans="1:9" ht="12.75" customHeight="1" x14ac:dyDescent="0.2">
      <c r="A205" s="451" t="s">
        <v>1167</v>
      </c>
      <c r="B205" s="172" t="s">
        <v>3878</v>
      </c>
      <c r="C205" s="172" t="s">
        <v>3879</v>
      </c>
      <c r="D205" s="171" t="s">
        <v>3436</v>
      </c>
      <c r="E205" s="173">
        <f>IF(SUMIF('Staff data'!B:B,'Base MFF calcs'!B205,'Staff data'!O:O)=0,VLOOKUP(D205,'PCT data'!$B$3:$I$159,7,FALSE),SUMIF('Staff data'!B:B,'Base MFF calcs'!B205,'Staff data'!O:O))</f>
        <v>1.198929329200676</v>
      </c>
      <c r="F205" s="174">
        <f>VLOOKUP(B205,'M&amp;D data'!$C$13:$G$266,5,FALSE)</f>
        <v>1.0185025427599708</v>
      </c>
      <c r="G205" s="173">
        <f>IF(SUMIF('Buildings data'!B:B,'Base MFF calcs'!B205,'Buildings data'!L:L)=0,VLOOKUP(D205,'PCT data'!$B$3:$K$154,10,FALSE),SUMIF('Buildings data'!B:B,'Base MFF calcs'!B205,'Buildings data'!L:L))</f>
        <v>1.2646345754962984</v>
      </c>
      <c r="H205" s="174">
        <f>IF(ISNA(VLOOKUP(B205,'Land data'!$B$2:$J$240,9,FALSE)),SUMIF('PCT data'!$F$3:$F$159,'Base MFF calcs'!B205,'PCT data'!$R$3:$R$159)/SUMIF('PCT data'!$F$3:$F$159,'Base MFF calcs'!B205,'PCT data'!$D$3:$D$159),VLOOKUP(B205,'Land data'!$B$2:$J$240,9,FALSE))</f>
        <v>19.550291869907184</v>
      </c>
      <c r="I205" s="452">
        <f t="shared" si="3"/>
        <v>1.2020054538029976</v>
      </c>
    </row>
    <row r="206" spans="1:9" ht="12.75" customHeight="1" x14ac:dyDescent="0.2">
      <c r="A206" s="451" t="s">
        <v>2133</v>
      </c>
      <c r="B206" s="172" t="s">
        <v>3880</v>
      </c>
      <c r="C206" s="172" t="s">
        <v>652</v>
      </c>
      <c r="D206" s="171" t="s">
        <v>2138</v>
      </c>
      <c r="E206" s="173">
        <f>IF(SUMIF('Staff data'!B:B,'Base MFF calcs'!B206,'Staff data'!O:O)=0,VLOOKUP(D206,'PCT data'!$B$3:$I$159,7,FALSE),SUMIF('Staff data'!B:B,'Base MFF calcs'!B206,'Staff data'!O:O))</f>
        <v>0.94519915082920369</v>
      </c>
      <c r="F206" s="174">
        <f>VLOOKUP(B206,'M&amp;D data'!$C$13:$G$266,5,FALSE)</f>
        <v>0.99619990923086066</v>
      </c>
      <c r="G206" s="173">
        <f>IF(SUMIF('Buildings data'!B:B,'Base MFF calcs'!B206,'Buildings data'!L:L)=0,VLOOKUP(D206,'PCT data'!$B$3:$K$154,10,FALSE),SUMIF('Buildings data'!B:B,'Base MFF calcs'!B206,'Buildings data'!L:L))</f>
        <v>0.94535377638704965</v>
      </c>
      <c r="H206" s="174">
        <f>IF(ISNA(VLOOKUP(B206,'Land data'!$B$2:$J$240,9,FALSE)),SUMIF('PCT data'!$F$3:$F$159,'Base MFF calcs'!B206,'PCT data'!$R$3:$R$159)/SUMIF('PCT data'!$F$3:$F$159,'Base MFF calcs'!B206,'PCT data'!$D$3:$D$159),VLOOKUP(B206,'Land data'!$B$2:$J$240,9,FALSE))</f>
        <v>0.99170647964997904</v>
      </c>
      <c r="I206" s="452">
        <f t="shared" si="3"/>
        <v>0.96788514322393859</v>
      </c>
    </row>
    <row r="207" spans="1:9" ht="12.75" customHeight="1" x14ac:dyDescent="0.2">
      <c r="A207" s="451" t="s">
        <v>2133</v>
      </c>
      <c r="B207" s="172" t="s">
        <v>3882</v>
      </c>
      <c r="C207" s="172" t="s">
        <v>661</v>
      </c>
      <c r="D207" s="171" t="s">
        <v>2152</v>
      </c>
      <c r="E207" s="173">
        <f>IF(SUMIF('Staff data'!B:B,'Base MFF calcs'!B207,'Staff data'!O:O)=0,VLOOKUP(D207,'PCT data'!$B$3:$I$159,7,FALSE),SUMIF('Staff data'!B:B,'Base MFF calcs'!B207,'Staff data'!O:O))</f>
        <v>0.91424581535891136</v>
      </c>
      <c r="F207" s="174">
        <f>VLOOKUP(B207,'M&amp;D data'!$C$13:$G$266,5,FALSE)</f>
        <v>0.99619990923086066</v>
      </c>
      <c r="G207" s="173">
        <f>IF(SUMIF('Buildings data'!B:B,'Base MFF calcs'!B207,'Buildings data'!L:L)=0,VLOOKUP(D207,'PCT data'!$B$3:$K$154,10,FALSE),SUMIF('Buildings data'!B:B,'Base MFF calcs'!B207,'Buildings data'!L:L))</f>
        <v>0.92545159162100765</v>
      </c>
      <c r="H207" s="174">
        <f>IF(ISNA(VLOOKUP(B207,'Land data'!$B$2:$J$240,9,FALSE)),SUMIF('PCT data'!$F$3:$F$159,'Base MFF calcs'!B207,'PCT data'!$R$3:$R$159)/SUMIF('PCT data'!$F$3:$F$159,'Base MFF calcs'!B207,'PCT data'!$D$3:$D$159),VLOOKUP(B207,'Land data'!$B$2:$J$240,9,FALSE))</f>
        <v>0.62722262665521589</v>
      </c>
      <c r="I207" s="452">
        <f t="shared" si="3"/>
        <v>0.94872346800388141</v>
      </c>
    </row>
    <row r="208" spans="1:9" ht="12.75" customHeight="1" x14ac:dyDescent="0.2">
      <c r="A208" s="451" t="s">
        <v>2975</v>
      </c>
      <c r="B208" s="172" t="s">
        <v>662</v>
      </c>
      <c r="C208" s="172" t="s">
        <v>663</v>
      </c>
      <c r="D208" s="171" t="s">
        <v>2986</v>
      </c>
      <c r="E208" s="173">
        <f>IF(SUMIF('Staff data'!B:B,'Base MFF calcs'!B208,'Staff data'!O:O)=0,VLOOKUP(D208,'PCT data'!$B$3:$I$159,7,FALSE),SUMIF('Staff data'!B:B,'Base MFF calcs'!B208,'Staff data'!O:O))</f>
        <v>0.968098687424783</v>
      </c>
      <c r="F208" s="174">
        <f>VLOOKUP(B208,'M&amp;D data'!$C$13:$G$266,5,FALSE)</f>
        <v>0.99619990923086066</v>
      </c>
      <c r="G208" s="173">
        <f>IF(SUMIF('Buildings data'!B:B,'Base MFF calcs'!B208,'Buildings data'!L:L)=0,VLOOKUP(D208,'PCT data'!$B$3:$K$154,10,FALSE),SUMIF('Buildings data'!B:B,'Base MFF calcs'!B208,'Buildings data'!L:L))</f>
        <v>0.94535377638704965</v>
      </c>
      <c r="H208" s="174">
        <f>IF(ISNA(VLOOKUP(B208,'Land data'!$B$2:$J$240,9,FALSE)),SUMIF('PCT data'!$F$3:$F$159,'Base MFF calcs'!B208,'PCT data'!$R$3:$R$159)/SUMIF('PCT data'!$F$3:$F$159,'Base MFF calcs'!B208,'PCT data'!$D$3:$D$159),VLOOKUP(B208,'Land data'!$B$2:$J$240,9,FALSE))</f>
        <v>1.1800342728853317</v>
      </c>
      <c r="I208" s="452">
        <f t="shared" si="3"/>
        <v>0.98130445421704393</v>
      </c>
    </row>
    <row r="209" spans="1:9" ht="12.75" customHeight="1" x14ac:dyDescent="0.2">
      <c r="A209" s="451" t="s">
        <v>3528</v>
      </c>
      <c r="B209" s="172" t="s">
        <v>664</v>
      </c>
      <c r="C209" s="172" t="s">
        <v>665</v>
      </c>
      <c r="D209" s="171" t="s">
        <v>3565</v>
      </c>
      <c r="E209" s="173">
        <f>IF(SUMIF('Staff data'!B:B,'Base MFF calcs'!B209,'Staff data'!O:O)=0,VLOOKUP(D209,'PCT data'!$B$3:$I$159,7,FALSE),SUMIF('Staff data'!B:B,'Base MFF calcs'!B209,'Staff data'!O:O))</f>
        <v>1.0005339279675458</v>
      </c>
      <c r="F209" s="174">
        <f>VLOOKUP(B209,'M&amp;D data'!$C$13:$G$266,5,FALSE)</f>
        <v>0.99619990923086066</v>
      </c>
      <c r="G209" s="173">
        <f>IF(SUMIF('Buildings data'!B:B,'Base MFF calcs'!B209,'Buildings data'!L:L)=0,VLOOKUP(D209,'PCT data'!$B$3:$K$154,10,FALSE),SUMIF('Buildings data'!B:B,'Base MFF calcs'!B209,'Buildings data'!L:L))</f>
        <v>1.0050603306851802</v>
      </c>
      <c r="H209" s="174">
        <f>IF(ISNA(VLOOKUP(B209,'Land data'!$B$2:$J$240,9,FALSE)),SUMIF('PCT data'!$F$3:$F$159,'Base MFF calcs'!B209,'PCT data'!$R$3:$R$159)/SUMIF('PCT data'!$F$3:$F$159,'Base MFF calcs'!B209,'PCT data'!$D$3:$D$159),VLOOKUP(B209,'Land data'!$B$2:$J$240,9,FALSE))</f>
        <v>1.9594334188411213</v>
      </c>
      <c r="I209" s="452">
        <f t="shared" si="3"/>
        <v>1.0041997814839629</v>
      </c>
    </row>
    <row r="210" spans="1:9" ht="12.75" customHeight="1" x14ac:dyDescent="0.2">
      <c r="A210" s="451" t="s">
        <v>2133</v>
      </c>
      <c r="B210" s="172" t="s">
        <v>666</v>
      </c>
      <c r="C210" s="172" t="s">
        <v>667</v>
      </c>
      <c r="D210" s="171" t="s">
        <v>2142</v>
      </c>
      <c r="E210" s="173">
        <f>IF(SUMIF('Staff data'!B:B,'Base MFF calcs'!B210,'Staff data'!O:O)=0,VLOOKUP(D210,'PCT data'!$B$3:$I$159,7,FALSE),SUMIF('Staff data'!B:B,'Base MFF calcs'!B210,'Staff data'!O:O))</f>
        <v>0.96428636430070958</v>
      </c>
      <c r="F210" s="174">
        <f>VLOOKUP(B210,'M&amp;D data'!$C$13:$G$266,5,FALSE)</f>
        <v>0.99619990923086066</v>
      </c>
      <c r="G210" s="173">
        <f>IF(SUMIF('Buildings data'!B:B,'Base MFF calcs'!B210,'Buildings data'!L:L)=0,VLOOKUP(D210,'PCT data'!$B$3:$K$154,10,FALSE),SUMIF('Buildings data'!B:B,'Base MFF calcs'!B210,'Buildings data'!L:L))</f>
        <v>0.95530486877007126</v>
      </c>
      <c r="H210" s="174">
        <f>IF(ISNA(VLOOKUP(B210,'Land data'!$B$2:$J$240,9,FALSE)),SUMIF('PCT data'!$F$3:$F$159,'Base MFF calcs'!B210,'PCT data'!$R$3:$R$159)/SUMIF('PCT data'!$F$3:$F$159,'Base MFF calcs'!B210,'PCT data'!$D$3:$D$159),VLOOKUP(B210,'Land data'!$B$2:$J$240,9,FALSE))</f>
        <v>1.4361173219006422</v>
      </c>
      <c r="I210" s="452">
        <f t="shared" si="3"/>
        <v>0.98062374494958537</v>
      </c>
    </row>
    <row r="211" spans="1:9" ht="12.75" customHeight="1" x14ac:dyDescent="0.2">
      <c r="A211" s="451" t="s">
        <v>3069</v>
      </c>
      <c r="B211" s="172" t="s">
        <v>668</v>
      </c>
      <c r="C211" s="172" t="s">
        <v>669</v>
      </c>
      <c r="D211" s="171" t="s">
        <v>2122</v>
      </c>
      <c r="E211" s="173">
        <f>IF(SUMIF('Staff data'!B:B,'Base MFF calcs'!B211,'Staff data'!O:O)=0,VLOOKUP(D211,'PCT data'!$B$3:$I$159,7,FALSE),SUMIF('Staff data'!B:B,'Base MFF calcs'!B211,'Staff data'!O:O))</f>
        <v>0.94584266775365466</v>
      </c>
      <c r="F211" s="174">
        <f>VLOOKUP(B211,'M&amp;D data'!$C$13:$G$266,5,FALSE)</f>
        <v>0.99619990923086066</v>
      </c>
      <c r="G211" s="173">
        <f>IF(SUMIF('Buildings data'!B:B,'Base MFF calcs'!B211,'Buildings data'!L:L)=0,VLOOKUP(D211,'PCT data'!$B$3:$K$154,10,FALSE),SUMIF('Buildings data'!B:B,'Base MFF calcs'!B211,'Buildings data'!L:L))</f>
        <v>0.91550049923798604</v>
      </c>
      <c r="H211" s="174">
        <f>IF(ISNA(VLOOKUP(B211,'Land data'!$B$2:$J$240,9,FALSE)),SUMIF('PCT data'!$F$3:$F$159,'Base MFF calcs'!B211,'PCT data'!$R$3:$R$159)/SUMIF('PCT data'!$F$3:$F$159,'Base MFF calcs'!B211,'PCT data'!$D$3:$D$159),VLOOKUP(B211,'Land data'!$B$2:$J$240,9,FALSE))</f>
        <v>0.78801846428800693</v>
      </c>
      <c r="I211" s="452">
        <f t="shared" si="3"/>
        <v>0.96653043670378813</v>
      </c>
    </row>
    <row r="212" spans="1:9" ht="12.75" customHeight="1" x14ac:dyDescent="0.2">
      <c r="A212" s="451" t="s">
        <v>2975</v>
      </c>
      <c r="B212" s="172" t="s">
        <v>670</v>
      </c>
      <c r="C212" s="482" t="s">
        <v>1309</v>
      </c>
      <c r="D212" s="171" t="s">
        <v>2994</v>
      </c>
      <c r="E212" s="173">
        <f>IF(SUMIF('Staff data'!B:B,'Base MFF calcs'!B212,'Staff data'!O:O)=0,VLOOKUP(D212,'PCT data'!$B$3:$I$159,7,FALSE),SUMIF('Staff data'!B:B,'Base MFF calcs'!B212,'Staff data'!O:O))</f>
        <v>0.92055255693442595</v>
      </c>
      <c r="F212" s="174">
        <f>VLOOKUP(B212,'M&amp;D data'!$C$13:$G$266,5,FALSE)</f>
        <v>0.99619990923086066</v>
      </c>
      <c r="G212" s="173">
        <f>IF(SUMIF('Buildings data'!B:B,'Base MFF calcs'!B212,'Buildings data'!L:L)=0,VLOOKUP(D212,'PCT data'!$B$3:$K$154,10,FALSE),SUMIF('Buildings data'!B:B,'Base MFF calcs'!B212,'Buildings data'!L:L))</f>
        <v>0.95296997558522933</v>
      </c>
      <c r="H212" s="174">
        <f>IF(ISNA(VLOOKUP(B212,'Land data'!$B$2:$J$240,9,FALSE)),SUMIF('PCT data'!$F$3:$F$159,'Base MFF calcs'!B212,'PCT data'!$R$3:$R$159)/SUMIF('PCT data'!$F$3:$F$159,'Base MFF calcs'!B212,'PCT data'!$D$3:$D$159),VLOOKUP(B212,'Land data'!$B$2:$J$240,9,FALSE))</f>
        <v>0.75450734401239505</v>
      </c>
      <c r="I212" s="452">
        <f t="shared" si="3"/>
        <v>0.9534902610706053</v>
      </c>
    </row>
    <row r="213" spans="1:9" ht="12.75" customHeight="1" x14ac:dyDescent="0.2">
      <c r="A213" s="451" t="s">
        <v>2133</v>
      </c>
      <c r="B213" s="172" t="s">
        <v>672</v>
      </c>
      <c r="C213" s="172" t="s">
        <v>1288</v>
      </c>
      <c r="D213" s="171" t="s">
        <v>1122</v>
      </c>
      <c r="E213" s="173">
        <f>IF(SUMIF('Staff data'!B:B,'Base MFF calcs'!B213,'Staff data'!O:O)=0,VLOOKUP(D213,'PCT data'!$B$3:$I$159,7,FALSE),SUMIF('Staff data'!B:B,'Base MFF calcs'!B213,'Staff data'!O:O))</f>
        <v>0.9335969709665507</v>
      </c>
      <c r="F213" s="174">
        <f>VLOOKUP(B213,'M&amp;D data'!$C$13:$G$266,5,FALSE)</f>
        <v>0.99619990923086066</v>
      </c>
      <c r="G213" s="173">
        <f>IF(SUMIF('Buildings data'!B:B,'Base MFF calcs'!B213,'Buildings data'!L:L)=0,VLOOKUP(D213,'PCT data'!$B$3:$K$154,10,FALSE),SUMIF('Buildings data'!B:B,'Base MFF calcs'!B213,'Buildings data'!L:L))</f>
        <v>0.91550049923798604</v>
      </c>
      <c r="H213" s="174">
        <f>IF(ISNA(VLOOKUP(B213,'Land data'!$B$2:$J$240,9,FALSE)),SUMIF('PCT data'!$F$3:$F$159,'Base MFF calcs'!B213,'PCT data'!$R$3:$R$159)/SUMIF('PCT data'!$F$3:$F$159,'Base MFF calcs'!B213,'PCT data'!$D$3:$D$159),VLOOKUP(B213,'Land data'!$B$2:$J$240,9,FALSE))</f>
        <v>0.42810588742773448</v>
      </c>
      <c r="I213" s="452">
        <f t="shared" si="3"/>
        <v>0.95819261287159074</v>
      </c>
    </row>
    <row r="214" spans="1:9" ht="12.75" customHeight="1" x14ac:dyDescent="0.2">
      <c r="A214" s="451" t="s">
        <v>2975</v>
      </c>
      <c r="B214" s="172" t="s">
        <v>674</v>
      </c>
      <c r="C214" s="172" t="s">
        <v>675</v>
      </c>
      <c r="D214" s="171" t="s">
        <v>2977</v>
      </c>
      <c r="E214" s="173">
        <f>IF(SUMIF('Staff data'!B:B,'Base MFF calcs'!B214,'Staff data'!O:O)=0,VLOOKUP(D214,'PCT data'!$B$3:$I$159,7,FALSE),SUMIF('Staff data'!B:B,'Base MFF calcs'!B214,'Staff data'!O:O))</f>
        <v>0.95485686847567985</v>
      </c>
      <c r="F214" s="174">
        <f>VLOOKUP(B214,'M&amp;D data'!$C$13:$G$266,5,FALSE)</f>
        <v>0.99619990923086066</v>
      </c>
      <c r="G214" s="173">
        <f>IF(SUMIF('Buildings data'!B:B,'Base MFF calcs'!B214,'Buildings data'!L:L)=0,VLOOKUP(D214,'PCT data'!$B$3:$K$154,10,FALSE),SUMIF('Buildings data'!B:B,'Base MFF calcs'!B214,'Buildings data'!L:L))</f>
        <v>0.89885030544678635</v>
      </c>
      <c r="H214" s="174">
        <f>IF(ISNA(VLOOKUP(B214,'Land data'!$B$2:$J$240,9,FALSE)),SUMIF('PCT data'!$F$3:$F$159,'Base MFF calcs'!B214,'PCT data'!$R$3:$R$159)/SUMIF('PCT data'!$F$3:$F$159,'Base MFF calcs'!B214,'PCT data'!$D$3:$D$159),VLOOKUP(B214,'Land data'!$B$2:$J$240,9,FALSE))</f>
        <v>1.1528094003159439</v>
      </c>
      <c r="I214" s="452">
        <f t="shared" si="3"/>
        <v>0.97267206790443583</v>
      </c>
    </row>
    <row r="215" spans="1:9" ht="12.75" customHeight="1" x14ac:dyDescent="0.2">
      <c r="A215" s="451" t="s">
        <v>1127</v>
      </c>
      <c r="B215" s="172" t="s">
        <v>676</v>
      </c>
      <c r="C215" s="172" t="s">
        <v>677</v>
      </c>
      <c r="D215" s="171" t="s">
        <v>3569</v>
      </c>
      <c r="E215" s="173">
        <f>IF(SUMIF('Staff data'!B:B,'Base MFF calcs'!B215,'Staff data'!O:O)=0,VLOOKUP(D215,'PCT data'!$B$3:$I$159,7,FALSE),SUMIF('Staff data'!B:B,'Base MFF calcs'!B215,'Staff data'!O:O))</f>
        <v>1.134437684638796</v>
      </c>
      <c r="F215" s="174">
        <f>VLOOKUP(B215,'M&amp;D data'!$C$13:$G$266,5,FALSE)</f>
        <v>0.99619990923086066</v>
      </c>
      <c r="G215" s="173">
        <f>IF(SUMIF('Buildings data'!B:B,'Base MFF calcs'!B215,'Buildings data'!L:L)=0,VLOOKUP(D215,'PCT data'!$B$3:$K$154,10,FALSE),SUMIF('Buildings data'!B:B,'Base MFF calcs'!B215,'Buildings data'!L:L))</f>
        <v>1.0846690697493531</v>
      </c>
      <c r="H215" s="174">
        <f>IF(ISNA(VLOOKUP(B215,'Land data'!$B$2:$J$240,9,FALSE)),SUMIF('PCT data'!$F$3:$F$159,'Base MFF calcs'!B215,'PCT data'!$R$3:$R$159)/SUMIF('PCT data'!$F$3:$F$159,'Base MFF calcs'!B215,'PCT data'!$D$3:$D$159),VLOOKUP(B215,'Land data'!$B$2:$J$240,9,FALSE))</f>
        <v>2.9971518973467295</v>
      </c>
      <c r="I215" s="452">
        <f t="shared" si="3"/>
        <v>1.0845041962350026</v>
      </c>
    </row>
    <row r="216" spans="1:9" ht="12.75" customHeight="1" x14ac:dyDescent="0.2">
      <c r="A216" s="451" t="s">
        <v>1167</v>
      </c>
      <c r="B216" s="172" t="s">
        <v>678</v>
      </c>
      <c r="C216" s="172" t="s">
        <v>679</v>
      </c>
      <c r="D216" s="171" t="s">
        <v>3441</v>
      </c>
      <c r="E216" s="173">
        <f>IF(SUMIF('Staff data'!B:B,'Base MFF calcs'!B216,'Staff data'!O:O)=0,VLOOKUP(D216,'PCT data'!$B$3:$I$159,7,FALSE),SUMIF('Staff data'!B:B,'Base MFF calcs'!B216,'Staff data'!O:O))</f>
        <v>1.1620682208609701</v>
      </c>
      <c r="F216" s="174">
        <f>VLOOKUP(B216,'M&amp;D data'!$C$13:$G$266,5,FALSE)</f>
        <v>1.0185025427599708</v>
      </c>
      <c r="G216" s="173">
        <f>IF(SUMIF('Buildings data'!B:B,'Base MFF calcs'!B216,'Buildings data'!L:L)=0,VLOOKUP(D216,'PCT data'!$B$3:$K$154,10,FALSE),SUMIF('Buildings data'!B:B,'Base MFF calcs'!B216,'Buildings data'!L:L))</f>
        <v>1.123703311262227</v>
      </c>
      <c r="H216" s="174">
        <f>IF(ISNA(VLOOKUP(B216,'Land data'!$B$2:$J$240,9,FALSE)),SUMIF('PCT data'!$F$3:$F$159,'Base MFF calcs'!B216,'PCT data'!$R$3:$R$159)/SUMIF('PCT data'!$F$3:$F$159,'Base MFF calcs'!B216,'PCT data'!$D$3:$D$159),VLOOKUP(B216,'Land data'!$B$2:$J$240,9,FALSE))</f>
        <v>0.37340471492890226</v>
      </c>
      <c r="I216" s="452">
        <f t="shared" si="3"/>
        <v>1.0920586185719638</v>
      </c>
    </row>
    <row r="217" spans="1:9" ht="12.75" customHeight="1" x14ac:dyDescent="0.2">
      <c r="A217" s="451" t="s">
        <v>1167</v>
      </c>
      <c r="B217" s="172" t="s">
        <v>680</v>
      </c>
      <c r="C217" s="172" t="s">
        <v>681</v>
      </c>
      <c r="D217" s="171" t="s">
        <v>3397</v>
      </c>
      <c r="E217" s="173">
        <f>IF(SUMIF('Staff data'!B:B,'Base MFF calcs'!B217,'Staff data'!O:O)=0,VLOOKUP(D217,'PCT data'!$B$3:$I$159,7,FALSE),SUMIF('Staff data'!B:B,'Base MFF calcs'!B217,'Staff data'!O:O))</f>
        <v>1.1792197666390278</v>
      </c>
      <c r="F217" s="174">
        <f>VLOOKUP(B217,'M&amp;D data'!$C$13:$G$266,5,FALSE)</f>
        <v>1.0185025427599708</v>
      </c>
      <c r="G217" s="173">
        <f>IF(SUMIF('Buildings data'!B:B,'Base MFF calcs'!B217,'Buildings data'!L:L)=0,VLOOKUP(D217,'PCT data'!$B$3:$K$154,10,FALSE),SUMIF('Buildings data'!B:B,'Base MFF calcs'!B217,'Buildings data'!L:L))</f>
        <v>1.1045712545153963</v>
      </c>
      <c r="H217" s="174">
        <f>IF(ISNA(VLOOKUP(B217,'Land data'!$B$2:$J$240,9,FALSE)),SUMIF('PCT data'!$F$3:$F$159,'Base MFF calcs'!B217,'PCT data'!$R$3:$R$159)/SUMIF('PCT data'!$F$3:$F$159,'Base MFF calcs'!B217,'PCT data'!$D$3:$D$159),VLOOKUP(B217,'Land data'!$B$2:$J$240,9,FALSE))</f>
        <v>3.0420329233763619</v>
      </c>
      <c r="I217" s="452">
        <f t="shared" si="3"/>
        <v>1.1129285504377118</v>
      </c>
    </row>
    <row r="218" spans="1:9" ht="12.75" customHeight="1" x14ac:dyDescent="0.2">
      <c r="A218" s="451" t="s">
        <v>1127</v>
      </c>
      <c r="B218" s="172" t="s">
        <v>683</v>
      </c>
      <c r="C218" s="482" t="s">
        <v>1296</v>
      </c>
      <c r="D218" s="171" t="s">
        <v>1145</v>
      </c>
      <c r="E218" s="173">
        <f>IF(SUMIF('Staff data'!B:B,'Base MFF calcs'!B218,'Staff data'!O:O)=0,VLOOKUP(D218,'PCT data'!$B$3:$I$159,7,FALSE),SUMIF('Staff data'!B:B,'Base MFF calcs'!B218,'Staff data'!O:O))</f>
        <v>0.94611319733663934</v>
      </c>
      <c r="F218" s="174">
        <f>VLOOKUP(B218,'M&amp;D data'!$C$13:$G$266,5,FALSE)</f>
        <v>0.99619990923086066</v>
      </c>
      <c r="G218" s="173">
        <f>IF(SUMIF('Buildings data'!B:B,'Base MFF calcs'!B218,'Buildings data'!L:L)=0,VLOOKUP(D218,'PCT data'!$B$3:$K$154,10,FALSE),SUMIF('Buildings data'!B:B,'Base MFF calcs'!B218,'Buildings data'!L:L))</f>
        <v>0.94535377638704965</v>
      </c>
      <c r="H218" s="174">
        <f>IF(ISNA(VLOOKUP(B218,'Land data'!$B$2:$J$240,9,FALSE)),SUMIF('PCT data'!$F$3:$F$159,'Base MFF calcs'!B218,'PCT data'!$R$3:$R$159)/SUMIF('PCT data'!$F$3:$F$159,'Base MFF calcs'!B218,'PCT data'!$D$3:$D$159),VLOOKUP(B218,'Land data'!$B$2:$J$240,9,FALSE))</f>
        <v>0.65353459244016976</v>
      </c>
      <c r="I218" s="452">
        <f t="shared" si="3"/>
        <v>0.96687140258551585</v>
      </c>
    </row>
    <row r="219" spans="1:9" ht="12.75" customHeight="1" x14ac:dyDescent="0.2">
      <c r="A219" s="451" t="s">
        <v>3496</v>
      </c>
      <c r="B219" s="172" t="s">
        <v>685</v>
      </c>
      <c r="C219" s="172" t="s">
        <v>686</v>
      </c>
      <c r="D219" s="171" t="s">
        <v>3512</v>
      </c>
      <c r="E219" s="173">
        <f>IF(SUMIF('Staff data'!B:B,'Base MFF calcs'!B219,'Staff data'!O:O)=0,VLOOKUP(D219,'PCT data'!$B$3:$I$159,7,FALSE),SUMIF('Staff data'!B:B,'Base MFF calcs'!B219,'Staff data'!O:O))</f>
        <v>0.9980054128017628</v>
      </c>
      <c r="F219" s="174">
        <f>VLOOKUP(B219,'M&amp;D data'!$C$13:$G$266,5,FALSE)</f>
        <v>0.99619990923086066</v>
      </c>
      <c r="G219" s="173">
        <f>IF(SUMIF('Buildings data'!B:B,'Base MFF calcs'!B219,'Buildings data'!L:L)=0,VLOOKUP(D219,'PCT data'!$B$3:$K$154,10,FALSE),SUMIF('Buildings data'!B:B,'Base MFF calcs'!B219,'Buildings data'!L:L))</f>
        <v>1.0548157926002883</v>
      </c>
      <c r="H219" s="174">
        <f>IF(ISNA(VLOOKUP(B219,'Land data'!$B$2:$J$240,9,FALSE)),SUMIF('PCT data'!$F$3:$F$159,'Base MFF calcs'!B219,'PCT data'!$R$3:$R$159)/SUMIF('PCT data'!$F$3:$F$159,'Base MFF calcs'!B219,'PCT data'!$D$3:$D$159),VLOOKUP(B219,'Land data'!$B$2:$J$240,9,FALSE))</f>
        <v>1.3202387937235374</v>
      </c>
      <c r="I219" s="452">
        <f t="shared" si="3"/>
        <v>1.0012716521923057</v>
      </c>
    </row>
    <row r="220" spans="1:9" ht="12.75" customHeight="1" x14ac:dyDescent="0.2">
      <c r="A220" s="451" t="s">
        <v>3528</v>
      </c>
      <c r="B220" s="172" t="s">
        <v>687</v>
      </c>
      <c r="C220" s="172" t="s">
        <v>688</v>
      </c>
      <c r="D220" s="171" t="s">
        <v>3567</v>
      </c>
      <c r="E220" s="173">
        <f>IF(SUMIF('Staff data'!B:B,'Base MFF calcs'!B220,'Staff data'!O:O)=0,VLOOKUP(D220,'PCT data'!$B$3:$I$159,7,FALSE),SUMIF('Staff data'!B:B,'Base MFF calcs'!B220,'Staff data'!O:O))</f>
        <v>0.95676630395980578</v>
      </c>
      <c r="F220" s="174">
        <f>VLOOKUP(B220,'M&amp;D data'!$C$13:$G$266,5,FALSE)</f>
        <v>0.99619990923086066</v>
      </c>
      <c r="G220" s="173">
        <f>IF(SUMIF('Buildings data'!B:B,'Base MFF calcs'!B220,'Buildings data'!L:L)=0,VLOOKUP(D220,'PCT data'!$B$3:$K$154,10,FALSE),SUMIF('Buildings data'!B:B,'Base MFF calcs'!B220,'Buildings data'!L:L))</f>
        <v>0.99510923830215869</v>
      </c>
      <c r="H220" s="174">
        <f>IF(ISNA(VLOOKUP(B220,'Land data'!$B$2:$J$240,9,FALSE)),SUMIF('PCT data'!$F$3:$F$159,'Base MFF calcs'!B220,'PCT data'!$R$3:$R$159)/SUMIF('PCT data'!$F$3:$F$159,'Base MFF calcs'!B220,'PCT data'!$D$3:$D$159),VLOOKUP(B220,'Land data'!$B$2:$J$240,9,FALSE))</f>
        <v>0.96123885351358329</v>
      </c>
      <c r="I220" s="452">
        <f t="shared" si="3"/>
        <v>0.97542593191039439</v>
      </c>
    </row>
    <row r="221" spans="1:9" ht="12.75" customHeight="1" x14ac:dyDescent="0.2">
      <c r="A221" s="451" t="s">
        <v>1167</v>
      </c>
      <c r="B221" s="172" t="s">
        <v>689</v>
      </c>
      <c r="C221" s="172" t="s">
        <v>690</v>
      </c>
      <c r="D221" s="171" t="s">
        <v>3494</v>
      </c>
      <c r="E221" s="173">
        <f>IF(SUMIF('Staff data'!B:B,'Base MFF calcs'!B221,'Staff data'!O:O)=0,VLOOKUP(D221,'PCT data'!$B$3:$I$159,7,FALSE),SUMIF('Staff data'!B:B,'Base MFF calcs'!B221,'Staff data'!O:O))</f>
        <v>1.178847472199632</v>
      </c>
      <c r="F221" s="174">
        <f>VLOOKUP(B221,'M&amp;D data'!$C$13:$G$266,5,FALSE)</f>
        <v>1.0185025427599708</v>
      </c>
      <c r="G221" s="173">
        <f>IF(SUMIF('Buildings data'!B:B,'Base MFF calcs'!B221,'Buildings data'!L:L)=0,VLOOKUP(D221,'PCT data'!$B$3:$K$154,10,FALSE),SUMIF('Buildings data'!B:B,'Base MFF calcs'!B221,'Buildings data'!L:L))</f>
        <v>1.1145223468984178</v>
      </c>
      <c r="H221" s="174">
        <f>IF(ISNA(VLOOKUP(B221,'Land data'!$B$2:$J$240,9,FALSE)),SUMIF('PCT data'!$F$3:$F$159,'Base MFF calcs'!B221,'PCT data'!$R$3:$R$159)/SUMIF('PCT data'!$F$3:$F$159,'Base MFF calcs'!B221,'PCT data'!$D$3:$D$159),VLOOKUP(B221,'Land data'!$B$2:$J$240,9,FALSE))</f>
        <v>2.6642085929286372</v>
      </c>
      <c r="I221" s="452">
        <f t="shared" si="3"/>
        <v>1.1112957504971901</v>
      </c>
    </row>
    <row r="222" spans="1:9" ht="12.75" customHeight="1" x14ac:dyDescent="0.2">
      <c r="A222" s="451" t="s">
        <v>2975</v>
      </c>
      <c r="B222" s="172" t="s">
        <v>693</v>
      </c>
      <c r="C222" s="172" t="s">
        <v>694</v>
      </c>
      <c r="D222" s="171" t="s">
        <v>2991</v>
      </c>
      <c r="E222" s="173">
        <f>IF(SUMIF('Staff data'!B:B,'Base MFF calcs'!B222,'Staff data'!O:O)=0,VLOOKUP(D222,'PCT data'!$B$3:$I$159,7,FALSE),SUMIF('Staff data'!B:B,'Base MFF calcs'!B222,'Staff data'!O:O))</f>
        <v>0.93865079798690765</v>
      </c>
      <c r="F222" s="174">
        <f>VLOOKUP(B222,'M&amp;D data'!$C$13:$G$266,5,FALSE)</f>
        <v>0.99619990923086066</v>
      </c>
      <c r="G222" s="173">
        <f>IF(SUMIF('Buildings data'!B:B,'Base MFF calcs'!B222,'Buildings data'!L:L)=0,VLOOKUP(D222,'PCT data'!$B$3:$K$154,10,FALSE),SUMIF('Buildings data'!B:B,'Base MFF calcs'!B222,'Buildings data'!L:L))</f>
        <v>0.92545159162100754</v>
      </c>
      <c r="H222" s="174">
        <f>IF(ISNA(VLOOKUP(B222,'Land data'!$B$2:$J$240,9,FALSE)),SUMIF('PCT data'!$F$3:$F$159,'Base MFF calcs'!B222,'PCT data'!$R$3:$R$159)/SUMIF('PCT data'!$F$3:$F$159,'Base MFF calcs'!B222,'PCT data'!$D$3:$D$159),VLOOKUP(B222,'Land data'!$B$2:$J$240,9,FALSE))</f>
        <v>0.67183137725172104</v>
      </c>
      <c r="I222" s="452">
        <f t="shared" si="3"/>
        <v>0.96232534202629805</v>
      </c>
    </row>
    <row r="223" spans="1:9" ht="12.75" customHeight="1" x14ac:dyDescent="0.2">
      <c r="A223" s="451" t="s">
        <v>2133</v>
      </c>
      <c r="B223" s="172" t="s">
        <v>695</v>
      </c>
      <c r="C223" s="172" t="s">
        <v>696</v>
      </c>
      <c r="D223" s="171" t="s">
        <v>1125</v>
      </c>
      <c r="E223" s="173">
        <f>IF(SUMIF('Staff data'!B:B,'Base MFF calcs'!B223,'Staff data'!O:O)=0,VLOOKUP(D223,'PCT data'!$B$3:$I$159,7,FALSE),SUMIF('Staff data'!B:B,'Base MFF calcs'!B223,'Staff data'!O:O))</f>
        <v>0.93514816942763568</v>
      </c>
      <c r="F223" s="174">
        <f>VLOOKUP(B223,'M&amp;D data'!$C$13:$G$266,5,FALSE)</f>
        <v>0.99619990923086066</v>
      </c>
      <c r="G223" s="173">
        <f>IF(SUMIF('Buildings data'!B:B,'Base MFF calcs'!B223,'Buildings data'!L:L)=0,VLOOKUP(D223,'PCT data'!$B$3:$K$154,10,FALSE),SUMIF('Buildings data'!B:B,'Base MFF calcs'!B223,'Buildings data'!L:L))</f>
        <v>0.94535377638704965</v>
      </c>
      <c r="H223" s="174">
        <f>IF(ISNA(VLOOKUP(B223,'Land data'!$B$2:$J$240,9,FALSE)),SUMIF('PCT data'!$F$3:$F$159,'Base MFF calcs'!B223,'PCT data'!$R$3:$R$159)/SUMIF('PCT data'!$F$3:$F$159,'Base MFF calcs'!B223,'PCT data'!$D$3:$D$159),VLOOKUP(B223,'Land data'!$B$2:$J$240,9,FALSE))</f>
        <v>0.72335020368279379</v>
      </c>
      <c r="I223" s="452">
        <f t="shared" si="3"/>
        <v>0.96116289759207629</v>
      </c>
    </row>
    <row r="224" spans="1:9" ht="12.75" customHeight="1" x14ac:dyDescent="0.2">
      <c r="A224" s="451" t="s">
        <v>2133</v>
      </c>
      <c r="B224" s="172" t="s">
        <v>697</v>
      </c>
      <c r="C224" s="172" t="s">
        <v>698</v>
      </c>
      <c r="D224" s="171" t="s">
        <v>1125</v>
      </c>
      <c r="E224" s="173">
        <f>IF(SUMIF('Staff data'!B:B,'Base MFF calcs'!B224,'Staff data'!O:O)=0,VLOOKUP(D224,'PCT data'!$B$3:$I$159,7,FALSE),SUMIF('Staff data'!B:B,'Base MFF calcs'!B224,'Staff data'!O:O))</f>
        <v>0.93119310251000975</v>
      </c>
      <c r="F224" s="174">
        <f>VLOOKUP(B224,'M&amp;D data'!$C$13:$G$266,5,FALSE)</f>
        <v>0.99619990923086066</v>
      </c>
      <c r="G224" s="173">
        <f>IF(SUMIF('Buildings data'!B:B,'Base MFF calcs'!B224,'Buildings data'!L:L)=0,VLOOKUP(D224,'PCT data'!$B$3:$K$154,10,FALSE),SUMIF('Buildings data'!B:B,'Base MFF calcs'!B224,'Buildings data'!L:L))</f>
        <v>0.94535377638704943</v>
      </c>
      <c r="H224" s="174">
        <f>IF(ISNA(VLOOKUP(B224,'Land data'!$B$2:$J$240,9,FALSE)),SUMIF('PCT data'!$F$3:$F$159,'Base MFF calcs'!B224,'PCT data'!$R$3:$R$159)/SUMIF('PCT data'!$F$3:$F$159,'Base MFF calcs'!B224,'PCT data'!$D$3:$D$159),VLOOKUP(B224,'Land data'!$B$2:$J$240,9,FALSE))</f>
        <v>0.95609286208264599</v>
      </c>
      <c r="I224" s="452">
        <f t="shared" si="3"/>
        <v>0.96003413517050595</v>
      </c>
    </row>
    <row r="225" spans="1:9" ht="12.75" customHeight="1" x14ac:dyDescent="0.2">
      <c r="A225" s="451" t="s">
        <v>2975</v>
      </c>
      <c r="B225" s="172" t="s">
        <v>699</v>
      </c>
      <c r="C225" s="172" t="s">
        <v>700</v>
      </c>
      <c r="D225" s="171" t="s">
        <v>3033</v>
      </c>
      <c r="E225" s="173">
        <f>IF(SUMIF('Staff data'!B:B,'Base MFF calcs'!B225,'Staff data'!O:O)=0,VLOOKUP(D225,'PCT data'!$B$3:$I$159,7,FALSE),SUMIF('Staff data'!B:B,'Base MFF calcs'!B225,'Staff data'!O:O))</f>
        <v>0.94586861281785706</v>
      </c>
      <c r="F225" s="174">
        <f>VLOOKUP(B225,'M&amp;D data'!$C$13:$G$266,5,FALSE)</f>
        <v>0.99619990923086066</v>
      </c>
      <c r="G225" s="173">
        <f>IF(SUMIF('Buildings data'!B:B,'Base MFF calcs'!B225,'Buildings data'!L:L)=0,VLOOKUP(D225,'PCT data'!$B$3:$K$154,10,FALSE),SUMIF('Buildings data'!B:B,'Base MFF calcs'!B225,'Buildings data'!L:L))</f>
        <v>0.89045691674071503</v>
      </c>
      <c r="H225" s="174">
        <f>IF(ISNA(VLOOKUP(B225,'Land data'!$B$2:$J$240,9,FALSE)),SUMIF('PCT data'!$F$3:$F$159,'Base MFF calcs'!B225,'PCT data'!$R$3:$R$159)/SUMIF('PCT data'!$F$3:$F$159,'Base MFF calcs'!B225,'PCT data'!$D$3:$D$159),VLOOKUP(B225,'Land data'!$B$2:$J$240,9,FALSE))</f>
        <v>0.59833051559543426</v>
      </c>
      <c r="I225" s="452">
        <f t="shared" si="3"/>
        <v>0.96502744987391775</v>
      </c>
    </row>
    <row r="226" spans="1:9" ht="12.75" customHeight="1" x14ac:dyDescent="0.2">
      <c r="A226" s="451" t="s">
        <v>2133</v>
      </c>
      <c r="B226" s="172" t="s">
        <v>2393</v>
      </c>
      <c r="C226" s="172" t="s">
        <v>1317</v>
      </c>
      <c r="D226" s="171" t="s">
        <v>2149</v>
      </c>
      <c r="E226" s="173">
        <f>IF(SUMIF('Staff data'!B:B,'Base MFF calcs'!B226,'Staff data'!O:O)=0,VLOOKUP(D226,'PCT data'!$B$3:$I$159,7,FALSE),SUMIF('Staff data'!B:B,'Base MFF calcs'!B226,'Staff data'!O:O))</f>
        <v>0.91549812353238469</v>
      </c>
      <c r="F226" s="174">
        <f>VLOOKUP(B226,'M&amp;D data'!$C$13:$G$266,5,FALSE)</f>
        <v>0.99619990923086066</v>
      </c>
      <c r="G226" s="173">
        <f>IF(SUMIF('Buildings data'!B:B,'Base MFF calcs'!B226,'Buildings data'!L:L)=0,VLOOKUP(D226,'PCT data'!$B$3:$K$154,10,FALSE),SUMIF('Buildings data'!B:B,'Base MFF calcs'!B226,'Buildings data'!L:L))</f>
        <v>0.91550049923798604</v>
      </c>
      <c r="H226" s="174">
        <f>IF(ISNA(VLOOKUP(B226,'Land data'!$B$2:$J$240,9,FALSE)),SUMIF('PCT data'!$F$3:$F$159,'Base MFF calcs'!B226,'PCT data'!$R$3:$R$159)/SUMIF('PCT data'!$F$3:$F$159,'Base MFF calcs'!B226,'PCT data'!$D$3:$D$159),VLOOKUP(B226,'Land data'!$B$2:$J$240,9,FALSE))</f>
        <v>0.60317860113348698</v>
      </c>
      <c r="I226" s="452">
        <f t="shared" si="3"/>
        <v>0.94903835058907848</v>
      </c>
    </row>
    <row r="227" spans="1:9" ht="12.75" customHeight="1" x14ac:dyDescent="0.2">
      <c r="A227" s="451" t="s">
        <v>3528</v>
      </c>
      <c r="B227" s="172" t="s">
        <v>701</v>
      </c>
      <c r="C227" s="172" t="s">
        <v>702</v>
      </c>
      <c r="D227" s="171" t="s">
        <v>3559</v>
      </c>
      <c r="E227" s="173">
        <f>IF(SUMIF('Staff data'!B:B,'Base MFF calcs'!B227,'Staff data'!O:O)=0,VLOOKUP(D227,'PCT data'!$B$3:$I$159,7,FALSE),SUMIF('Staff data'!B:B,'Base MFF calcs'!B227,'Staff data'!O:O))</f>
        <v>0.92252127544811446</v>
      </c>
      <c r="F227" s="174">
        <f>VLOOKUP(B227,'M&amp;D data'!$C$13:$G$266,5,FALSE)</f>
        <v>0.99619990923086066</v>
      </c>
      <c r="G227" s="173">
        <f>IF(SUMIF('Buildings data'!B:B,'Base MFF calcs'!B227,'Buildings data'!L:L)=0,VLOOKUP(D227,'PCT data'!$B$3:$K$154,10,FALSE),SUMIF('Buildings data'!B:B,'Base MFF calcs'!B227,'Buildings data'!L:L))</f>
        <v>0.96525596115309287</v>
      </c>
      <c r="H227" s="174">
        <f>IF(ISNA(VLOOKUP(B227,'Land data'!$B$2:$J$240,9,FALSE)),SUMIF('PCT data'!$F$3:$F$159,'Base MFF calcs'!B227,'PCT data'!$R$3:$R$159)/SUMIF('PCT data'!$F$3:$F$159,'Base MFF calcs'!B227,'PCT data'!$D$3:$D$159),VLOOKUP(B227,'Land data'!$B$2:$J$240,9,FALSE))</f>
        <v>1.7460259189378895</v>
      </c>
      <c r="I227" s="452">
        <f t="shared" si="3"/>
        <v>0.95934261187923031</v>
      </c>
    </row>
    <row r="228" spans="1:9" ht="12.75" customHeight="1" x14ac:dyDescent="0.2">
      <c r="A228" s="451" t="s">
        <v>3034</v>
      </c>
      <c r="B228" s="172" t="s">
        <v>703</v>
      </c>
      <c r="C228" s="468" t="s">
        <v>1289</v>
      </c>
      <c r="D228" s="171" t="s">
        <v>3046</v>
      </c>
      <c r="E228" s="173">
        <f>IF(SUMIF('Staff data'!B:B,'Base MFF calcs'!B228,'Staff data'!O:O)=0,VLOOKUP(D228,'PCT data'!$B$3:$I$159,7,FALSE),SUMIF('Staff data'!B:B,'Base MFF calcs'!B228,'Staff data'!O:O))</f>
        <v>0.93708275999009871</v>
      </c>
      <c r="F228" s="174">
        <f>VLOOKUP(B228,'M&amp;D data'!$C$13:$G$266,5,FALSE)</f>
        <v>0.99619990923086066</v>
      </c>
      <c r="G228" s="173">
        <f>IF(SUMIF('Buildings data'!B:B,'Base MFF calcs'!B228,'Buildings data'!L:L)=0,VLOOKUP(D228,'PCT data'!$B$3:$K$154,10,FALSE),SUMIF('Buildings data'!B:B,'Base MFF calcs'!B228,'Buildings data'!L:L))</f>
        <v>0.97520705353611448</v>
      </c>
      <c r="H228" s="174">
        <f>IF(ISNA(VLOOKUP(B228,'Land data'!$B$2:$J$240,9,FALSE)),SUMIF('PCT data'!$F$3:$F$159,'Base MFF calcs'!B228,'PCT data'!$R$3:$R$159)/SUMIF('PCT data'!$F$3:$F$159,'Base MFF calcs'!B228,'PCT data'!$D$3:$D$159),VLOOKUP(B228,'Land data'!$B$2:$J$240,9,FALSE))</f>
        <v>0.70529881633924918</v>
      </c>
      <c r="I228" s="452">
        <f t="shared" si="3"/>
        <v>0.96293952918840531</v>
      </c>
    </row>
    <row r="229" spans="1:9" s="161" customFormat="1" ht="11.25" x14ac:dyDescent="0.2">
      <c r="A229" s="553" t="s">
        <v>2133</v>
      </c>
      <c r="B229" s="554" t="s">
        <v>2281</v>
      </c>
      <c r="C229" s="555" t="s">
        <v>2282</v>
      </c>
      <c r="D229" s="555"/>
      <c r="E229" s="471">
        <f>IF(SUMIF('Staff data'!B:B,'Base MFF calcs'!B229,'Staff data'!O:O)=0,VLOOKUP(D229,'PCT data'!$B$3:$I$159,7,FALSE),SUMIF('Staff data'!B:B,'Base MFF calcs'!B229,'Staff data'!O:O))</f>
        <v>0.96153033409347421</v>
      </c>
      <c r="F229" s="471">
        <f>VLOOKUP(B229,'M&amp;D data'!$C$13:$G$266,5,FALSE)</f>
        <v>0.99619990923086066</v>
      </c>
      <c r="G229" s="471">
        <f>IF(SUMIF('Buildings data'!B:B,'Base MFF calcs'!B229,'Buildings data'!L:L)=0,VLOOKUP(D229,'PCT data'!$B$3:$K$154,10,FALSE),SUMIF('Buildings data'!B:B,'Base MFF calcs'!B229,'Buildings data'!L:L))</f>
        <v>0.94535377638704976</v>
      </c>
      <c r="H229" s="471">
        <f>IF(ISNA(VLOOKUP(B229,'Land data'!$B$2:$J$240,9,FALSE)),SUMIF('PCT data'!$F$3:$F$159,'Base MFF calcs'!B229,'PCT data'!$R$3:$R$159)/SUMIF('PCT data'!$F$3:$F$159,'Base MFF calcs'!B229,'PCT data'!$D$3:$D$159),VLOOKUP(B229,'Land data'!$B$2:$J$240,9,FALSE))</f>
        <v>1.4345213913427193</v>
      </c>
      <c r="I229" s="556">
        <f t="shared" ref="I229:I247" si="4">E229*$E$4+F229*$F$4+G229*$G$4+H229*$H$4+$I$4</f>
        <v>0.97883807056052974</v>
      </c>
    </row>
    <row r="230" spans="1:9" s="161" customFormat="1" ht="11.25" x14ac:dyDescent="0.2">
      <c r="A230" s="557" t="s">
        <v>2975</v>
      </c>
      <c r="B230" s="467" t="s">
        <v>2291</v>
      </c>
      <c r="C230" s="171" t="s">
        <v>654</v>
      </c>
      <c r="D230" s="171"/>
      <c r="E230" s="469">
        <f>IF(SUMIF('Staff data'!B:B,'Base MFF calcs'!B230,'Staff data'!O:O)=0,VLOOKUP(D230,'PCT data'!$B$3:$I$159,7,FALSE),SUMIF('Staff data'!B:B,'Base MFF calcs'!B230,'Staff data'!O:O))</f>
        <v>0.94727206576339362</v>
      </c>
      <c r="F230" s="471">
        <f>VLOOKUP(B230,'M&amp;D data'!$C$13:$G$266,5,FALSE)</f>
        <v>0.99619990923086066</v>
      </c>
      <c r="G230" s="469">
        <f>IF(SUMIF('Buildings data'!B:B,'Base MFF calcs'!B230,'Buildings data'!L:L)=0,VLOOKUP(D230,'PCT data'!$B$3:$K$154,10,FALSE),SUMIF('Buildings data'!B:B,'Base MFF calcs'!B230,'Buildings data'!L:L))</f>
        <v>0.88564722208892122</v>
      </c>
      <c r="H230" s="471">
        <f>IF(ISNA(VLOOKUP(B230,'Land data'!$B$2:$J$240,9,FALSE)),SUMIF('PCT data'!$F$3:$F$159,'Base MFF calcs'!B230,'PCT data'!$R$3:$R$159)/SUMIF('PCT data'!$F$3:$F$159,'Base MFF calcs'!B230,'PCT data'!$D$3:$D$159),VLOOKUP(B230,'Land data'!$B$2:$J$240,9,FALSE))</f>
        <v>0.30826311853940092</v>
      </c>
      <c r="I230" s="558">
        <f t="shared" si="4"/>
        <v>0.96436996056066104</v>
      </c>
    </row>
    <row r="231" spans="1:9" s="161" customFormat="1" ht="11.25" x14ac:dyDescent="0.2">
      <c r="A231" s="557" t="s">
        <v>1127</v>
      </c>
      <c r="B231" s="467" t="s">
        <v>2306</v>
      </c>
      <c r="C231" s="468" t="s">
        <v>2307</v>
      </c>
      <c r="D231" s="468"/>
      <c r="E231" s="469">
        <f>IF(SUMIF('Staff data'!B:B,'Base MFF calcs'!B231,'Staff data'!O:O)=0,VLOOKUP(D231,'PCT data'!$B$3:$I$159,7,FALSE),SUMIF('Staff data'!B:B,'Base MFF calcs'!B231,'Staff data'!O:O))</f>
        <v>1.024064438565814</v>
      </c>
      <c r="F231" s="471">
        <f>VLOOKUP(B231,'M&amp;D data'!$C$13:$G$266,5,FALSE)</f>
        <v>0.99619990923086066</v>
      </c>
      <c r="G231" s="469">
        <f>IF(SUMIF('Buildings data'!B:B,'Base MFF calcs'!B231,'Buildings data'!L:L)=0,VLOOKUP(D231,'PCT data'!$B$3:$K$154,10,FALSE),SUMIF('Buildings data'!B:B,'Base MFF calcs'!B231,'Buildings data'!L:L))</f>
        <v>0.99396233006422219</v>
      </c>
      <c r="H231" s="471">
        <f>IF(ISNA(VLOOKUP(B231,'Land data'!$B$2:$J$240,9,FALSE)),SUMIF('PCT data'!$F$3:$F$159,'Base MFF calcs'!B231,'PCT data'!$R$3:$R$159)/SUMIF('PCT data'!$F$3:$F$159,'Base MFF calcs'!B231,'PCT data'!$D$3:$D$159),VLOOKUP(B231,'Land data'!$B$2:$J$240,9,FALSE))</f>
        <v>0.93541516895319388</v>
      </c>
      <c r="I231" s="558">
        <f t="shared" si="4"/>
        <v>1.0122362501852271</v>
      </c>
    </row>
    <row r="232" spans="1:9" s="161" customFormat="1" ht="12.75" customHeight="1" x14ac:dyDescent="0.2">
      <c r="A232" s="557" t="s">
        <v>1167</v>
      </c>
      <c r="B232" s="467" t="s">
        <v>2312</v>
      </c>
      <c r="C232" s="559" t="s">
        <v>2313</v>
      </c>
      <c r="D232" s="559"/>
      <c r="E232" s="469">
        <f>IF(SUMIF('Staff data'!B:B,'Base MFF calcs'!B232,'Staff data'!O:O)=0,VLOOKUP(D232,'PCT data'!$B$3:$I$159,7,FALSE),SUMIF('Staff data'!B:B,'Base MFF calcs'!B232,'Staff data'!O:O))</f>
        <v>1.2020044845576636</v>
      </c>
      <c r="F232" s="471">
        <f>VLOOKUP(B232,'M&amp;D data'!$C$13:$G$266,5,FALSE)</f>
        <v>0.99619990923086066</v>
      </c>
      <c r="G232" s="469">
        <f>IF(SUMIF('Buildings data'!B:B,'Base MFF calcs'!B232,'Buildings data'!L:L)=0,VLOOKUP(D232,'PCT data'!$B$3:$K$154,10,FALSE),SUMIF('Buildings data'!B:B,'Base MFF calcs'!B232,'Buildings data'!L:L))</f>
        <v>1.2171297347132426</v>
      </c>
      <c r="H232" s="471">
        <f>IF(ISNA(VLOOKUP(B232,'Land data'!$B$2:$J$240,9,FALSE)),SUMIF('PCT data'!$F$3:$F$159,'Base MFF calcs'!B232,'PCT data'!$R$3:$R$159)/SUMIF('PCT data'!$F$3:$F$159,'Base MFF calcs'!B232,'PCT data'!$D$3:$D$159),VLOOKUP(B232,'Land data'!$B$2:$J$240,9,FALSE))</f>
        <v>6.434593279136176</v>
      </c>
      <c r="I232" s="558">
        <f t="shared" si="4"/>
        <v>1.1405431403582402</v>
      </c>
    </row>
    <row r="233" spans="1:9" s="161" customFormat="1" ht="11.25" x14ac:dyDescent="0.2">
      <c r="A233" s="557" t="s">
        <v>3069</v>
      </c>
      <c r="B233" s="468" t="s">
        <v>2331</v>
      </c>
      <c r="C233" s="468" t="s">
        <v>2332</v>
      </c>
      <c r="D233" s="468"/>
      <c r="E233" s="469">
        <f>IF(SUMIF('Staff data'!B:B,'Base MFF calcs'!B233,'Staff data'!O:O)=0,VLOOKUP(D233,'PCT data'!$B$3:$I$159,7,FALSE),SUMIF('Staff data'!B:B,'Base MFF calcs'!B233,'Staff data'!O:O))</f>
        <v>0.92830522596219622</v>
      </c>
      <c r="F233" s="471">
        <f>VLOOKUP(B233,'M&amp;D data'!$C$13:$G$266,5,FALSE)</f>
        <v>0.99619990923086066</v>
      </c>
      <c r="G233" s="469">
        <f>IF(SUMIF('Buildings data'!B:B,'Base MFF calcs'!B233,'Buildings data'!L:L)=0,VLOOKUP(D233,'PCT data'!$B$3:$K$154,10,FALSE),SUMIF('Buildings data'!B:B,'Base MFF calcs'!B233,'Buildings data'!L:L))</f>
        <v>0.92545159162100765</v>
      </c>
      <c r="H233" s="471">
        <f>IF(ISNA(VLOOKUP(B233,'Land data'!$B$2:$J$240,9,FALSE)),SUMIF('PCT data'!$F$3:$F$159,'Base MFF calcs'!B233,'PCT data'!$R$3:$R$159)/SUMIF('PCT data'!$F$3:$F$159,'Base MFF calcs'!B233,'PCT data'!$D$3:$D$159),VLOOKUP(B233,'Land data'!$B$2:$J$240,9,FALSE))</f>
        <v>0.53202606197301783</v>
      </c>
      <c r="I233" s="558">
        <f t="shared" si="4"/>
        <v>0.95601748832698208</v>
      </c>
    </row>
    <row r="234" spans="1:9" s="161" customFormat="1" ht="11.25" x14ac:dyDescent="0.2">
      <c r="A234" s="557" t="s">
        <v>1127</v>
      </c>
      <c r="B234" s="467" t="s">
        <v>1318</v>
      </c>
      <c r="C234" s="468" t="s">
        <v>1319</v>
      </c>
      <c r="D234" s="468"/>
      <c r="E234" s="469">
        <f>IF(SUMIF('Staff data'!B:B,'Base MFF calcs'!B234,'Staff data'!O:O)=0,VLOOKUP(D234,'PCT data'!$B$3:$I$159,7,FALSE),SUMIF('Staff data'!B:B,'Base MFF calcs'!B234,'Staff data'!O:O))</f>
        <v>1.081171284758579</v>
      </c>
      <c r="F234" s="471">
        <f>VLOOKUP(B234,'M&amp;D data'!$C$13:$G$266,5,FALSE)</f>
        <v>0.99619990923086066</v>
      </c>
      <c r="G234" s="469">
        <f>IF(SUMIF('Buildings data'!B:B,'Base MFF calcs'!B234,'Buildings data'!L:L)=0,VLOOKUP(D234,'PCT data'!$B$3:$K$154,10,FALSE),SUMIF('Buildings data'!B:B,'Base MFF calcs'!B234,'Buildings data'!L:L))</f>
        <v>1.0796935235578422</v>
      </c>
      <c r="H234" s="471">
        <f>IF(ISNA(VLOOKUP(B234,'Land data'!$B$2:$J$240,9,FALSE)),SUMIF('PCT data'!$F$3:$F$159,'Base MFF calcs'!B234,'PCT data'!$R$3:$R$159)/SUMIF('PCT data'!$F$3:$F$159,'Base MFF calcs'!B234,'PCT data'!$D$3:$D$159),VLOOKUP(B234,'Land data'!$B$2:$J$240,9,FALSE))</f>
        <v>2.1458907827751985</v>
      </c>
      <c r="I234" s="558">
        <f t="shared" si="4"/>
        <v>1.0513051997920342</v>
      </c>
    </row>
    <row r="235" spans="1:9" s="161" customFormat="1" ht="11.25" x14ac:dyDescent="0.2">
      <c r="A235" s="557" t="s">
        <v>1167</v>
      </c>
      <c r="B235" s="468" t="s">
        <v>1326</v>
      </c>
      <c r="C235" s="468" t="s">
        <v>1327</v>
      </c>
      <c r="D235" s="468"/>
      <c r="E235" s="469">
        <f>IF(SUMIF('Staff data'!B:B,'Base MFF calcs'!B235,'Staff data'!O:O)=0,VLOOKUP(D235,'PCT data'!$B$3:$I$159,7,FALSE),SUMIF('Staff data'!B:B,'Base MFF calcs'!B235,'Staff data'!O:O))</f>
        <v>1.1667038123864777</v>
      </c>
      <c r="F235" s="471">
        <f>VLOOKUP(B235,'M&amp;D data'!$C$13:$G$266,5,FALSE)</f>
        <v>0.99619990923086066</v>
      </c>
      <c r="G235" s="469">
        <f>IF(SUMIF('Buildings data'!B:B,'Base MFF calcs'!B235,'Buildings data'!L:L)=0,VLOOKUP(D235,'PCT data'!$B$3:$K$154,10,FALSE),SUMIF('Buildings data'!B:B,'Base MFF calcs'!B235,'Buildings data'!L:L))</f>
        <v>1.1045712545153963</v>
      </c>
      <c r="H235" s="471">
        <f>IF(ISNA(VLOOKUP(B235,'Land data'!$B$2:$J$240,9,FALSE)),SUMIF('PCT data'!$F$3:$F$159,'Base MFF calcs'!B235,'PCT data'!$R$3:$R$159)/SUMIF('PCT data'!$F$3:$F$159,'Base MFF calcs'!B235,'PCT data'!$D$3:$D$159),VLOOKUP(B235,'Land data'!$B$2:$J$240,9,FALSE))</f>
        <v>0.70386031087946133</v>
      </c>
      <c r="I235" s="558">
        <f t="shared" si="4"/>
        <v>1.0924746333042517</v>
      </c>
    </row>
    <row r="236" spans="1:9" s="161" customFormat="1" ht="11.25" x14ac:dyDescent="0.2">
      <c r="A236" s="557" t="s">
        <v>191</v>
      </c>
      <c r="B236" s="467" t="s">
        <v>3374</v>
      </c>
      <c r="C236" s="467" t="s">
        <v>3375</v>
      </c>
      <c r="D236" s="467"/>
      <c r="E236" s="469">
        <f>IF(SUMIF('Staff data'!B:B,'Base MFF calcs'!B236,'Staff data'!O:O)=0,VLOOKUP(D236,'PCT data'!$B$3:$I$159,7,FALSE),SUMIF('Staff data'!B:B,'Base MFF calcs'!B236,'Staff data'!O:O))</f>
        <v>0.95738771365736564</v>
      </c>
      <c r="F236" s="471">
        <f>VLOOKUP(B236,'M&amp;D data'!$C$13:$G$266,5,FALSE)</f>
        <v>0.99619990923086066</v>
      </c>
      <c r="G236" s="469">
        <f>IF(SUMIF('Buildings data'!B:B,'Base MFF calcs'!B236,'Buildings data'!L:L)=0,VLOOKUP(D236,'PCT data'!$B$3:$K$154,10,FALSE),SUMIF('Buildings data'!B:B,'Base MFF calcs'!B236,'Buildings data'!L:L))</f>
        <v>1.0249625154512234</v>
      </c>
      <c r="H236" s="471">
        <f>IF(ISNA(VLOOKUP(B236,'Land data'!$B$2:$J$240,9,FALSE)),SUMIF('PCT data'!$F$3:$F$159,'Base MFF calcs'!B236,'PCT data'!$R$3:$R$159)/SUMIF('PCT data'!$F$3:$F$159,'Base MFF calcs'!B236,'PCT data'!$D$3:$D$159),VLOOKUP(B236,'Land data'!$B$2:$J$240,9,FALSE))</f>
        <v>0.30806215735003734</v>
      </c>
      <c r="I236" s="558">
        <f t="shared" si="4"/>
        <v>0.97363480047988227</v>
      </c>
    </row>
    <row r="237" spans="1:9" s="161" customFormat="1" ht="11.25" x14ac:dyDescent="0.2">
      <c r="A237" s="557" t="s">
        <v>3496</v>
      </c>
      <c r="B237" s="467" t="s">
        <v>1340</v>
      </c>
      <c r="C237" s="171" t="s">
        <v>657</v>
      </c>
      <c r="D237" s="171"/>
      <c r="E237" s="469">
        <f>IF(SUMIF('Staff data'!B:B,'Base MFF calcs'!B237,'Staff data'!O:O)=0,VLOOKUP(D237,'PCT data'!$B$3:$I$159,7,FALSE),SUMIF('Staff data'!B:B,'Base MFF calcs'!B237,'Staff data'!O:O))</f>
        <v>0.99043315085240191</v>
      </c>
      <c r="F237" s="471">
        <f>VLOOKUP(B237,'M&amp;D data'!$C$13:$G$266,5,FALSE)</f>
        <v>0.99619990923086066</v>
      </c>
      <c r="G237" s="469">
        <f>IF(SUMIF('Buildings data'!B:B,'Base MFF calcs'!B237,'Buildings data'!L:L)=0,VLOOKUP(D237,'PCT data'!$B$3:$K$154,10,FALSE),SUMIF('Buildings data'!B:B,'Base MFF calcs'!B237,'Buildings data'!L:L))</f>
        <v>1.0591030778002071</v>
      </c>
      <c r="H237" s="471">
        <f>IF(ISNA(VLOOKUP(B237,'Land data'!$B$2:$J$240,9,FALSE)),SUMIF('PCT data'!$F$3:$F$159,'Base MFF calcs'!B237,'PCT data'!$R$3:$R$159)/SUMIF('PCT data'!$F$3:$F$159,'Base MFF calcs'!B237,'PCT data'!$D$3:$D$159),VLOOKUP(B237,'Land data'!$B$2:$J$240,9,FALSE))</f>
        <v>0.65398803197541877</v>
      </c>
      <c r="I237" s="558">
        <f t="shared" si="4"/>
        <v>0.99424142023572792</v>
      </c>
    </row>
    <row r="238" spans="1:9" s="161" customFormat="1" ht="11.25" x14ac:dyDescent="0.2">
      <c r="A238" s="557" t="s">
        <v>3069</v>
      </c>
      <c r="B238" s="468" t="s">
        <v>367</v>
      </c>
      <c r="C238" s="468" t="s">
        <v>368</v>
      </c>
      <c r="D238" s="468"/>
      <c r="E238" s="469">
        <f>IF(SUMIF('Staff data'!B:B,'Base MFF calcs'!B238,'Staff data'!O:O)=0,VLOOKUP(D238,'PCT data'!$B$3:$I$159,7,FALSE),SUMIF('Staff data'!B:B,'Base MFF calcs'!B238,'Staff data'!O:O))</f>
        <v>0.90058446009890769</v>
      </c>
      <c r="F238" s="471">
        <f>VLOOKUP(B238,'M&amp;D data'!$C$13:$G$266,5,FALSE)</f>
        <v>0.99619990923086066</v>
      </c>
      <c r="G238" s="469">
        <f>IF(SUMIF('Buildings data'!B:B,'Base MFF calcs'!B238,'Buildings data'!L:L)=0,VLOOKUP(D238,'PCT data'!$B$3:$K$154,10,FALSE),SUMIF('Buildings data'!B:B,'Base MFF calcs'!B238,'Buildings data'!L:L))</f>
        <v>0.90554940685496443</v>
      </c>
      <c r="H238" s="471">
        <f>IF(ISNA(VLOOKUP(B238,'Land data'!$B$2:$J$240,9,FALSE)),SUMIF('PCT data'!$F$3:$F$159,'Base MFF calcs'!B238,'PCT data'!$R$3:$R$159)/SUMIF('PCT data'!$F$3:$F$159,'Base MFF calcs'!B238,'PCT data'!$D$3:$D$159),VLOOKUP(B238,'Land data'!$B$2:$J$240,9,FALSE))</f>
        <v>0.62996457822615215</v>
      </c>
      <c r="I238" s="558">
        <f t="shared" si="4"/>
        <v>0.94070354892207475</v>
      </c>
    </row>
    <row r="239" spans="1:9" s="161" customFormat="1" ht="11.25" x14ac:dyDescent="0.2">
      <c r="A239" s="557" t="s">
        <v>2975</v>
      </c>
      <c r="B239" s="467" t="s">
        <v>371</v>
      </c>
      <c r="C239" s="468" t="s">
        <v>372</v>
      </c>
      <c r="D239" s="468"/>
      <c r="E239" s="469">
        <f>IF(SUMIF('Staff data'!B:B,'Base MFF calcs'!B239,'Staff data'!O:O)=0,VLOOKUP(D239,'PCT data'!$B$3:$I$159,7,FALSE),SUMIF('Staff data'!B:B,'Base MFF calcs'!B239,'Staff data'!O:O))</f>
        <v>0.94814745836960268</v>
      </c>
      <c r="F239" s="471">
        <f>VLOOKUP(B239,'M&amp;D data'!$C$13:$G$266,5,FALSE)</f>
        <v>0.99619990923086066</v>
      </c>
      <c r="G239" s="469">
        <f>IF(SUMIF('Buildings data'!B:B,'Base MFF calcs'!B239,'Buildings data'!L:L)=0,VLOOKUP(D239,'PCT data'!$B$3:$K$154,10,FALSE),SUMIF('Buildings data'!B:B,'Base MFF calcs'!B239,'Buildings data'!L:L))</f>
        <v>0.91550049923798604</v>
      </c>
      <c r="H239" s="471">
        <f>IF(ISNA(VLOOKUP(B239,'Land data'!$B$2:$J$240,9,FALSE)),SUMIF('PCT data'!$F$3:$F$159,'Base MFF calcs'!B239,'PCT data'!$R$3:$R$159)/SUMIF('PCT data'!$F$3:$F$159,'Base MFF calcs'!B239,'PCT data'!$D$3:$D$159),VLOOKUP(B239,'Land data'!$B$2:$J$240,9,FALSE))</f>
        <v>0.62299183419259441</v>
      </c>
      <c r="I239" s="558">
        <f t="shared" si="4"/>
        <v>0.9670564572387037</v>
      </c>
    </row>
    <row r="240" spans="1:9" s="161" customFormat="1" ht="11.25" x14ac:dyDescent="0.2">
      <c r="A240" s="557" t="s">
        <v>1127</v>
      </c>
      <c r="B240" s="467" t="s">
        <v>409</v>
      </c>
      <c r="C240" s="468" t="s">
        <v>410</v>
      </c>
      <c r="D240" s="468"/>
      <c r="E240" s="469">
        <f>IF(SUMIF('Staff data'!B:B,'Base MFF calcs'!B240,'Staff data'!O:O)=0,VLOOKUP(D240,'PCT data'!$B$3:$I$159,7,FALSE),SUMIF('Staff data'!B:B,'Base MFF calcs'!B240,'Staff data'!O:O))</f>
        <v>0.90875479109019275</v>
      </c>
      <c r="F240" s="471">
        <f>VLOOKUP(B240,'M&amp;D data'!$C$13:$G$266,5,FALSE)</f>
        <v>0.99619990923086066</v>
      </c>
      <c r="G240" s="469">
        <f>IF(SUMIF('Buildings data'!B:B,'Base MFF calcs'!B240,'Buildings data'!L:L)=0,VLOOKUP(D240,'PCT data'!$B$3:$K$154,10,FALSE),SUMIF('Buildings data'!B:B,'Base MFF calcs'!B240,'Buildings data'!L:L))</f>
        <v>0.92545159162100765</v>
      </c>
      <c r="H240" s="471">
        <f>IF(ISNA(VLOOKUP(B240,'Land data'!$B$2:$J$240,9,FALSE)),SUMIF('PCT data'!$F$3:$F$159,'Base MFF calcs'!B240,'PCT data'!$R$3:$R$159)/SUMIF('PCT data'!$F$3:$F$159,'Base MFF calcs'!B240,'PCT data'!$D$3:$D$159),VLOOKUP(B240,'Land data'!$B$2:$J$240,9,FALSE))</f>
        <v>0.28871719867361362</v>
      </c>
      <c r="I240" s="558">
        <f t="shared" si="4"/>
        <v>0.94419090322351029</v>
      </c>
    </row>
    <row r="241" spans="1:9" s="161" customFormat="1" ht="11.25" x14ac:dyDescent="0.2">
      <c r="A241" s="557" t="s">
        <v>2133</v>
      </c>
      <c r="B241" s="467" t="s">
        <v>2784</v>
      </c>
      <c r="C241" s="171" t="s">
        <v>650</v>
      </c>
      <c r="D241" s="171"/>
      <c r="E241" s="469">
        <f>IF(SUMIF('Staff data'!B:B,'Base MFF calcs'!B241,'Staff data'!O:O)=0,VLOOKUP(D241,'PCT data'!$B$3:$I$159,7,FALSE),SUMIF('Staff data'!B:B,'Base MFF calcs'!B241,'Staff data'!O:O))</f>
        <v>0.91946978478290642</v>
      </c>
      <c r="F241" s="471">
        <f>VLOOKUP(B241,'M&amp;D data'!$C$13:$G$266,5,FALSE)</f>
        <v>0.99619990923086066</v>
      </c>
      <c r="G241" s="469">
        <f>IF(SUMIF('Buildings data'!B:B,'Base MFF calcs'!B241,'Buildings data'!L:L)=0,VLOOKUP(D241,'PCT data'!$B$3:$K$154,10,FALSE),SUMIF('Buildings data'!B:B,'Base MFF calcs'!B241,'Buildings data'!L:L))</f>
        <v>0.9282671313133275</v>
      </c>
      <c r="H241" s="471">
        <f>IF(ISNA(VLOOKUP(B241,'Land data'!$B$2:$J$240,9,FALSE)),SUMIF('PCT data'!$F$3:$F$159,'Base MFF calcs'!B241,'PCT data'!$R$3:$R$159)/SUMIF('PCT data'!$F$3:$F$159,'Base MFF calcs'!B241,'PCT data'!$D$3:$D$159),VLOOKUP(B241,'Land data'!$B$2:$J$240,9,FALSE))</f>
        <v>1.6881334055293467</v>
      </c>
      <c r="I241" s="558">
        <f t="shared" si="4"/>
        <v>0.95642219629721659</v>
      </c>
    </row>
    <row r="242" spans="1:9" s="161" customFormat="1" ht="11.25" x14ac:dyDescent="0.2">
      <c r="A242" s="557" t="s">
        <v>191</v>
      </c>
      <c r="B242" s="467" t="s">
        <v>2785</v>
      </c>
      <c r="C242" s="467" t="s">
        <v>2786</v>
      </c>
      <c r="D242" s="467"/>
      <c r="E242" s="469">
        <f>IF(SUMIF('Staff data'!B:B,'Base MFF calcs'!B242,'Staff data'!O:O)=0,VLOOKUP(D242,'PCT data'!$B$3:$I$159,7,FALSE),SUMIF('Staff data'!B:B,'Base MFF calcs'!B242,'Staff data'!O:O))</f>
        <v>1.0188697760921026</v>
      </c>
      <c r="F242" s="471">
        <f>VLOOKUP(B242,'M&amp;D data'!$C$13:$G$266,5,FALSE)</f>
        <v>0.99619990923086066</v>
      </c>
      <c r="G242" s="469">
        <f>IF(SUMIF('Buildings data'!B:B,'Base MFF calcs'!B242,'Buildings data'!L:L)=0,VLOOKUP(D242,'PCT data'!$B$3:$K$154,10,FALSE),SUMIF('Buildings data'!B:B,'Base MFF calcs'!B242,'Buildings data'!L:L))</f>
        <v>1.001182228224599</v>
      </c>
      <c r="H242" s="471">
        <f>IF(ISNA(VLOOKUP(B242,'Land data'!$B$2:$J$240,9,FALSE)),SUMIF('PCT data'!$F$3:$F$159,'Base MFF calcs'!B242,'PCT data'!$R$3:$R$159)/SUMIF('PCT data'!$F$3:$F$159,'Base MFF calcs'!B242,'PCT data'!$D$3:$D$159),VLOOKUP(B242,'Land data'!$B$2:$J$240,9,FALSE))</f>
        <v>1.4092242454565271</v>
      </c>
      <c r="I242" s="558">
        <f t="shared" si="4"/>
        <v>1.0116995338799022</v>
      </c>
    </row>
    <row r="243" spans="1:9" s="161" customFormat="1" ht="12.75" customHeight="1" x14ac:dyDescent="0.2">
      <c r="A243" s="557" t="s">
        <v>2133</v>
      </c>
      <c r="B243" s="468" t="s">
        <v>577</v>
      </c>
      <c r="C243" s="171" t="s">
        <v>651</v>
      </c>
      <c r="D243" s="171"/>
      <c r="E243" s="469">
        <f>IF(SUMIF('Staff data'!B:B,'Base MFF calcs'!B243,'Staff data'!O:O)=0,VLOOKUP(D243,'PCT data'!$B$3:$I$159,7,FALSE),SUMIF('Staff data'!B:B,'Base MFF calcs'!B243,'Staff data'!O:O))</f>
        <v>0.92709984031998494</v>
      </c>
      <c r="F243" s="471">
        <f>VLOOKUP(B243,'M&amp;D data'!$C$13:$G$266,5,FALSE)</f>
        <v>0.99619990923086066</v>
      </c>
      <c r="G243" s="469">
        <f>IF(SUMIF('Buildings data'!B:B,'Base MFF calcs'!B243,'Buildings data'!L:L)=0,VLOOKUP(D243,'PCT data'!$B$3:$K$154,10,FALSE),SUMIF('Buildings data'!B:B,'Base MFF calcs'!B243,'Buildings data'!L:L))</f>
        <v>0.91779866132456767</v>
      </c>
      <c r="H243" s="471">
        <f>IF(ISNA(VLOOKUP(B243,'Land data'!$B$2:$J$240,9,FALSE)),SUMIF('PCT data'!$F$3:$F$159,'Base MFF calcs'!B243,'PCT data'!$R$3:$R$159)/SUMIF('PCT data'!$F$3:$F$159,'Base MFF calcs'!B243,'PCT data'!$D$3:$D$159),VLOOKUP(B243,'Land data'!$B$2:$J$240,9,FALSE))</f>
        <v>0.85336408434624533</v>
      </c>
      <c r="I243" s="558">
        <f t="shared" si="4"/>
        <v>0.9565919503977931</v>
      </c>
    </row>
    <row r="244" spans="1:9" s="161" customFormat="1" ht="12.75" customHeight="1" x14ac:dyDescent="0.2">
      <c r="A244" s="557" t="s">
        <v>2975</v>
      </c>
      <c r="B244" s="468" t="s">
        <v>691</v>
      </c>
      <c r="C244" s="468" t="s">
        <v>692</v>
      </c>
      <c r="D244" s="468"/>
      <c r="E244" s="469">
        <f>IF(SUMIF('Staff data'!B:B,'Base MFF calcs'!B244,'Staff data'!O:O)=0,VLOOKUP(D244,'PCT data'!$B$3:$I$159,7,FALSE),SUMIF('Staff data'!B:B,'Base MFF calcs'!B244,'Staff data'!O:O))</f>
        <v>0.94192244428100458</v>
      </c>
      <c r="F244" s="471">
        <f>VLOOKUP(B244,'M&amp;D data'!$C$13:$G$266,5,FALSE)</f>
        <v>0.99619990923086066</v>
      </c>
      <c r="G244" s="469">
        <f>IF(SUMIF('Buildings data'!B:B,'Base MFF calcs'!B244,'Buildings data'!L:L)=0,VLOOKUP(D244,'PCT data'!$B$3:$K$154,10,FALSE),SUMIF('Buildings data'!B:B,'Base MFF calcs'!B244,'Buildings data'!L:L))</f>
        <v>0.92545159162100776</v>
      </c>
      <c r="H244" s="471">
        <f>IF(ISNA(VLOOKUP(B244,'Land data'!$B$2:$J$240,9,FALSE)),SUMIF('PCT data'!$F$3:$F$159,'Base MFF calcs'!B244,'PCT data'!$R$3:$R$159)/SUMIF('PCT data'!$F$3:$F$159,'Base MFF calcs'!B244,'PCT data'!$D$3:$D$159),VLOOKUP(B244,'Land data'!$B$2:$J$240,9,FALSE))</f>
        <v>0.49245007041468836</v>
      </c>
      <c r="I244" s="558">
        <f t="shared" si="4"/>
        <v>0.9633179713413651</v>
      </c>
    </row>
    <row r="245" spans="1:9" s="161" customFormat="1" ht="12.75" customHeight="1" x14ac:dyDescent="0.2">
      <c r="A245" s="557" t="s">
        <v>3034</v>
      </c>
      <c r="B245" s="468" t="s">
        <v>3513</v>
      </c>
      <c r="C245" s="468" t="s">
        <v>3515</v>
      </c>
      <c r="D245" s="468"/>
      <c r="E245" s="469">
        <f>IF(SUMIF('Staff data'!B:B,'Base MFF calcs'!B245,'Staff data'!O:O)=0,VLOOKUP(D245,'PCT data'!$B$3:$I$159,7,FALSE),SUMIF('Staff data'!B:B,'Base MFF calcs'!B245,'Staff data'!O:O))</f>
        <v>0.95738771365736552</v>
      </c>
      <c r="F245" s="471">
        <f>VLOOKUP(B245,'M&amp;D data'!$C$13:$G$266,5,FALSE)</f>
        <v>0.99619990923086066</v>
      </c>
      <c r="G245" s="469">
        <f>IF(SUMIF('Buildings data'!B:B,'Base MFF calcs'!B245,'Buildings data'!L:L)=0,VLOOKUP(D245,'PCT data'!$B$3:$K$154,10,FALSE),SUMIF('Buildings data'!B:B,'Base MFF calcs'!B245,'Buildings data'!L:L))</f>
        <v>0.97520705353611448</v>
      </c>
      <c r="H245" s="471">
        <f>IF(ISNA(VLOOKUP(B245,'Land data'!$B$2:$J$240,9,FALSE)),SUMIF('PCT data'!$F$3:$F$159,'Base MFF calcs'!B245,'PCT data'!$R$3:$R$159)/SUMIF('PCT data'!$F$3:$F$159,'Base MFF calcs'!B245,'PCT data'!$D$3:$D$159),VLOOKUP(B245,'Land data'!$B$2:$J$240,9,FALSE))</f>
        <v>0.44965756108730315</v>
      </c>
      <c r="I245" s="558">
        <f t="shared" si="4"/>
        <v>0.97294416103732129</v>
      </c>
    </row>
    <row r="246" spans="1:9" s="19" customFormat="1" ht="12.75" customHeight="1" x14ac:dyDescent="0.2">
      <c r="A246" s="557" t="s">
        <v>3528</v>
      </c>
      <c r="B246" s="468" t="s">
        <v>3514</v>
      </c>
      <c r="C246" s="468" t="s">
        <v>1177</v>
      </c>
      <c r="D246" s="468"/>
      <c r="E246" s="469">
        <f>IF(SUMIF('Staff data'!B:B,'Base MFF calcs'!B246,'Staff data'!O:O)=0,VLOOKUP(D246,'PCT data'!$B$3:$I$159,7,FALSE),SUMIF('Staff data'!B:B,'Base MFF calcs'!B246,'Staff data'!O:O))</f>
        <v>0.89076060974033866</v>
      </c>
      <c r="F246" s="471">
        <f>VLOOKUP(B246,'M&amp;D data'!$C$13:$G$266,5,FALSE)</f>
        <v>0.99619990923086066</v>
      </c>
      <c r="G246" s="469">
        <f>IF(SUMIF('Buildings data'!B:B,'Base MFF calcs'!B246,'Buildings data'!L:L)=0,VLOOKUP(D246,'PCT data'!$B$3:$K$154,10,FALSE),SUMIF('Buildings data'!B:B,'Base MFF calcs'!B246,'Buildings data'!L:L))</f>
        <v>0.97520705353611448</v>
      </c>
      <c r="H246" s="471">
        <f>IF(ISNA(VLOOKUP(B246,'Land data'!$B$2:$J$240,9,FALSE)),SUMIF('PCT data'!$F$3:$F$159,'Base MFF calcs'!B246,'PCT data'!$R$3:$R$159)/SUMIF('PCT data'!$F$3:$F$159,'Base MFF calcs'!B246,'PCT data'!$D$3:$D$159),VLOOKUP(B246,'Land data'!$B$2:$J$240,9,FALSE))</f>
        <v>0.56464112534587396</v>
      </c>
      <c r="I246" s="558">
        <f t="shared" si="4"/>
        <v>0.93687140373637767</v>
      </c>
    </row>
    <row r="247" spans="1:9" s="19" customFormat="1" x14ac:dyDescent="0.2">
      <c r="A247" s="560" t="s">
        <v>3528</v>
      </c>
      <c r="B247" s="480" t="s">
        <v>659</v>
      </c>
      <c r="C247" s="480" t="s">
        <v>3883</v>
      </c>
      <c r="D247" s="480"/>
      <c r="E247" s="469">
        <f>IF(SUMIF('Staff data'!B:B,'Base MFF calcs'!B247,'Staff data'!O:O)=0,VLOOKUP(D247,'PCT data'!$B$3:$I$159,7,FALSE),SUMIF('Staff data'!B:B,'Base MFF calcs'!B247,'Staff data'!O:O))</f>
        <v>0.97119946366644261</v>
      </c>
      <c r="F247" s="471">
        <f>VLOOKUP(B247,'M&amp;D data'!$C$13:$G$266,5,FALSE)</f>
        <v>0.99619990923086066</v>
      </c>
      <c r="G247" s="469">
        <f>IF(SUMIF('Buildings data'!B:B,'Base MFF calcs'!B247,'Buildings data'!L:L)=0,VLOOKUP(D247,'PCT data'!$B$3:$K$154,10,FALSE),SUMIF('Buildings data'!B:B,'Base MFF calcs'!B247,'Buildings data'!L:L))</f>
        <v>0.97520705353611448</v>
      </c>
      <c r="H247" s="471">
        <f>IF(ISNA(VLOOKUP(B247,'Land data'!$B$2:$J$240,9,FALSE)),SUMIF('PCT data'!$F$3:$F$159,'Base MFF calcs'!B247,'PCT data'!$R$3:$R$159)/SUMIF('PCT data'!$F$3:$F$159,'Base MFF calcs'!B247,'PCT data'!$D$3:$D$159),VLOOKUP(B247,'Land data'!$B$2:$J$240,9,FALSE))</f>
        <v>1.1618044430249053</v>
      </c>
      <c r="I247" s="558">
        <f t="shared" si="4"/>
        <v>0.98372069409452623</v>
      </c>
    </row>
    <row r="248" spans="1:9" s="161" customFormat="1" ht="11.25" x14ac:dyDescent="0.2">
      <c r="A248" s="561" t="s">
        <v>3069</v>
      </c>
      <c r="B248" s="484" t="s">
        <v>2357</v>
      </c>
      <c r="C248" s="173" t="s">
        <v>2358</v>
      </c>
      <c r="D248" s="173"/>
      <c r="E248" s="173">
        <f>IF(SUMIF('Staff data'!B:B,'Base MFF calcs'!B248,'Staff data'!O:O)=0,VLOOKUP(D248,'PCT data'!$B$3:$I$159,7,FALSE),SUMIF('Staff data'!B:B,'Base MFF calcs'!B248,'Staff data'!O:O))</f>
        <v>0.94060858623805133</v>
      </c>
      <c r="F248" s="173">
        <f>VLOOKUP(B248,'M&amp;D data'!$C$13:$G$266,5,FALSE)</f>
        <v>0.99619990923086066</v>
      </c>
      <c r="G248" s="173">
        <f>IF(SUMIF('Buildings data'!B:B,'Base MFF calcs'!B248,'Buildings data'!L:L)=0,VLOOKUP(D248,'PCT data'!$B$3:$K$154,10,FALSE),SUMIF('Buildings data'!B:B,'Base MFF calcs'!B248,'Buildings data'!L:L))</f>
        <v>0.92155319971296334</v>
      </c>
      <c r="H248" s="478">
        <f>IF(ISNA(VLOOKUP(B248,'Land data'!$B$2:$J$240,9,FALSE)),SUMIF('PCT data'!$F$3:$F$159,'Base MFF calcs'!B248,'PCT data'!$R$3:$R$159)/SUMIF('PCT data'!$F$3:$F$159,'Base MFF calcs'!B248,'PCT data'!$D$3:$D$159),VLOOKUP(B248,'Land data'!$B$2:$J$240,9,FALSE))</f>
        <v>0.82948909409304838</v>
      </c>
      <c r="I248" s="551">
        <f t="shared" ref="I248:I258" si="5">E248*$E$4+F248*$F$4+G248*$G$4+H248*$H$4+I$4</f>
        <v>0.96400324263903636</v>
      </c>
    </row>
    <row r="249" spans="1:9" s="161" customFormat="1" ht="11.25" x14ac:dyDescent="0.2">
      <c r="A249" s="562" t="s">
        <v>1127</v>
      </c>
      <c r="B249" s="171" t="s">
        <v>2359</v>
      </c>
      <c r="C249" s="174" t="s">
        <v>2360</v>
      </c>
      <c r="D249" s="174"/>
      <c r="E249" s="174">
        <f>IF(SUMIF('Staff data'!B:B,'Base MFF calcs'!B249,'Staff data'!O:O)=0,VLOOKUP(D249,'PCT data'!$B$3:$I$159,7,FALSE),SUMIF('Staff data'!B:B,'Base MFF calcs'!B249,'Staff data'!O:O))</f>
        <v>1.0014030746867981</v>
      </c>
      <c r="F249" s="173">
        <f>VLOOKUP(B249,'M&amp;D data'!$C$13:$G$266,5,FALSE)</f>
        <v>0.99619990923086066</v>
      </c>
      <c r="G249" s="173">
        <f>IF(SUMIF('Buildings data'!B:B,'Base MFF calcs'!B249,'Buildings data'!L:L)=0,VLOOKUP(D249,'PCT data'!$B$3:$K$154,10,FALSE),SUMIF('Buildings data'!B:B,'Base MFF calcs'!B249,'Buildings data'!L:L))</f>
        <v>1.0061288592346893</v>
      </c>
      <c r="H249" s="175">
        <f>IF(ISNA(VLOOKUP(B249,'Land data'!$B$2:$J$240,9,FALSE)),SUMIF('PCT data'!$F$3:$F$159,'Base MFF calcs'!B249,'PCT data'!$R$3:$R$159)/SUMIF('PCT data'!$F$3:$F$159,'Base MFF calcs'!B249,'PCT data'!$D$3:$D$159),VLOOKUP(B249,'Land data'!$B$2:$J$240,9,FALSE))</f>
        <v>0.71388507361844855</v>
      </c>
      <c r="I249" s="551">
        <f t="shared" si="5"/>
        <v>0.99912298210204598</v>
      </c>
    </row>
    <row r="250" spans="1:9" s="161" customFormat="1" ht="11.25" x14ac:dyDescent="0.2">
      <c r="A250" s="562" t="s">
        <v>3528</v>
      </c>
      <c r="B250" s="171" t="s">
        <v>2375</v>
      </c>
      <c r="C250" s="174" t="s">
        <v>2376</v>
      </c>
      <c r="D250" s="174"/>
      <c r="E250" s="174">
        <f>IF(SUMIF('Staff data'!B:B,'Base MFF calcs'!B250,'Staff data'!O:O)=0,VLOOKUP(D250,'PCT data'!$B$3:$I$159,7,FALSE),SUMIF('Staff data'!B:B,'Base MFF calcs'!B250,'Staff data'!O:O))</f>
        <v>0.99200941940505727</v>
      </c>
      <c r="F250" s="173">
        <f>VLOOKUP(B250,'M&amp;D data'!$C$13:$G$266,5,FALSE)</f>
        <v>0.99619990923086066</v>
      </c>
      <c r="G250" s="173">
        <f>IF(SUMIF('Buildings data'!B:B,'Base MFF calcs'!B250,'Buildings data'!L:L)=0,VLOOKUP(D250,'PCT data'!$B$3:$K$154,10,FALSE),SUMIF('Buildings data'!B:B,'Base MFF calcs'!B250,'Buildings data'!L:L))</f>
        <v>0.98727919403517062</v>
      </c>
      <c r="H250" s="175">
        <f>IF(ISNA(VLOOKUP(B250,'Land data'!$B$2:$J$240,9,FALSE)),SUMIF('PCT data'!$F$3:$F$159,'Base MFF calcs'!B250,'PCT data'!$R$3:$R$159)/SUMIF('PCT data'!$F$3:$F$159,'Base MFF calcs'!B250,'PCT data'!$D$3:$D$159),VLOOKUP(B250,'Land data'!$B$2:$J$240,9,FALSE))</f>
        <v>1.2580540776506661</v>
      </c>
      <c r="I250" s="551">
        <f t="shared" si="5"/>
        <v>0.9959013719078027</v>
      </c>
    </row>
    <row r="251" spans="1:9" s="161" customFormat="1" ht="11.25" x14ac:dyDescent="0.2">
      <c r="A251" s="562" t="s">
        <v>1167</v>
      </c>
      <c r="B251" s="171" t="s">
        <v>377</v>
      </c>
      <c r="C251" s="174" t="s">
        <v>378</v>
      </c>
      <c r="D251" s="174"/>
      <c r="E251" s="174">
        <f>IF(SUMIF('Staff data'!B:B,'Base MFF calcs'!B251,'Staff data'!O:O)=0,VLOOKUP(D251,'PCT data'!$B$3:$I$159,7,FALSE),SUMIF('Staff data'!B:B,'Base MFF calcs'!B251,'Staff data'!O:O))</f>
        <v>1.1765384727242667</v>
      </c>
      <c r="F251" s="173">
        <f>VLOOKUP(B251,'M&amp;D data'!$C$13:$G$266,5,FALSE)</f>
        <v>0.99619990923086066</v>
      </c>
      <c r="G251" s="173">
        <f>IF(SUMIF('Buildings data'!B:B,'Base MFF calcs'!B251,'Buildings data'!L:L)=0,VLOOKUP(D251,'PCT data'!$B$3:$K$154,10,FALSE),SUMIF('Buildings data'!B:B,'Base MFF calcs'!B251,'Buildings data'!L:L))</f>
        <v>1.1553526305524331</v>
      </c>
      <c r="H251" s="175">
        <f>IF(ISNA(VLOOKUP(B251,'Land data'!$B$2:$J$240,9,FALSE)),SUMIF('PCT data'!$F$3:$F$159,'Base MFF calcs'!B251,'PCT data'!$R$3:$R$159)/SUMIF('PCT data'!$F$3:$F$159,'Base MFF calcs'!B251,'PCT data'!$D$3:$D$159),VLOOKUP(B251,'Land data'!$B$2:$J$240,9,FALSE))</f>
        <v>2.7358269415244267</v>
      </c>
      <c r="I251" s="551">
        <f t="shared" si="5"/>
        <v>1.1083351881485379</v>
      </c>
    </row>
    <row r="252" spans="1:9" s="161" customFormat="1" ht="11.25" x14ac:dyDescent="0.2">
      <c r="A252" s="562" t="s">
        <v>708</v>
      </c>
      <c r="B252" s="171" t="s">
        <v>415</v>
      </c>
      <c r="C252" s="174" t="s">
        <v>653</v>
      </c>
      <c r="D252" s="174"/>
      <c r="E252" s="174">
        <f>IF(SUMIF('Staff data'!B:B,'Base MFF calcs'!B252,'Staff data'!O:O)=0,VLOOKUP(D252,'PCT data'!$B$3:$I$159,7,FALSE),SUMIF('Staff data'!B:B,'Base MFF calcs'!B252,'Staff data'!O:O))</f>
        <v>0.92451115924531224</v>
      </c>
      <c r="F252" s="173">
        <f>VLOOKUP(B252,'M&amp;D data'!$C$13:$G$266,5,FALSE)</f>
        <v>0.99619990923086066</v>
      </c>
      <c r="G252" s="173">
        <f>IF(SUMIF('Buildings data'!B:B,'Base MFF calcs'!B252,'Buildings data'!L:L)=0,VLOOKUP(D252,'PCT data'!$B$3:$K$154,10,FALSE),SUMIF('Buildings data'!B:B,'Base MFF calcs'!B252,'Buildings data'!L:L))</f>
        <v>0.97904651425036082</v>
      </c>
      <c r="H252" s="175">
        <f>IF(ISNA(VLOOKUP(B252,'Land data'!$B$2:$J$240,9,FALSE)),SUMIF('PCT data'!$F$3:$F$159,'Base MFF calcs'!B252,'PCT data'!$R$3:$R$159)/SUMIF('PCT data'!$F$3:$F$159,'Base MFF calcs'!B252,'PCT data'!$D$3:$D$159),VLOOKUP(B252,'Land data'!$B$2:$J$240,9,FALSE))</f>
        <v>0.25860624123239656</v>
      </c>
      <c r="I252" s="551">
        <f t="shared" si="5"/>
        <v>0.9541360544836377</v>
      </c>
    </row>
    <row r="253" spans="1:9" s="161" customFormat="1" ht="11.25" x14ac:dyDescent="0.2">
      <c r="A253" s="562" t="s">
        <v>2975</v>
      </c>
      <c r="B253" s="171" t="s">
        <v>3662</v>
      </c>
      <c r="C253" s="174" t="s">
        <v>3663</v>
      </c>
      <c r="D253" s="174"/>
      <c r="E253" s="174">
        <f>IF(SUMIF('Staff data'!B:B,'Base MFF calcs'!B253,'Staff data'!O:O)=0,VLOOKUP(D253,'PCT data'!$B$3:$I$159,7,FALSE),SUMIF('Staff data'!B:B,'Base MFF calcs'!B253,'Staff data'!O:O))</f>
        <v>0.95234704775453094</v>
      </c>
      <c r="F253" s="173">
        <f>VLOOKUP(B253,'M&amp;D data'!$C$13:$G$266,5,FALSE)</f>
        <v>0.99619990923086066</v>
      </c>
      <c r="G253" s="173">
        <f>IF(SUMIF('Buildings data'!B:B,'Base MFF calcs'!B253,'Buildings data'!L:L)=0,VLOOKUP(D253,'PCT data'!$B$3:$K$154,10,FALSE),SUMIF('Buildings data'!B:B,'Base MFF calcs'!B253,'Buildings data'!L:L))</f>
        <v>0.92077120937248436</v>
      </c>
      <c r="H253" s="175">
        <f>IF(ISNA(VLOOKUP(B253,'Land data'!$B$2:$J$240,9,FALSE)),SUMIF('PCT data'!$F$3:$F$159,'Base MFF calcs'!B253,'PCT data'!$R$3:$R$159)/SUMIF('PCT data'!$F$3:$F$159,'Base MFF calcs'!B253,'PCT data'!$D$3:$D$159),VLOOKUP(B253,'Land data'!$B$2:$J$240,9,FALSE))</f>
        <v>0.6342630433294667</v>
      </c>
      <c r="I253" s="551">
        <f t="shared" si="5"/>
        <v>0.96955355815449629</v>
      </c>
    </row>
    <row r="254" spans="1:9" s="161" customFormat="1" ht="11.25" x14ac:dyDescent="0.2">
      <c r="A254" s="562" t="s">
        <v>191</v>
      </c>
      <c r="B254" s="171" t="s">
        <v>2789</v>
      </c>
      <c r="C254" s="174" t="s">
        <v>655</v>
      </c>
      <c r="D254" s="174"/>
      <c r="E254" s="174">
        <f>IF(SUMIF('Staff data'!B:B,'Base MFF calcs'!B254,'Staff data'!O:O)=0,VLOOKUP(D254,'PCT data'!$B$3:$I$159,7,FALSE),SUMIF('Staff data'!B:B,'Base MFF calcs'!B254,'Staff data'!O:O))</f>
        <v>1.0607134944002725</v>
      </c>
      <c r="F254" s="173">
        <f>VLOOKUP(B254,'M&amp;D data'!$C$13:$G$266,5,FALSE)</f>
        <v>0.99619990923086066</v>
      </c>
      <c r="G254" s="173">
        <f>IF(SUMIF('Buildings data'!B:B,'Base MFF calcs'!B254,'Buildings data'!L:L)=0,VLOOKUP(D254,'PCT data'!$B$3:$K$154,10,FALSE),SUMIF('Buildings data'!B:B,'Base MFF calcs'!B254,'Buildings data'!L:L))</f>
        <v>1.0287350937538653</v>
      </c>
      <c r="H254" s="175">
        <f>IF(ISNA(VLOOKUP(B254,'Land data'!$B$2:$J$240,9,FALSE)),SUMIF('PCT data'!$F$3:$F$159,'Base MFF calcs'!B254,'PCT data'!$R$3:$R$159)/SUMIF('PCT data'!$F$3:$F$159,'Base MFF calcs'!B254,'PCT data'!$D$3:$D$159),VLOOKUP(B254,'Land data'!$B$2:$J$240,9,FALSE))</f>
        <v>1.5198979455010484</v>
      </c>
      <c r="I254" s="551">
        <f t="shared" si="5"/>
        <v>1.0359078400741493</v>
      </c>
    </row>
    <row r="255" spans="1:9" s="161" customFormat="1" ht="11.25" x14ac:dyDescent="0.2">
      <c r="A255" s="562" t="s">
        <v>3496</v>
      </c>
      <c r="B255" s="171" t="s">
        <v>547</v>
      </c>
      <c r="C255" s="174" t="s">
        <v>656</v>
      </c>
      <c r="D255" s="174"/>
      <c r="E255" s="174">
        <f>IF(SUMIF('Staff data'!B:B,'Base MFF calcs'!B255,'Staff data'!O:O)=0,VLOOKUP(D255,'PCT data'!$B$3:$I$159,7,FALSE),SUMIF('Staff data'!B:B,'Base MFF calcs'!B255,'Staff data'!O:O))</f>
        <v>1.0195212306154042</v>
      </c>
      <c r="F255" s="173">
        <f>VLOOKUP(B255,'M&amp;D data'!$C$13:$G$266,5,FALSE)</f>
        <v>0.99619990923086066</v>
      </c>
      <c r="G255" s="173">
        <f>IF(SUMIF('Buildings data'!B:B,'Base MFF calcs'!B255,'Buildings data'!L:L)=0,VLOOKUP(D255,'PCT data'!$B$3:$K$154,10,FALSE),SUMIF('Buildings data'!B:B,'Base MFF calcs'!B255,'Buildings data'!L:L))</f>
        <v>1.0706481388224727</v>
      </c>
      <c r="H255" s="175">
        <f>IF(ISNA(VLOOKUP(B255,'Land data'!$B$2:$J$240,9,FALSE)),SUMIF('PCT data'!$F$3:$F$159,'Base MFF calcs'!B255,'PCT data'!$R$3:$R$159)/SUMIF('PCT data'!$F$3:$F$159,'Base MFF calcs'!B255,'PCT data'!$D$3:$D$159),VLOOKUP(B255,'Land data'!$B$2:$J$240,9,FALSE))</f>
        <v>1.4108225725966481</v>
      </c>
      <c r="I255" s="551">
        <f t="shared" si="5"/>
        <v>1.0139147137081315</v>
      </c>
    </row>
    <row r="256" spans="1:9" s="161" customFormat="1" ht="11.25" x14ac:dyDescent="0.2">
      <c r="A256" s="561" t="s">
        <v>3528</v>
      </c>
      <c r="B256" s="484" t="s">
        <v>566</v>
      </c>
      <c r="C256" s="173" t="s">
        <v>649</v>
      </c>
      <c r="D256" s="173"/>
      <c r="E256" s="173">
        <f>IF(SUMIF('Staff data'!B:B,'Base MFF calcs'!B256,'Staff data'!O:O)=0,VLOOKUP(D256,'PCT data'!$B$3:$I$159,7,FALSE),SUMIF('Staff data'!B:B,'Base MFF calcs'!B256,'Staff data'!O:O))</f>
        <v>0.91859240167379452</v>
      </c>
      <c r="F256" s="173">
        <f>VLOOKUP(B256,'M&amp;D data'!$C$13:$G$266,5,FALSE)</f>
        <v>0.99619990923086066</v>
      </c>
      <c r="G256" s="173">
        <f>IF(SUMIF('Buildings data'!B:B,'Base MFF calcs'!B256,'Buildings data'!L:L)=0,VLOOKUP(D256,'PCT data'!$B$3:$K$154,10,FALSE),SUMIF('Buildings data'!B:B,'Base MFF calcs'!B256,'Buildings data'!L:L))</f>
        <v>0.9696699974433739</v>
      </c>
      <c r="H256" s="478">
        <f>IF(ISNA(VLOOKUP(B256,'Land data'!$B$2:$J$240,9,FALSE)),SUMIF('PCT data'!$F$3:$F$159,'Base MFF calcs'!B256,'PCT data'!$R$3:$R$159)/SUMIF('PCT data'!$F$3:$F$159,'Base MFF calcs'!B256,'PCT data'!$D$3:$D$159),VLOOKUP(B256,'Land data'!$B$2:$J$240,9,FALSE))</f>
        <v>0.52946364593627315</v>
      </c>
      <c r="I256" s="551">
        <f t="shared" si="5"/>
        <v>0.95185001657517443</v>
      </c>
    </row>
    <row r="257" spans="1:9" s="161" customFormat="1" ht="11.25" x14ac:dyDescent="0.2">
      <c r="A257" s="562" t="s">
        <v>2133</v>
      </c>
      <c r="B257" s="171" t="s">
        <v>682</v>
      </c>
      <c r="C257" s="174" t="s">
        <v>648</v>
      </c>
      <c r="D257" s="174"/>
      <c r="E257" s="174">
        <f>IF(SUMIF('Staff data'!B:B,'Base MFF calcs'!B257,'Staff data'!O:O)=0,VLOOKUP(D257,'PCT data'!$B$3:$I$159,7,FALSE),SUMIF('Staff data'!B:B,'Base MFF calcs'!B257,'Staff data'!O:O))</f>
        <v>0.94415187870856609</v>
      </c>
      <c r="F257" s="173">
        <f>VLOOKUP(B257,'M&amp;D data'!$C$13:$G$266,5,FALSE)</f>
        <v>0.99619990923086066</v>
      </c>
      <c r="G257" s="173">
        <f>IF(SUMIF('Buildings data'!B:B,'Base MFF calcs'!B257,'Buildings data'!L:L)=0,VLOOKUP(D257,'PCT data'!$B$3:$K$154,10,FALSE),SUMIF('Buildings data'!B:B,'Base MFF calcs'!B257,'Buildings data'!L:L))</f>
        <v>0.93489601596012528</v>
      </c>
      <c r="H257" s="175">
        <f>IF(ISNA(VLOOKUP(B257,'Land data'!$B$2:$J$240,9,FALSE)),SUMIF('PCT data'!$F$3:$F$159,'Base MFF calcs'!B257,'PCT data'!$R$3:$R$159)/SUMIF('PCT data'!$F$3:$F$159,'Base MFF calcs'!B257,'PCT data'!$D$3:$D$159),VLOOKUP(B257,'Land data'!$B$2:$J$240,9,FALSE))</f>
        <v>0.23386051101352034</v>
      </c>
      <c r="I257" s="551">
        <f t="shared" si="5"/>
        <v>0.96363481958904806</v>
      </c>
    </row>
    <row r="258" spans="1:9" s="161" customFormat="1" ht="12" thickBot="1" x14ac:dyDescent="0.25">
      <c r="A258" s="563" t="s">
        <v>3034</v>
      </c>
      <c r="B258" s="564" t="s">
        <v>705</v>
      </c>
      <c r="C258" s="565" t="s">
        <v>706</v>
      </c>
      <c r="D258" s="565"/>
      <c r="E258" s="565">
        <f>IF(SUMIF('Staff data'!B:B,'Base MFF calcs'!B258,'Staff data'!O:O)=0,VLOOKUP(D258,'PCT data'!$B$3:$I$159,7,FALSE),SUMIF('Staff data'!B:B,'Base MFF calcs'!B258,'Staff data'!O:O))</f>
        <v>0.93503304642982565</v>
      </c>
      <c r="F258" s="566">
        <f>VLOOKUP(B258,'M&amp;D data'!$C$13:$G$266,5,FALSE)</f>
        <v>0.99619990923086066</v>
      </c>
      <c r="G258" s="566">
        <f>IF(SUMIF('Buildings data'!B:B,'Base MFF calcs'!B258,'Buildings data'!L:L)=0,VLOOKUP(D258,'PCT data'!$B$3:$K$154,10,FALSE),SUMIF('Buildings data'!B:B,'Base MFF calcs'!B258,'Buildings data'!L:L))</f>
        <v>0.95793078036587764</v>
      </c>
      <c r="H258" s="567">
        <f>IF(ISNA(VLOOKUP(B258,'Land data'!$B$2:$J$240,9,FALSE)),SUMIF('PCT data'!$F$3:$F$159,'Base MFF calcs'!B258,'PCT data'!$R$3:$R$159)/SUMIF('PCT data'!$F$3:$F$159,'Base MFF calcs'!B258,'PCT data'!$D$3:$D$159),VLOOKUP(B258,'Land data'!$B$2:$J$240,9,FALSE))</f>
        <v>1.3134897760923616</v>
      </c>
      <c r="I258" s="568">
        <f t="shared" si="5"/>
        <v>0.96407968182086057</v>
      </c>
    </row>
  </sheetData>
  <autoFilter ref="A6:I258"/>
  <phoneticPr fontId="7" type="noConversion"/>
  <pageMargins left="0.75" right="0.75" top="1" bottom="1" header="0.5" footer="0.5"/>
  <pageSetup paperSize="9" orientation="portrait"/>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autoPageBreaks="0"/>
  </sheetPr>
  <dimension ref="A1:R159"/>
  <sheetViews>
    <sheetView zoomScaleNormal="100" workbookViewId="0">
      <selection sqref="A1:A2"/>
    </sheetView>
  </sheetViews>
  <sheetFormatPr defaultRowHeight="12.75" x14ac:dyDescent="0.2"/>
  <cols>
    <col min="1" max="2" width="11.42578125" style="19" customWidth="1"/>
    <col min="3" max="3" width="34.42578125" style="19" bestFit="1" customWidth="1"/>
    <col min="4" max="4" width="29.28515625" style="19" customWidth="1"/>
    <col min="5" max="5" width="12.28515625" style="19" customWidth="1"/>
    <col min="6" max="6" width="12.140625" style="19" customWidth="1"/>
    <col min="7" max="7" width="15" style="19" customWidth="1"/>
    <col min="8" max="8" width="10.28515625" style="60" customWidth="1"/>
    <col min="9" max="9" width="20.42578125" style="64" customWidth="1"/>
    <col min="10" max="10" width="13.5703125" style="59" customWidth="1"/>
    <col min="11" max="11" width="13.42578125" style="60" customWidth="1"/>
    <col min="12" max="12" width="20.42578125" style="19" customWidth="1"/>
    <col min="13" max="13" width="10.42578125" style="59" customWidth="1"/>
    <col min="14" max="14" width="13" style="58" customWidth="1"/>
    <col min="15" max="15" width="13.28515625" style="63" customWidth="1"/>
    <col min="16" max="16" width="22.85546875" style="159" customWidth="1"/>
    <col min="17" max="18" width="11" style="19" customWidth="1"/>
    <col min="19" max="256" width="11.42578125" style="19" customWidth="1"/>
    <col min="257" max="16384" width="9.140625" style="19"/>
  </cols>
  <sheetData>
    <row r="1" spans="1:18" x14ac:dyDescent="0.2">
      <c r="A1" s="651" t="s">
        <v>3572</v>
      </c>
      <c r="B1" s="652" t="s">
        <v>3573</v>
      </c>
      <c r="C1" s="652" t="s">
        <v>3574</v>
      </c>
      <c r="D1" s="653" t="s">
        <v>3575</v>
      </c>
      <c r="E1" s="653" t="s">
        <v>3578</v>
      </c>
      <c r="F1" s="660" t="s">
        <v>1108</v>
      </c>
      <c r="G1" s="654" t="s">
        <v>2728</v>
      </c>
      <c r="H1" s="655"/>
      <c r="I1" s="656"/>
      <c r="J1" s="657" t="s">
        <v>2730</v>
      </c>
      <c r="K1" s="658"/>
      <c r="L1" s="659"/>
      <c r="M1" s="648" t="s">
        <v>2729</v>
      </c>
      <c r="N1" s="649"/>
      <c r="O1" s="649"/>
      <c r="P1" s="649"/>
      <c r="Q1" s="649"/>
      <c r="R1" s="650"/>
    </row>
    <row r="2" spans="1:18" s="20" customFormat="1" ht="53.25" customHeight="1" x14ac:dyDescent="0.2">
      <c r="A2" s="651"/>
      <c r="B2" s="652"/>
      <c r="C2" s="652"/>
      <c r="D2" s="653"/>
      <c r="E2" s="653"/>
      <c r="F2" s="661"/>
      <c r="G2" s="569" t="s">
        <v>3576</v>
      </c>
      <c r="H2" s="570" t="s">
        <v>3577</v>
      </c>
      <c r="I2" s="571" t="s">
        <v>1106</v>
      </c>
      <c r="J2" s="490" t="s">
        <v>526</v>
      </c>
      <c r="K2" s="570" t="s">
        <v>527</v>
      </c>
      <c r="L2" s="572" t="s">
        <v>1107</v>
      </c>
      <c r="M2" s="490" t="s">
        <v>522</v>
      </c>
      <c r="N2" s="487" t="s">
        <v>523</v>
      </c>
      <c r="O2" s="491" t="s">
        <v>524</v>
      </c>
      <c r="P2" s="492" t="s">
        <v>2731</v>
      </c>
      <c r="Q2" s="488" t="s">
        <v>525</v>
      </c>
      <c r="R2" s="489" t="s">
        <v>2157</v>
      </c>
    </row>
    <row r="3" spans="1:18" x14ac:dyDescent="0.2">
      <c r="A3" s="21" t="s">
        <v>708</v>
      </c>
      <c r="B3" s="21" t="s">
        <v>3579</v>
      </c>
      <c r="C3" s="21" t="s">
        <v>3580</v>
      </c>
      <c r="D3" s="22">
        <v>506914</v>
      </c>
      <c r="E3" s="23" t="s">
        <v>415</v>
      </c>
      <c r="F3" s="23"/>
      <c r="G3" s="23">
        <v>92.97</v>
      </c>
      <c r="H3" s="24">
        <f t="shared" ref="H3:H34" si="0">G3/H$156</f>
        <v>0.90428056221401276</v>
      </c>
      <c r="I3" s="25">
        <f t="shared" ref="I3:I34" si="1">H3*D3</f>
        <v>458392.47691415407</v>
      </c>
      <c r="J3" s="26">
        <v>0.96999999999999897</v>
      </c>
      <c r="K3" s="24">
        <f t="shared" ref="K3:K34" si="2">J3/K$156</f>
        <v>0.96525596115309287</v>
      </c>
      <c r="L3" s="25">
        <f t="shared" ref="L3:L34" si="3">K3*D3</f>
        <v>489301.76029195893</v>
      </c>
      <c r="M3" s="26">
        <v>14.334099999999999</v>
      </c>
      <c r="N3" s="27">
        <v>8369</v>
      </c>
      <c r="O3" s="28">
        <f>N3/M3</f>
        <v>583.85249161091383</v>
      </c>
      <c r="P3" s="153" t="s">
        <v>529</v>
      </c>
      <c r="Q3" s="165">
        <f>IF(ISERR(O3),VLOOKUP(P3,'Other corrections needed'!$A$3:$E$6,5,FALSE),IF(O3=0,VLOOKUP(P3,'Other corrections needed'!$A$3:$E$6,5,FALSE),O3/O$156))</f>
        <v>0.51470609646194365</v>
      </c>
      <c r="R3" s="166">
        <f>Q3*D3</f>
        <v>260911.7261819097</v>
      </c>
    </row>
    <row r="4" spans="1:18" x14ac:dyDescent="0.2">
      <c r="A4" s="21" t="s">
        <v>708</v>
      </c>
      <c r="B4" s="21" t="s">
        <v>712</v>
      </c>
      <c r="C4" s="21" t="s">
        <v>3581</v>
      </c>
      <c r="D4" s="22">
        <v>101006</v>
      </c>
      <c r="E4" s="23" t="s">
        <v>415</v>
      </c>
      <c r="F4" s="23"/>
      <c r="G4" s="23">
        <v>96.62</v>
      </c>
      <c r="H4" s="24">
        <f t="shared" si="0"/>
        <v>0.93978259568804901</v>
      </c>
      <c r="I4" s="25">
        <f t="shared" si="1"/>
        <v>94923.680860067077</v>
      </c>
      <c r="J4" s="26">
        <v>1.04</v>
      </c>
      <c r="K4" s="24">
        <f t="shared" si="2"/>
        <v>1.0349136078342451</v>
      </c>
      <c r="L4" s="25">
        <f t="shared" si="3"/>
        <v>104532.48387290577</v>
      </c>
      <c r="M4" s="26">
        <v>0.74909999999999999</v>
      </c>
      <c r="N4" s="27">
        <v>900</v>
      </c>
      <c r="O4" s="28">
        <f t="shared" ref="O4:O67" si="4">N4/M4</f>
        <v>1201.4417300760913</v>
      </c>
      <c r="P4" s="153" t="s">
        <v>529</v>
      </c>
      <c r="Q4" s="24">
        <f>IF(ISERR(O4),VLOOKUP(P4,'Other corrections needed'!$A$3:$E$6,5,FALSE),IF(O4=0,VLOOKUP(P4,'Other corrections needed'!$A$3:$E$6,5,FALSE),O4/O$156))</f>
        <v>1.0591534538248593</v>
      </c>
      <c r="R4" s="169">
        <f t="shared" ref="R4:R67" si="5">Q4*D4</f>
        <v>106980.85375703374</v>
      </c>
    </row>
    <row r="5" spans="1:18" x14ac:dyDescent="0.2">
      <c r="A5" s="21" t="s">
        <v>708</v>
      </c>
      <c r="B5" s="21" t="s">
        <v>714</v>
      </c>
      <c r="C5" s="21" t="s">
        <v>3582</v>
      </c>
      <c r="D5" s="22">
        <v>190913</v>
      </c>
      <c r="E5" s="23" t="s">
        <v>415</v>
      </c>
      <c r="F5" s="23"/>
      <c r="G5" s="23">
        <v>96.35</v>
      </c>
      <c r="H5" s="24">
        <f t="shared" si="0"/>
        <v>0.93715641786942161</v>
      </c>
      <c r="I5" s="25">
        <f t="shared" si="1"/>
        <v>178915.3432047049</v>
      </c>
      <c r="J5" s="26">
        <v>0.97999999999999898</v>
      </c>
      <c r="K5" s="24">
        <f t="shared" si="2"/>
        <v>0.97520705353611448</v>
      </c>
      <c r="L5" s="25">
        <f t="shared" si="3"/>
        <v>186179.70421174023</v>
      </c>
      <c r="M5" s="26">
        <v>4.0270000000000001</v>
      </c>
      <c r="N5" s="27">
        <v>2801</v>
      </c>
      <c r="O5" s="28">
        <f t="shared" si="4"/>
        <v>695.55500372485722</v>
      </c>
      <c r="P5" s="153" t="s">
        <v>530</v>
      </c>
      <c r="Q5" s="24">
        <f>IF(ISERR(O5),VLOOKUP(P5,'Other corrections needed'!$A$3:$E$6,5,FALSE),IF(O5=0,VLOOKUP(P5,'Other corrections needed'!$A$3:$E$6,5,FALSE),O5/O$156))</f>
        <v>0.61317953761576749</v>
      </c>
      <c r="R5" s="169">
        <f t="shared" si="5"/>
        <v>117063.94506483902</v>
      </c>
    </row>
    <row r="6" spans="1:18" x14ac:dyDescent="0.2">
      <c r="A6" s="21" t="s">
        <v>708</v>
      </c>
      <c r="B6" s="21" t="s">
        <v>639</v>
      </c>
      <c r="C6" s="21" t="s">
        <v>3583</v>
      </c>
      <c r="D6" s="22">
        <v>92251</v>
      </c>
      <c r="E6" s="23" t="s">
        <v>415</v>
      </c>
      <c r="F6" s="23"/>
      <c r="G6" s="23">
        <v>93.26</v>
      </c>
      <c r="H6" s="24">
        <f t="shared" si="0"/>
        <v>0.90710127172290889</v>
      </c>
      <c r="I6" s="25">
        <f t="shared" si="1"/>
        <v>83680.999417710074</v>
      </c>
      <c r="J6" s="26">
        <v>0.97999999999999898</v>
      </c>
      <c r="K6" s="24">
        <f t="shared" si="2"/>
        <v>0.97520705353611448</v>
      </c>
      <c r="L6" s="25">
        <f t="shared" si="3"/>
        <v>89963.825895760092</v>
      </c>
      <c r="M6" s="26">
        <v>0.63949999999999996</v>
      </c>
      <c r="N6" s="27">
        <v>289</v>
      </c>
      <c r="O6" s="28">
        <f t="shared" si="4"/>
        <v>451.9155590304926</v>
      </c>
      <c r="P6" s="153" t="s">
        <v>531</v>
      </c>
      <c r="Q6" s="24">
        <f>IF(ISERR(O6),VLOOKUP(P6,'Other corrections needed'!$A$3:$E$6,5,FALSE),IF(O6=0,VLOOKUP(P6,'Other corrections needed'!$A$3:$E$6,5,FALSE),O6/O$156))</f>
        <v>0.39839462306176432</v>
      </c>
      <c r="R6" s="169">
        <f t="shared" si="5"/>
        <v>36752.302372070822</v>
      </c>
    </row>
    <row r="7" spans="1:18" x14ac:dyDescent="0.2">
      <c r="A7" s="21" t="s">
        <v>708</v>
      </c>
      <c r="B7" s="21" t="s">
        <v>644</v>
      </c>
      <c r="C7" s="21" t="s">
        <v>3584</v>
      </c>
      <c r="D7" s="22">
        <v>137240</v>
      </c>
      <c r="E7" s="23" t="s">
        <v>415</v>
      </c>
      <c r="F7" s="23"/>
      <c r="G7" s="23">
        <v>95</v>
      </c>
      <c r="H7" s="24">
        <f t="shared" si="0"/>
        <v>0.92402552877628497</v>
      </c>
      <c r="I7" s="25">
        <f t="shared" si="1"/>
        <v>126813.26356925735</v>
      </c>
      <c r="J7" s="26">
        <v>1.01</v>
      </c>
      <c r="K7" s="24">
        <f t="shared" si="2"/>
        <v>1.0050603306851802</v>
      </c>
      <c r="L7" s="25">
        <f t="shared" si="3"/>
        <v>137934.47978323413</v>
      </c>
      <c r="M7" s="26">
        <v>3.7030000000000003</v>
      </c>
      <c r="N7" s="27">
        <v>1755</v>
      </c>
      <c r="O7" s="28">
        <f t="shared" si="4"/>
        <v>473.9400486092357</v>
      </c>
      <c r="P7" s="153" t="s">
        <v>531</v>
      </c>
      <c r="Q7" s="24">
        <f>IF(ISERR(O7),VLOOKUP(P7,'Other corrections needed'!$A$3:$E$6,5,FALSE),IF(O7=0,VLOOKUP(P7,'Other corrections needed'!$A$3:$E$6,5,FALSE),O7/O$156))</f>
        <v>0.4178107242526044</v>
      </c>
      <c r="R7" s="169">
        <f t="shared" si="5"/>
        <v>57340.343796427427</v>
      </c>
    </row>
    <row r="8" spans="1:18" x14ac:dyDescent="0.2">
      <c r="A8" s="21" t="s">
        <v>708</v>
      </c>
      <c r="B8" s="21" t="s">
        <v>716</v>
      </c>
      <c r="C8" s="21" t="s">
        <v>3585</v>
      </c>
      <c r="D8" s="22">
        <v>273517</v>
      </c>
      <c r="E8" s="23" t="s">
        <v>415</v>
      </c>
      <c r="F8" s="23"/>
      <c r="G8" s="23">
        <v>96.78</v>
      </c>
      <c r="H8" s="24">
        <f t="shared" si="0"/>
        <v>0.9413388492101985</v>
      </c>
      <c r="I8" s="25">
        <f t="shared" si="1"/>
        <v>257472.17801942586</v>
      </c>
      <c r="J8" s="26">
        <v>0.97999999999999898</v>
      </c>
      <c r="K8" s="24">
        <f t="shared" si="2"/>
        <v>0.97520705353611448</v>
      </c>
      <c r="L8" s="25">
        <f t="shared" si="3"/>
        <v>266735.7076620374</v>
      </c>
      <c r="M8" s="26">
        <v>3.8220999999999998</v>
      </c>
      <c r="N8" s="27">
        <v>2052</v>
      </c>
      <c r="O8" s="28">
        <f t="shared" si="4"/>
        <v>536.87763271499966</v>
      </c>
      <c r="P8" s="153" t="s">
        <v>530</v>
      </c>
      <c r="Q8" s="24">
        <f>IF(ISERR(O8),VLOOKUP(P8,'Other corrections needed'!$A$3:$E$6,5,FALSE),IF(O8=0,VLOOKUP(P8,'Other corrections needed'!$A$3:$E$6,5,FALSE),O8/O$156))</f>
        <v>0.47329453001053379</v>
      </c>
      <c r="R8" s="169">
        <f t="shared" si="5"/>
        <v>129454.09996489117</v>
      </c>
    </row>
    <row r="9" spans="1:18" x14ac:dyDescent="0.2">
      <c r="A9" s="21" t="s">
        <v>708</v>
      </c>
      <c r="B9" s="21" t="s">
        <v>642</v>
      </c>
      <c r="C9" s="21" t="s">
        <v>3586</v>
      </c>
      <c r="D9" s="22">
        <v>198284</v>
      </c>
      <c r="E9" s="23" t="s">
        <v>415</v>
      </c>
      <c r="F9" s="23"/>
      <c r="G9" s="23">
        <v>95.07</v>
      </c>
      <c r="H9" s="24">
        <f t="shared" si="0"/>
        <v>0.92470638969222529</v>
      </c>
      <c r="I9" s="25">
        <f t="shared" si="1"/>
        <v>183354.48177373319</v>
      </c>
      <c r="J9" s="26">
        <v>1</v>
      </c>
      <c r="K9" s="24">
        <f t="shared" si="2"/>
        <v>0.99510923830215869</v>
      </c>
      <c r="L9" s="25">
        <f t="shared" si="3"/>
        <v>197314.24020750524</v>
      </c>
      <c r="M9" s="26">
        <v>1.6204000000000001</v>
      </c>
      <c r="N9" s="27">
        <v>4661</v>
      </c>
      <c r="O9" s="28">
        <f t="shared" si="4"/>
        <v>2876.4502591952605</v>
      </c>
      <c r="P9" s="153" t="s">
        <v>530</v>
      </c>
      <c r="Q9" s="24">
        <f>IF(ISERR(O9),VLOOKUP(P9,'Other corrections needed'!$A$3:$E$6,5,FALSE),IF(O9=0,VLOOKUP(P9,'Other corrections needed'!$A$3:$E$6,5,FALSE),O9/O$156))</f>
        <v>2.5357885867582781</v>
      </c>
      <c r="R9" s="169">
        <f t="shared" si="5"/>
        <v>502806.3041367784</v>
      </c>
    </row>
    <row r="10" spans="1:18" x14ac:dyDescent="0.2">
      <c r="A10" s="21" t="s">
        <v>708</v>
      </c>
      <c r="B10" s="21" t="s">
        <v>3587</v>
      </c>
      <c r="C10" s="21" t="s">
        <v>3588</v>
      </c>
      <c r="D10" s="22">
        <v>312338</v>
      </c>
      <c r="E10" s="23" t="s">
        <v>415</v>
      </c>
      <c r="F10" s="23"/>
      <c r="G10" s="23">
        <v>96.65</v>
      </c>
      <c r="H10" s="24">
        <f t="shared" si="0"/>
        <v>0.9400743932234521</v>
      </c>
      <c r="I10" s="25">
        <f t="shared" si="1"/>
        <v>293620.9558306266</v>
      </c>
      <c r="J10" s="26">
        <v>1.03</v>
      </c>
      <c r="K10" s="24">
        <f t="shared" si="2"/>
        <v>1.0249625154512234</v>
      </c>
      <c r="L10" s="25">
        <f t="shared" si="3"/>
        <v>320134.7421510042</v>
      </c>
      <c r="M10" s="26">
        <v>2.3816999999999999</v>
      </c>
      <c r="N10" s="27">
        <v>4426</v>
      </c>
      <c r="O10" s="28">
        <f t="shared" si="4"/>
        <v>1858.3364823445438</v>
      </c>
      <c r="P10" s="153" t="s">
        <v>532</v>
      </c>
      <c r="Q10" s="24">
        <f>IF(ISERR(O10),VLOOKUP(P10,'Other corrections needed'!$A$3:$E$6,5,FALSE),IF(O10=0,VLOOKUP(P10,'Other corrections needed'!$A$3:$E$6,5,FALSE),O10/O$156))</f>
        <v>1.6382513228663256</v>
      </c>
      <c r="R10" s="169">
        <f t="shared" si="5"/>
        <v>511688.14168142242</v>
      </c>
    </row>
    <row r="11" spans="1:18" x14ac:dyDescent="0.2">
      <c r="A11" s="21" t="s">
        <v>708</v>
      </c>
      <c r="B11" s="21" t="s">
        <v>2974</v>
      </c>
      <c r="C11" s="21" t="s">
        <v>3589</v>
      </c>
      <c r="D11" s="22">
        <v>140510</v>
      </c>
      <c r="E11" s="23" t="s">
        <v>415</v>
      </c>
      <c r="F11" s="23"/>
      <c r="G11" s="23">
        <v>96.23</v>
      </c>
      <c r="H11" s="24">
        <f t="shared" si="0"/>
        <v>0.93598922772780957</v>
      </c>
      <c r="I11" s="25">
        <f t="shared" si="1"/>
        <v>131515.84638803452</v>
      </c>
      <c r="J11" s="26">
        <v>0.94999999999999896</v>
      </c>
      <c r="K11" s="24">
        <f t="shared" si="2"/>
        <v>0.94535377638704965</v>
      </c>
      <c r="L11" s="25">
        <f t="shared" si="3"/>
        <v>132831.65912014435</v>
      </c>
      <c r="M11" s="26">
        <v>2.536</v>
      </c>
      <c r="N11" s="27">
        <v>6248</v>
      </c>
      <c r="O11" s="28">
        <f t="shared" si="4"/>
        <v>2463.7223974763406</v>
      </c>
      <c r="P11" s="153" t="s">
        <v>531</v>
      </c>
      <c r="Q11" s="24">
        <f>IF(ISERR(O11),VLOOKUP(P11,'Other corrections needed'!$A$3:$E$6,5,FALSE),IF(O11=0,VLOOKUP(P11,'Other corrections needed'!$A$3:$E$6,5,FALSE),O11/O$156))</f>
        <v>2.1719406120407214</v>
      </c>
      <c r="R11" s="169">
        <f t="shared" si="5"/>
        <v>305179.3753978418</v>
      </c>
    </row>
    <row r="12" spans="1:18" x14ac:dyDescent="0.2">
      <c r="A12" s="21" t="s">
        <v>708</v>
      </c>
      <c r="B12" s="21" t="s">
        <v>646</v>
      </c>
      <c r="C12" s="21" t="s">
        <v>3590</v>
      </c>
      <c r="D12" s="22">
        <v>150922</v>
      </c>
      <c r="E12" s="23" t="s">
        <v>415</v>
      </c>
      <c r="F12" s="23"/>
      <c r="G12" s="23">
        <v>94.66</v>
      </c>
      <c r="H12" s="24">
        <f t="shared" si="0"/>
        <v>0.92071849004171713</v>
      </c>
      <c r="I12" s="25">
        <f t="shared" si="1"/>
        <v>138956.67595407602</v>
      </c>
      <c r="J12" s="26">
        <v>0.95999999999999897</v>
      </c>
      <c r="K12" s="24">
        <f t="shared" si="2"/>
        <v>0.95530486877007126</v>
      </c>
      <c r="L12" s="25">
        <f t="shared" si="3"/>
        <v>144176.52140451671</v>
      </c>
      <c r="M12" s="26">
        <v>3.51</v>
      </c>
      <c r="N12" s="27">
        <v>3508</v>
      </c>
      <c r="O12" s="28">
        <f t="shared" si="4"/>
        <v>999.43019943019954</v>
      </c>
      <c r="P12" s="153" t="s">
        <v>530</v>
      </c>
      <c r="Q12" s="24">
        <f>IF(ISERR(O12),VLOOKUP(P12,'Other corrections needed'!$A$3:$E$6,5,FALSE),IF(O12=0,VLOOKUP(P12,'Other corrections needed'!$A$3:$E$6,5,FALSE),O12/O$156))</f>
        <v>0.88106640637188649</v>
      </c>
      <c r="R12" s="169">
        <f t="shared" si="5"/>
        <v>132972.30418245785</v>
      </c>
    </row>
    <row r="13" spans="1:18" x14ac:dyDescent="0.2">
      <c r="A13" s="21" t="s">
        <v>708</v>
      </c>
      <c r="B13" s="21" t="s">
        <v>3591</v>
      </c>
      <c r="C13" s="21" t="s">
        <v>3592</v>
      </c>
      <c r="D13" s="22">
        <v>193070</v>
      </c>
      <c r="E13" s="23" t="s">
        <v>415</v>
      </c>
      <c r="F13" s="23"/>
      <c r="G13" s="23">
        <v>94.78</v>
      </c>
      <c r="H13" s="24">
        <f t="shared" si="0"/>
        <v>0.92188568018332939</v>
      </c>
      <c r="I13" s="25">
        <f t="shared" si="1"/>
        <v>177988.46827299541</v>
      </c>
      <c r="J13" s="26">
        <v>0.96999999999999897</v>
      </c>
      <c r="K13" s="24">
        <f t="shared" si="2"/>
        <v>0.96525596115309287</v>
      </c>
      <c r="L13" s="25">
        <f t="shared" si="3"/>
        <v>186361.96841982764</v>
      </c>
      <c r="M13" s="26">
        <v>2</v>
      </c>
      <c r="N13" s="27">
        <v>1032</v>
      </c>
      <c r="O13" s="28">
        <f t="shared" si="4"/>
        <v>516</v>
      </c>
      <c r="P13" s="153" t="s">
        <v>531</v>
      </c>
      <c r="Q13" s="24">
        <f>IF(ISERR(O13),VLOOKUP(P13,'Other corrections needed'!$A$3:$E$6,5,FALSE),IF(O13=0,VLOOKUP(P13,'Other corrections needed'!$A$3:$E$6,5,FALSE),O13/O$156))</f>
        <v>0.4548894619625159</v>
      </c>
      <c r="R13" s="169">
        <f t="shared" si="5"/>
        <v>87825.508421102946</v>
      </c>
    </row>
    <row r="14" spans="1:18" x14ac:dyDescent="0.2">
      <c r="A14" s="21" t="s">
        <v>708</v>
      </c>
      <c r="B14" s="21" t="s">
        <v>710</v>
      </c>
      <c r="C14" s="21" t="s">
        <v>3593</v>
      </c>
      <c r="D14" s="22">
        <v>279320</v>
      </c>
      <c r="E14" s="23" t="s">
        <v>415</v>
      </c>
      <c r="F14" s="23"/>
      <c r="G14" s="23">
        <v>94.29</v>
      </c>
      <c r="H14" s="24">
        <f t="shared" si="0"/>
        <v>0.91711965377174642</v>
      </c>
      <c r="I14" s="25">
        <f t="shared" si="1"/>
        <v>256169.86169152422</v>
      </c>
      <c r="J14" s="26">
        <v>0.95999999999999897</v>
      </c>
      <c r="K14" s="24">
        <f t="shared" si="2"/>
        <v>0.95530486877007126</v>
      </c>
      <c r="L14" s="25">
        <f t="shared" si="3"/>
        <v>266835.75594485633</v>
      </c>
      <c r="M14" s="26">
        <v>6.622300000000001</v>
      </c>
      <c r="N14" s="27">
        <v>9069</v>
      </c>
      <c r="O14" s="28">
        <f t="shared" si="4"/>
        <v>1369.4637814656537</v>
      </c>
      <c r="P14" s="153" t="s">
        <v>530</v>
      </c>
      <c r="Q14" s="24">
        <f>IF(ISERR(O14),VLOOKUP(P14,'Other corrections needed'!$A$3:$E$6,5,FALSE),IF(O14=0,VLOOKUP(P14,'Other corrections needed'!$A$3:$E$6,5,FALSE),O14/O$156))</f>
        <v>1.2072764393954722</v>
      </c>
      <c r="R14" s="169">
        <f t="shared" si="5"/>
        <v>337216.45505194331</v>
      </c>
    </row>
    <row r="15" spans="1:18" x14ac:dyDescent="0.2">
      <c r="A15" s="21" t="s">
        <v>2975</v>
      </c>
      <c r="B15" s="21" t="s">
        <v>3033</v>
      </c>
      <c r="C15" s="21" t="s">
        <v>3594</v>
      </c>
      <c r="D15" s="22">
        <v>308678</v>
      </c>
      <c r="E15" s="23" t="s">
        <v>3662</v>
      </c>
      <c r="F15" s="23" t="s">
        <v>2291</v>
      </c>
      <c r="G15" s="23">
        <v>97.39</v>
      </c>
      <c r="H15" s="24">
        <f t="shared" si="0"/>
        <v>0.94727206576339362</v>
      </c>
      <c r="I15" s="25">
        <f t="shared" si="1"/>
        <v>292402.04671571282</v>
      </c>
      <c r="J15" s="26">
        <v>0.89</v>
      </c>
      <c r="K15" s="24">
        <f t="shared" si="2"/>
        <v>0.88564722208892122</v>
      </c>
      <c r="L15" s="25">
        <f t="shared" si="3"/>
        <v>273379.81321996404</v>
      </c>
      <c r="M15" s="26">
        <v>3.8693</v>
      </c>
      <c r="N15" s="27">
        <v>1353</v>
      </c>
      <c r="O15" s="28">
        <f t="shared" si="4"/>
        <v>349.67565192670509</v>
      </c>
      <c r="P15" s="153" t="s">
        <v>533</v>
      </c>
      <c r="Q15" s="24">
        <f>IF(ISERR(O15),VLOOKUP(P15,'Other corrections needed'!$A$3:$E$6,5,FALSE),IF(O15=0,VLOOKUP(P15,'Other corrections needed'!$A$3:$E$6,5,FALSE),O15/O$156))</f>
        <v>0.30826311853940092</v>
      </c>
      <c r="R15" s="169">
        <f t="shared" si="5"/>
        <v>95154.042904505201</v>
      </c>
    </row>
    <row r="16" spans="1:18" x14ac:dyDescent="0.2">
      <c r="A16" s="21" t="s">
        <v>2975</v>
      </c>
      <c r="B16" s="21" t="s">
        <v>2998</v>
      </c>
      <c r="C16" s="21" t="s">
        <v>3595</v>
      </c>
      <c r="D16" s="22">
        <v>143547</v>
      </c>
      <c r="E16" s="23" t="s">
        <v>3662</v>
      </c>
      <c r="F16" s="23"/>
      <c r="G16" s="23">
        <v>95.12</v>
      </c>
      <c r="H16" s="24">
        <f t="shared" si="0"/>
        <v>0.92519271891789712</v>
      </c>
      <c r="I16" s="25">
        <f t="shared" si="1"/>
        <v>132808.63922250737</v>
      </c>
      <c r="J16" s="26">
        <v>0.93999999999999895</v>
      </c>
      <c r="K16" s="24">
        <f t="shared" si="2"/>
        <v>0.93540268400402815</v>
      </c>
      <c r="L16" s="25">
        <f t="shared" si="3"/>
        <v>134274.24908072624</v>
      </c>
      <c r="M16" s="26">
        <v>3.7730000000000001</v>
      </c>
      <c r="N16" s="27">
        <v>1816</v>
      </c>
      <c r="O16" s="28">
        <f t="shared" si="4"/>
        <v>481.31460376358336</v>
      </c>
      <c r="P16" s="153" t="s">
        <v>534</v>
      </c>
      <c r="Q16" s="24">
        <f>IF(ISERR(O16),VLOOKUP(P16,'Other corrections needed'!$A$3:$E$6,5,FALSE),IF(O16=0,VLOOKUP(P16,'Other corrections needed'!$A$3:$E$6,5,FALSE),O16/O$156))</f>
        <v>0.42431190143549996</v>
      </c>
      <c r="R16" s="169">
        <f t="shared" si="5"/>
        <v>60908.700515361714</v>
      </c>
    </row>
    <row r="17" spans="1:18" x14ac:dyDescent="0.2">
      <c r="A17" s="21" t="s">
        <v>2975</v>
      </c>
      <c r="B17" s="21" t="s">
        <v>2982</v>
      </c>
      <c r="C17" s="21" t="s">
        <v>3596</v>
      </c>
      <c r="D17" s="22">
        <v>144281</v>
      </c>
      <c r="E17" s="23" t="s">
        <v>3662</v>
      </c>
      <c r="F17" s="23"/>
      <c r="G17" s="23">
        <v>93.64</v>
      </c>
      <c r="H17" s="24">
        <f t="shared" si="0"/>
        <v>0.91079737383801396</v>
      </c>
      <c r="I17" s="25">
        <f t="shared" si="1"/>
        <v>131410.7558947225</v>
      </c>
      <c r="J17" s="26">
        <v>0.94999999999999896</v>
      </c>
      <c r="K17" s="24">
        <f t="shared" si="2"/>
        <v>0.94535377638704965</v>
      </c>
      <c r="L17" s="25">
        <f t="shared" si="3"/>
        <v>136396.58821089991</v>
      </c>
      <c r="M17" s="26">
        <v>1.47</v>
      </c>
      <c r="N17" s="27">
        <v>3592</v>
      </c>
      <c r="O17" s="28">
        <f t="shared" si="4"/>
        <v>2443.5374149659865</v>
      </c>
      <c r="P17" s="153" t="s">
        <v>534</v>
      </c>
      <c r="Q17" s="24">
        <f>IF(ISERR(O17),VLOOKUP(P17,'Other corrections needed'!$A$3:$E$6,5,FALSE),IF(O17=0,VLOOKUP(P17,'Other corrections needed'!$A$3:$E$6,5,FALSE),O17/O$156))</f>
        <v>2.1541461627502994</v>
      </c>
      <c r="R17" s="169">
        <f t="shared" si="5"/>
        <v>310802.36250777595</v>
      </c>
    </row>
    <row r="18" spans="1:18" x14ac:dyDescent="0.2">
      <c r="A18" s="21" t="s">
        <v>2975</v>
      </c>
      <c r="B18" s="21" t="s">
        <v>3010</v>
      </c>
      <c r="C18" s="21" t="s">
        <v>3597</v>
      </c>
      <c r="D18" s="22">
        <v>263842</v>
      </c>
      <c r="E18" s="23" t="s">
        <v>3662</v>
      </c>
      <c r="F18" s="23"/>
      <c r="G18" s="23">
        <v>97.27</v>
      </c>
      <c r="H18" s="24">
        <f t="shared" si="0"/>
        <v>0.94610487562178136</v>
      </c>
      <c r="I18" s="25">
        <f t="shared" si="1"/>
        <v>249622.20259380204</v>
      </c>
      <c r="J18" s="26">
        <v>0.92</v>
      </c>
      <c r="K18" s="24">
        <f t="shared" si="2"/>
        <v>0.91550049923798604</v>
      </c>
      <c r="L18" s="25">
        <f t="shared" si="3"/>
        <v>241547.48271994872</v>
      </c>
      <c r="M18" s="26">
        <v>12.97</v>
      </c>
      <c r="N18" s="27">
        <v>4179</v>
      </c>
      <c r="O18" s="28">
        <f t="shared" si="4"/>
        <v>322.20508866615262</v>
      </c>
      <c r="P18" s="153" t="s">
        <v>533</v>
      </c>
      <c r="Q18" s="24">
        <f>IF(ISERR(O18),VLOOKUP(P18,'Other corrections needed'!$A$3:$E$6,5,FALSE),IF(O18=0,VLOOKUP(P18,'Other corrections needed'!$A$3:$E$6,5,FALSE),O18/O$156))</f>
        <v>0.28404592911808313</v>
      </c>
      <c r="R18" s="169">
        <f t="shared" si="5"/>
        <v>74943.246030373295</v>
      </c>
    </row>
    <row r="19" spans="1:18" x14ac:dyDescent="0.2">
      <c r="A19" s="21" t="s">
        <v>2975</v>
      </c>
      <c r="B19" s="21" t="s">
        <v>3000</v>
      </c>
      <c r="C19" s="21" t="s">
        <v>3598</v>
      </c>
      <c r="D19" s="22">
        <v>185787</v>
      </c>
      <c r="E19" s="23" t="s">
        <v>3662</v>
      </c>
      <c r="F19" s="23"/>
      <c r="G19" s="23">
        <v>98.22</v>
      </c>
      <c r="H19" s="24">
        <f t="shared" si="0"/>
        <v>0.95534513090954432</v>
      </c>
      <c r="I19" s="25">
        <f t="shared" si="1"/>
        <v>177490.70583629151</v>
      </c>
      <c r="J19" s="26">
        <v>0.89</v>
      </c>
      <c r="K19" s="24">
        <f t="shared" si="2"/>
        <v>0.88564722208892122</v>
      </c>
      <c r="L19" s="25">
        <f t="shared" si="3"/>
        <v>164541.74045023441</v>
      </c>
      <c r="M19" s="26">
        <v>5.65</v>
      </c>
      <c r="N19" s="27">
        <v>4910</v>
      </c>
      <c r="O19" s="28">
        <f t="shared" si="4"/>
        <v>869.02654867256626</v>
      </c>
      <c r="P19" s="153" t="s">
        <v>533</v>
      </c>
      <c r="Q19" s="24">
        <f>IF(ISERR(O19),VLOOKUP(P19,'Other corrections needed'!$A$3:$E$6,5,FALSE),IF(O19=0,VLOOKUP(P19,'Other corrections needed'!$A$3:$E$6,5,FALSE),O19/O$156))</f>
        <v>0.76610662627287951</v>
      </c>
      <c r="R19" s="169">
        <f t="shared" si="5"/>
        <v>142332.65177535947</v>
      </c>
    </row>
    <row r="20" spans="1:18" x14ac:dyDescent="0.2">
      <c r="A20" s="21" t="s">
        <v>2975</v>
      </c>
      <c r="B20" s="21" t="s">
        <v>2996</v>
      </c>
      <c r="C20" s="21" t="s">
        <v>3599</v>
      </c>
      <c r="D20" s="22">
        <v>459035</v>
      </c>
      <c r="E20" s="23" t="s">
        <v>3662</v>
      </c>
      <c r="F20" s="23"/>
      <c r="G20" s="23">
        <v>99.54</v>
      </c>
      <c r="H20" s="24">
        <f t="shared" si="0"/>
        <v>0.96818422246727798</v>
      </c>
      <c r="I20" s="25">
        <f t="shared" si="1"/>
        <v>444430.44456026697</v>
      </c>
      <c r="J20" s="26">
        <v>0.91</v>
      </c>
      <c r="K20" s="24">
        <f t="shared" si="2"/>
        <v>0.90554940685496443</v>
      </c>
      <c r="L20" s="25">
        <f t="shared" si="3"/>
        <v>415678.87197566859</v>
      </c>
      <c r="M20" s="26">
        <v>5.68</v>
      </c>
      <c r="N20" s="27">
        <v>1152</v>
      </c>
      <c r="O20" s="28">
        <f t="shared" si="4"/>
        <v>202.81690140845072</v>
      </c>
      <c r="P20" s="153" t="s">
        <v>535</v>
      </c>
      <c r="Q20" s="24">
        <f>IF(ISERR(O20),VLOOKUP(P20,'Other corrections needed'!$A$3:$E$6,5,FALSE),IF(O20=0,VLOOKUP(P20,'Other corrections needed'!$A$3:$E$6,5,FALSE),O20/O$156))</f>
        <v>0.17879703712905964</v>
      </c>
      <c r="R20" s="169">
        <f t="shared" si="5"/>
        <v>82074.097938537889</v>
      </c>
    </row>
    <row r="21" spans="1:18" x14ac:dyDescent="0.2">
      <c r="A21" s="21" t="s">
        <v>2975</v>
      </c>
      <c r="B21" s="21" t="s">
        <v>3002</v>
      </c>
      <c r="C21" s="21" t="s">
        <v>3600</v>
      </c>
      <c r="D21" s="22">
        <v>458603</v>
      </c>
      <c r="E21" s="23" t="s">
        <v>3662</v>
      </c>
      <c r="F21" s="23"/>
      <c r="G21" s="23">
        <v>96.83</v>
      </c>
      <c r="H21" s="24">
        <f t="shared" si="0"/>
        <v>0.94182517843587021</v>
      </c>
      <c r="I21" s="25">
        <f t="shared" si="1"/>
        <v>431923.8523062254</v>
      </c>
      <c r="J21" s="26">
        <v>0.92</v>
      </c>
      <c r="K21" s="24">
        <f t="shared" si="2"/>
        <v>0.91550049923798604</v>
      </c>
      <c r="L21" s="25">
        <f t="shared" si="3"/>
        <v>419851.2754520381</v>
      </c>
      <c r="M21" s="26">
        <v>12.54</v>
      </c>
      <c r="N21" s="27">
        <v>8610</v>
      </c>
      <c r="O21" s="28">
        <f t="shared" si="4"/>
        <v>686.6028708133972</v>
      </c>
      <c r="P21" s="153" t="s">
        <v>534</v>
      </c>
      <c r="Q21" s="24">
        <f>IF(ISERR(O21),VLOOKUP(P21,'Other corrections needed'!$A$3:$E$6,5,FALSE),IF(O21=0,VLOOKUP(P21,'Other corrections needed'!$A$3:$E$6,5,FALSE),O21/O$156))</f>
        <v>0.60528761722136637</v>
      </c>
      <c r="R21" s="169">
        <f t="shared" si="5"/>
        <v>277586.71712057031</v>
      </c>
    </row>
    <row r="22" spans="1:18" x14ac:dyDescent="0.2">
      <c r="A22" s="21" t="s">
        <v>2975</v>
      </c>
      <c r="B22" s="21" t="s">
        <v>2994</v>
      </c>
      <c r="C22" s="21" t="s">
        <v>3601</v>
      </c>
      <c r="D22" s="22">
        <v>502859</v>
      </c>
      <c r="E22" s="23" t="s">
        <v>3662</v>
      </c>
      <c r="F22" s="23"/>
      <c r="G22" s="23">
        <v>95.2</v>
      </c>
      <c r="H22" s="24">
        <f t="shared" si="0"/>
        <v>0.92597084567897192</v>
      </c>
      <c r="I22" s="25">
        <f t="shared" si="1"/>
        <v>465632.77348728216</v>
      </c>
      <c r="J22" s="26">
        <v>1.02</v>
      </c>
      <c r="K22" s="24">
        <f t="shared" si="2"/>
        <v>1.0150114230682019</v>
      </c>
      <c r="L22" s="25">
        <f t="shared" si="3"/>
        <v>510407.62919265294</v>
      </c>
      <c r="M22" s="26">
        <v>13.734</v>
      </c>
      <c r="N22" s="27">
        <v>4883</v>
      </c>
      <c r="O22" s="28">
        <f t="shared" si="4"/>
        <v>355.54099315567208</v>
      </c>
      <c r="P22" s="153" t="s">
        <v>536</v>
      </c>
      <c r="Q22" s="24">
        <f>IF(ISERR(O22),VLOOKUP(P22,'Other corrections needed'!$A$3:$E$6,5,FALSE),IF(O22=0,VLOOKUP(P22,'Other corrections needed'!$A$3:$E$6,5,FALSE),O22/O$156))</f>
        <v>0.31343381992674851</v>
      </c>
      <c r="R22" s="169">
        <f t="shared" si="5"/>
        <v>157613.01725454483</v>
      </c>
    </row>
    <row r="23" spans="1:18" x14ac:dyDescent="0.2">
      <c r="A23" s="21" t="s">
        <v>2975</v>
      </c>
      <c r="B23" s="21" t="s">
        <v>2984</v>
      </c>
      <c r="C23" s="21" t="s">
        <v>3602</v>
      </c>
      <c r="D23" s="22">
        <v>389789</v>
      </c>
      <c r="E23" s="23" t="s">
        <v>3662</v>
      </c>
      <c r="F23" s="23"/>
      <c r="G23" s="23">
        <v>94.86</v>
      </c>
      <c r="H23" s="24">
        <f t="shared" si="0"/>
        <v>0.92266380694440409</v>
      </c>
      <c r="I23" s="25">
        <f t="shared" si="1"/>
        <v>359644.20264505234</v>
      </c>
      <c r="J23" s="26">
        <v>0.9</v>
      </c>
      <c r="K23" s="24">
        <f t="shared" si="2"/>
        <v>0.89559831447194282</v>
      </c>
      <c r="L23" s="25">
        <f t="shared" si="3"/>
        <v>349094.37139970413</v>
      </c>
      <c r="M23" s="26">
        <v>16.96</v>
      </c>
      <c r="N23" s="27">
        <v>10711</v>
      </c>
      <c r="O23" s="28">
        <f t="shared" si="4"/>
        <v>631.54481132075466</v>
      </c>
      <c r="P23" s="153" t="s">
        <v>534</v>
      </c>
      <c r="Q23" s="24">
        <f>IF(ISERR(O23),VLOOKUP(P23,'Other corrections needed'!$A$3:$E$6,5,FALSE),IF(O23=0,VLOOKUP(P23,'Other corrections needed'!$A$3:$E$6,5,FALSE),O23/O$156))</f>
        <v>0.55675015392813321</v>
      </c>
      <c r="R23" s="169">
        <f t="shared" si="5"/>
        <v>217015.08574949313</v>
      </c>
    </row>
    <row r="24" spans="1:18" x14ac:dyDescent="0.2">
      <c r="A24" s="21" t="s">
        <v>2975</v>
      </c>
      <c r="B24" s="21" t="s">
        <v>3603</v>
      </c>
      <c r="C24" s="21" t="s">
        <v>3604</v>
      </c>
      <c r="D24" s="22">
        <v>299372</v>
      </c>
      <c r="E24" s="23" t="s">
        <v>3662</v>
      </c>
      <c r="F24" s="23"/>
      <c r="G24" s="23">
        <v>98.9</v>
      </c>
      <c r="H24" s="24">
        <f t="shared" si="0"/>
        <v>0.96195920837867988</v>
      </c>
      <c r="I24" s="25">
        <f t="shared" si="1"/>
        <v>287983.65213074215</v>
      </c>
      <c r="J24" s="26">
        <v>0.93999999999999895</v>
      </c>
      <c r="K24" s="24">
        <f t="shared" si="2"/>
        <v>0.93540268400402815</v>
      </c>
      <c r="L24" s="25">
        <f t="shared" si="3"/>
        <v>280033.37231565389</v>
      </c>
      <c r="M24" s="26">
        <v>9.4980000000000011</v>
      </c>
      <c r="N24" s="27">
        <v>5779</v>
      </c>
      <c r="O24" s="28">
        <f t="shared" si="4"/>
        <v>608.44388292272049</v>
      </c>
      <c r="P24" s="153" t="s">
        <v>534</v>
      </c>
      <c r="Q24" s="24">
        <f>IF(ISERR(O24),VLOOKUP(P24,'Other corrections needed'!$A$3:$E$6,5,FALSE),IF(O24=0,VLOOKUP(P24,'Other corrections needed'!$A$3:$E$6,5,FALSE),O24/O$156))</f>
        <v>0.53638509794011691</v>
      </c>
      <c r="R24" s="169">
        <f t="shared" si="5"/>
        <v>160578.67954052868</v>
      </c>
    </row>
    <row r="25" spans="1:18" x14ac:dyDescent="0.2">
      <c r="A25" s="21" t="s">
        <v>2975</v>
      </c>
      <c r="B25" s="21" t="s">
        <v>3605</v>
      </c>
      <c r="C25" s="21" t="s">
        <v>3606</v>
      </c>
      <c r="D25" s="22">
        <v>207980</v>
      </c>
      <c r="E25" s="23" t="s">
        <v>3662</v>
      </c>
      <c r="F25" s="23"/>
      <c r="G25" s="23">
        <v>97.55</v>
      </c>
      <c r="H25" s="24">
        <f t="shared" si="0"/>
        <v>0.94882831928554312</v>
      </c>
      <c r="I25" s="25">
        <f t="shared" si="1"/>
        <v>197337.31384500724</v>
      </c>
      <c r="J25" s="26">
        <v>0.91</v>
      </c>
      <c r="K25" s="24">
        <f t="shared" si="2"/>
        <v>0.90554940685496443</v>
      </c>
      <c r="L25" s="25">
        <f t="shared" si="3"/>
        <v>188336.16563769549</v>
      </c>
      <c r="M25" s="26">
        <v>4.4000000000000004</v>
      </c>
      <c r="N25" s="27">
        <v>1735</v>
      </c>
      <c r="O25" s="28">
        <f t="shared" si="4"/>
        <v>394.31818181818181</v>
      </c>
      <c r="P25" s="153" t="s">
        <v>533</v>
      </c>
      <c r="Q25" s="24">
        <f>IF(ISERR(O25),VLOOKUP(P25,'Other corrections needed'!$A$3:$E$6,5,FALSE),IF(O25=0,VLOOKUP(P25,'Other corrections needed'!$A$3:$E$6,5,FALSE),O25/O$156))</f>
        <v>0.3476185766847098</v>
      </c>
      <c r="R25" s="169">
        <f t="shared" si="5"/>
        <v>72297.711578885937</v>
      </c>
    </row>
    <row r="26" spans="1:18" x14ac:dyDescent="0.2">
      <c r="A26" s="21" t="s">
        <v>2975</v>
      </c>
      <c r="B26" s="21" t="s">
        <v>3021</v>
      </c>
      <c r="C26" s="21" t="s">
        <v>3607</v>
      </c>
      <c r="D26" s="22">
        <v>152172</v>
      </c>
      <c r="E26" s="23" t="s">
        <v>3662</v>
      </c>
      <c r="F26" s="23"/>
      <c r="G26" s="23">
        <v>98.43</v>
      </c>
      <c r="H26" s="24">
        <f t="shared" si="0"/>
        <v>0.95738771365736564</v>
      </c>
      <c r="I26" s="25">
        <f t="shared" si="1"/>
        <v>145687.60316266865</v>
      </c>
      <c r="J26" s="26">
        <v>0.9</v>
      </c>
      <c r="K26" s="24">
        <f t="shared" si="2"/>
        <v>0.89559831447194282</v>
      </c>
      <c r="L26" s="25">
        <f t="shared" si="3"/>
        <v>136284.98670982447</v>
      </c>
      <c r="M26" s="26">
        <v>7.6803999999999997</v>
      </c>
      <c r="N26" s="27">
        <v>925</v>
      </c>
      <c r="O26" s="28">
        <f t="shared" si="4"/>
        <v>120.43643560231239</v>
      </c>
      <c r="P26" s="153" t="s">
        <v>537</v>
      </c>
      <c r="Q26" s="24">
        <f>IF(ISERR(O26),VLOOKUP(P26,'Other corrections needed'!$A$3:$E$6,5,FALSE),IF(O26=0,VLOOKUP(P26,'Other corrections needed'!$A$3:$E$6,5,FALSE),O26/O$156))</f>
        <v>0.1061729949453858</v>
      </c>
      <c r="R26" s="169">
        <f t="shared" si="5"/>
        <v>16156.556986829248</v>
      </c>
    </row>
    <row r="27" spans="1:18" x14ac:dyDescent="0.2">
      <c r="A27" s="21" t="s">
        <v>2975</v>
      </c>
      <c r="B27" s="21" t="s">
        <v>2979</v>
      </c>
      <c r="C27" s="21" t="s">
        <v>3608</v>
      </c>
      <c r="D27" s="22">
        <v>433613</v>
      </c>
      <c r="E27" s="23" t="s">
        <v>3662</v>
      </c>
      <c r="F27" s="23" t="s">
        <v>371</v>
      </c>
      <c r="G27" s="23">
        <v>97.48</v>
      </c>
      <c r="H27" s="24">
        <f t="shared" si="0"/>
        <v>0.94814745836960279</v>
      </c>
      <c r="I27" s="25">
        <f t="shared" si="1"/>
        <v>411129.06386601855</v>
      </c>
      <c r="J27" s="26">
        <v>0.92</v>
      </c>
      <c r="K27" s="24">
        <f t="shared" si="2"/>
        <v>0.91550049923798604</v>
      </c>
      <c r="L27" s="25">
        <f t="shared" si="3"/>
        <v>396972.91797608085</v>
      </c>
      <c r="M27" s="26">
        <v>8.4960000000000004</v>
      </c>
      <c r="N27" s="27">
        <v>6004</v>
      </c>
      <c r="O27" s="28">
        <f t="shared" si="4"/>
        <v>706.6854990583804</v>
      </c>
      <c r="P27" s="153" t="s">
        <v>537</v>
      </c>
      <c r="Q27" s="24">
        <f>IF(ISERR(O27),VLOOKUP(P27,'Other corrections needed'!$A$3:$E$6,5,FALSE),IF(O27=0,VLOOKUP(P27,'Other corrections needed'!$A$3:$E$6,5,FALSE),O27/O$156))</f>
        <v>0.62299183419259441</v>
      </c>
      <c r="R27" s="169">
        <f t="shared" si="5"/>
        <v>270137.35819975345</v>
      </c>
    </row>
    <row r="28" spans="1:18" x14ac:dyDescent="0.2">
      <c r="A28" s="21" t="s">
        <v>2975</v>
      </c>
      <c r="B28" s="21" t="s">
        <v>2986</v>
      </c>
      <c r="C28" s="21" t="s">
        <v>3609</v>
      </c>
      <c r="D28" s="22">
        <v>476688</v>
      </c>
      <c r="E28" s="23" t="s">
        <v>3662</v>
      </c>
      <c r="F28" s="23"/>
      <c r="G28" s="23">
        <v>101.87</v>
      </c>
      <c r="H28" s="24">
        <f t="shared" si="0"/>
        <v>0.99084716438358056</v>
      </c>
      <c r="I28" s="25">
        <f t="shared" si="1"/>
        <v>472324.95309568028</v>
      </c>
      <c r="J28" s="26">
        <v>0.94999999999999896</v>
      </c>
      <c r="K28" s="24">
        <f t="shared" si="2"/>
        <v>0.94535377638704965</v>
      </c>
      <c r="L28" s="25">
        <f t="shared" si="3"/>
        <v>450638.80095838994</v>
      </c>
      <c r="M28" s="26">
        <v>13.2</v>
      </c>
      <c r="N28" s="27">
        <v>13419</v>
      </c>
      <c r="O28" s="28">
        <f t="shared" si="4"/>
        <v>1016.5909090909091</v>
      </c>
      <c r="P28" s="153" t="s">
        <v>533</v>
      </c>
      <c r="Q28" s="24">
        <f>IF(ISERR(O28),VLOOKUP(P28,'Other corrections needed'!$A$3:$E$6,5,FALSE),IF(O28=0,VLOOKUP(P28,'Other corrections needed'!$A$3:$E$6,5,FALSE),O28/O$156))</f>
        <v>0.89619475130300108</v>
      </c>
      <c r="R28" s="169">
        <f t="shared" si="5"/>
        <v>427205.28360912501</v>
      </c>
    </row>
    <row r="29" spans="1:18" x14ac:dyDescent="0.2">
      <c r="A29" s="21" t="s">
        <v>2975</v>
      </c>
      <c r="B29" s="21" t="s">
        <v>3610</v>
      </c>
      <c r="C29" s="21" t="s">
        <v>3611</v>
      </c>
      <c r="D29" s="22">
        <v>340367</v>
      </c>
      <c r="E29" s="23" t="s">
        <v>3662</v>
      </c>
      <c r="F29" s="23"/>
      <c r="G29" s="23">
        <v>95.44</v>
      </c>
      <c r="H29" s="24">
        <f t="shared" si="0"/>
        <v>0.92830522596219611</v>
      </c>
      <c r="I29" s="25">
        <f t="shared" si="1"/>
        <v>315964.46484507481</v>
      </c>
      <c r="J29" s="26">
        <v>0.9</v>
      </c>
      <c r="K29" s="24">
        <f t="shared" si="2"/>
        <v>0.89559831447194282</v>
      </c>
      <c r="L29" s="25">
        <f t="shared" si="3"/>
        <v>304832.11150187178</v>
      </c>
      <c r="M29" s="26">
        <v>6.11</v>
      </c>
      <c r="N29" s="27">
        <v>5159</v>
      </c>
      <c r="O29" s="28">
        <f t="shared" si="4"/>
        <v>844.35351882160387</v>
      </c>
      <c r="P29" s="153" t="s">
        <v>534</v>
      </c>
      <c r="Q29" s="24">
        <f>IF(ISERR(O29),VLOOKUP(P29,'Other corrections needed'!$A$3:$E$6,5,FALSE),IF(O29=0,VLOOKUP(P29,'Other corrections needed'!$A$3:$E$6,5,FALSE),O29/O$156))</f>
        <v>0.74435565481185351</v>
      </c>
      <c r="R29" s="169">
        <f t="shared" si="5"/>
        <v>253354.10116134613</v>
      </c>
    </row>
    <row r="30" spans="1:18" x14ac:dyDescent="0.2">
      <c r="A30" s="21" t="s">
        <v>2975</v>
      </c>
      <c r="B30" s="21" t="s">
        <v>3612</v>
      </c>
      <c r="C30" s="21" t="s">
        <v>3613</v>
      </c>
      <c r="D30" s="22">
        <v>221692</v>
      </c>
      <c r="E30" s="23" t="s">
        <v>3662</v>
      </c>
      <c r="F30" s="23"/>
      <c r="G30" s="23">
        <v>98.09</v>
      </c>
      <c r="H30" s="24">
        <f t="shared" si="0"/>
        <v>0.9540806749227978</v>
      </c>
      <c r="I30" s="25">
        <f t="shared" si="1"/>
        <v>211512.05298498488</v>
      </c>
      <c r="J30" s="26">
        <v>0.91</v>
      </c>
      <c r="K30" s="24">
        <f t="shared" si="2"/>
        <v>0.90554940685496443</v>
      </c>
      <c r="L30" s="25">
        <f t="shared" si="3"/>
        <v>200753.05910449076</v>
      </c>
      <c r="M30" s="26">
        <v>3.6880000000000002</v>
      </c>
      <c r="N30" s="27">
        <v>3067</v>
      </c>
      <c r="O30" s="28">
        <f t="shared" si="4"/>
        <v>831.6160520607375</v>
      </c>
      <c r="P30" s="153" t="s">
        <v>533</v>
      </c>
      <c r="Q30" s="24">
        <f>IF(ISERR(O30),VLOOKUP(P30,'Other corrections needed'!$A$3:$E$6,5,FALSE),IF(O30=0,VLOOKUP(P30,'Other corrections needed'!$A$3:$E$6,5,FALSE),O30/O$156))</f>
        <v>0.73312670248314049</v>
      </c>
      <c r="R30" s="169">
        <f t="shared" si="5"/>
        <v>162528.32492689238</v>
      </c>
    </row>
    <row r="31" spans="1:18" x14ac:dyDescent="0.2">
      <c r="A31" s="21" t="s">
        <v>2975</v>
      </c>
      <c r="B31" s="21" t="s">
        <v>3017</v>
      </c>
      <c r="C31" s="21" t="s">
        <v>3614</v>
      </c>
      <c r="D31" s="22">
        <v>220929</v>
      </c>
      <c r="E31" s="23" t="s">
        <v>3662</v>
      </c>
      <c r="F31" s="23"/>
      <c r="G31" s="23">
        <v>100.26</v>
      </c>
      <c r="H31" s="24">
        <f t="shared" si="0"/>
        <v>0.97518736331695088</v>
      </c>
      <c r="I31" s="25">
        <f t="shared" si="1"/>
        <v>215447.16899025065</v>
      </c>
      <c r="J31" s="26">
        <v>0.92</v>
      </c>
      <c r="K31" s="24">
        <f t="shared" si="2"/>
        <v>0.91550049923798604</v>
      </c>
      <c r="L31" s="25">
        <f t="shared" si="3"/>
        <v>202260.60979614902</v>
      </c>
      <c r="M31" s="26">
        <v>5.4894999999999996</v>
      </c>
      <c r="N31" s="27">
        <v>1779</v>
      </c>
      <c r="O31" s="28">
        <f t="shared" si="4"/>
        <v>324.07323071317973</v>
      </c>
      <c r="P31" s="153" t="s">
        <v>533</v>
      </c>
      <c r="Q31" s="24">
        <f>IF(ISERR(O31),VLOOKUP(P31,'Other corrections needed'!$A$3:$E$6,5,FALSE),IF(O31=0,VLOOKUP(P31,'Other corrections needed'!$A$3:$E$6,5,FALSE),O31/O$156))</f>
        <v>0.28569282472010193</v>
      </c>
      <c r="R31" s="169">
        <f t="shared" si="5"/>
        <v>63117.8300725874</v>
      </c>
    </row>
    <row r="32" spans="1:18" x14ac:dyDescent="0.2">
      <c r="A32" s="21" t="s">
        <v>2975</v>
      </c>
      <c r="B32" s="21" t="s">
        <v>3019</v>
      </c>
      <c r="C32" s="21" t="s">
        <v>3615</v>
      </c>
      <c r="D32" s="22">
        <v>275619</v>
      </c>
      <c r="E32" s="23" t="s">
        <v>3662</v>
      </c>
      <c r="F32" s="23"/>
      <c r="G32" s="23">
        <v>96.71</v>
      </c>
      <c r="H32" s="24">
        <f t="shared" si="0"/>
        <v>0.94065798829425806</v>
      </c>
      <c r="I32" s="25">
        <f t="shared" si="1"/>
        <v>259263.21407567512</v>
      </c>
      <c r="J32" s="26">
        <v>0.92</v>
      </c>
      <c r="K32" s="24">
        <f t="shared" si="2"/>
        <v>0.91550049923798604</v>
      </c>
      <c r="L32" s="25">
        <f t="shared" si="3"/>
        <v>252329.33209947447</v>
      </c>
      <c r="M32" s="26">
        <v>5.1989999999999998</v>
      </c>
      <c r="N32" s="27">
        <v>1423</v>
      </c>
      <c r="O32" s="28">
        <f t="shared" si="4"/>
        <v>273.70648201577228</v>
      </c>
      <c r="P32" s="153" t="s">
        <v>537</v>
      </c>
      <c r="Q32" s="24">
        <f>IF(ISERR(O32),VLOOKUP(P32,'Other corrections needed'!$A$3:$E$6,5,FALSE),IF(O32=0,VLOOKUP(P32,'Other corrections needed'!$A$3:$E$6,5,FALSE),O32/O$156))</f>
        <v>0.24129107430195287</v>
      </c>
      <c r="R32" s="169">
        <f t="shared" si="5"/>
        <v>66504.404608029945</v>
      </c>
    </row>
    <row r="33" spans="1:18" x14ac:dyDescent="0.2">
      <c r="A33" s="21" t="s">
        <v>2975</v>
      </c>
      <c r="B33" s="21" t="s">
        <v>3023</v>
      </c>
      <c r="C33" s="21" t="s">
        <v>3616</v>
      </c>
      <c r="D33" s="22">
        <v>281158</v>
      </c>
      <c r="E33" s="23" t="s">
        <v>3662</v>
      </c>
      <c r="F33" s="23"/>
      <c r="G33" s="23">
        <v>100.71</v>
      </c>
      <c r="H33" s="24">
        <f t="shared" si="0"/>
        <v>0.97956432634799639</v>
      </c>
      <c r="I33" s="25">
        <f t="shared" si="1"/>
        <v>275412.34686734999</v>
      </c>
      <c r="J33" s="26">
        <v>0.91</v>
      </c>
      <c r="K33" s="24">
        <f t="shared" si="2"/>
        <v>0.90554940685496443</v>
      </c>
      <c r="L33" s="25">
        <f t="shared" si="3"/>
        <v>254602.4601325281</v>
      </c>
      <c r="M33" s="26">
        <v>8.15</v>
      </c>
      <c r="N33" s="27">
        <v>10038</v>
      </c>
      <c r="O33" s="28">
        <f t="shared" si="4"/>
        <v>1231.6564417177913</v>
      </c>
      <c r="P33" s="153" t="s">
        <v>533</v>
      </c>
      <c r="Q33" s="24">
        <f>IF(ISERR(O33),VLOOKUP(P33,'Other corrections needed'!$A$3:$E$6,5,FALSE),IF(O33=0,VLOOKUP(P33,'Other corrections needed'!$A$3:$E$6,5,FALSE),O33/O$156))</f>
        <v>1.0857897986350249</v>
      </c>
      <c r="R33" s="169">
        <f t="shared" si="5"/>
        <v>305278.48820462631</v>
      </c>
    </row>
    <row r="34" spans="1:18" x14ac:dyDescent="0.2">
      <c r="A34" s="21" t="s">
        <v>2975</v>
      </c>
      <c r="B34" s="21" t="s">
        <v>3013</v>
      </c>
      <c r="C34" s="21" t="s">
        <v>3617</v>
      </c>
      <c r="D34" s="22">
        <v>250988</v>
      </c>
      <c r="E34" s="23" t="s">
        <v>3662</v>
      </c>
      <c r="F34" s="23"/>
      <c r="G34" s="23">
        <v>100.4</v>
      </c>
      <c r="H34" s="24">
        <f t="shared" si="0"/>
        <v>0.97654908514883176</v>
      </c>
      <c r="I34" s="25">
        <f t="shared" si="1"/>
        <v>245102.10178333498</v>
      </c>
      <c r="J34" s="26">
        <v>0.91</v>
      </c>
      <c r="K34" s="24">
        <f t="shared" si="2"/>
        <v>0.90554940685496443</v>
      </c>
      <c r="L34" s="25">
        <f t="shared" si="3"/>
        <v>227282.03452771381</v>
      </c>
      <c r="M34" s="26">
        <v>9.09</v>
      </c>
      <c r="N34" s="27">
        <v>2320</v>
      </c>
      <c r="O34" s="28">
        <f t="shared" si="4"/>
        <v>255.22552255225523</v>
      </c>
      <c r="P34" s="153" t="s">
        <v>533</v>
      </c>
      <c r="Q34" s="24">
        <f>IF(ISERR(O34),VLOOKUP(P34,'Other corrections needed'!$A$3:$E$6,5,FALSE),IF(O34=0,VLOOKUP(P34,'Other corrections needed'!$A$3:$E$6,5,FALSE),O34/O$156))</f>
        <v>0.22499883843584759</v>
      </c>
      <c r="R34" s="169">
        <f t="shared" si="5"/>
        <v>56472.008461336511</v>
      </c>
    </row>
    <row r="35" spans="1:18" x14ac:dyDescent="0.2">
      <c r="A35" s="21" t="s">
        <v>2975</v>
      </c>
      <c r="B35" s="21" t="s">
        <v>3027</v>
      </c>
      <c r="C35" s="21" t="s">
        <v>3618</v>
      </c>
      <c r="D35" s="22">
        <v>215624</v>
      </c>
      <c r="E35" s="23" t="s">
        <v>3662</v>
      </c>
      <c r="F35" s="23"/>
      <c r="G35" s="23">
        <v>100.96</v>
      </c>
      <c r="H35" s="24">
        <f t="shared" ref="H35:H66" si="6">G35/H$156</f>
        <v>0.98199597247635495</v>
      </c>
      <c r="I35" s="25">
        <f t="shared" ref="I35:I66" si="7">H35*D35</f>
        <v>211741.89956924156</v>
      </c>
      <c r="J35" s="26">
        <v>0.93999999999999895</v>
      </c>
      <c r="K35" s="24">
        <f t="shared" ref="K35:K66" si="8">J35/K$156</f>
        <v>0.93540268400402815</v>
      </c>
      <c r="L35" s="25">
        <f t="shared" ref="L35:L66" si="9">K35*D35</f>
        <v>201695.26833568455</v>
      </c>
      <c r="M35" s="26">
        <v>7.3</v>
      </c>
      <c r="N35" s="27">
        <v>4128</v>
      </c>
      <c r="O35" s="28">
        <f t="shared" si="4"/>
        <v>565.47945205479448</v>
      </c>
      <c r="P35" s="153" t="s">
        <v>533</v>
      </c>
      <c r="Q35" s="24">
        <f>IF(ISERR(O35),VLOOKUP(P35,'Other corrections needed'!$A$3:$E$6,5,FALSE),IF(O35=0,VLOOKUP(P35,'Other corrections needed'!$A$3:$E$6,5,FALSE),O35/O$156))</f>
        <v>0.49850899941097632</v>
      </c>
      <c r="R35" s="169">
        <f t="shared" si="5"/>
        <v>107490.50448899236</v>
      </c>
    </row>
    <row r="36" spans="1:18" x14ac:dyDescent="0.2">
      <c r="A36" s="21" t="s">
        <v>2975</v>
      </c>
      <c r="B36" s="21" t="s">
        <v>2977</v>
      </c>
      <c r="C36" s="21" t="s">
        <v>3619</v>
      </c>
      <c r="D36" s="22">
        <v>196377</v>
      </c>
      <c r="E36" s="23" t="s">
        <v>3662</v>
      </c>
      <c r="F36" s="23"/>
      <c r="G36" s="23">
        <v>99.26</v>
      </c>
      <c r="H36" s="24">
        <f t="shared" si="6"/>
        <v>0.96546077880351633</v>
      </c>
      <c r="I36" s="25">
        <f t="shared" si="7"/>
        <v>189594.29135909813</v>
      </c>
      <c r="J36" s="26">
        <v>0.9</v>
      </c>
      <c r="K36" s="24">
        <f t="shared" si="8"/>
        <v>0.89559831447194282</v>
      </c>
      <c r="L36" s="25">
        <f t="shared" si="9"/>
        <v>175874.91020105671</v>
      </c>
      <c r="M36" s="26">
        <v>1.841</v>
      </c>
      <c r="N36" s="27">
        <v>1171</v>
      </c>
      <c r="O36" s="28">
        <f t="shared" si="4"/>
        <v>636.06735469853345</v>
      </c>
      <c r="P36" s="153" t="s">
        <v>533</v>
      </c>
      <c r="Q36" s="24">
        <f>IF(ISERR(O36),VLOOKUP(P36,'Other corrections needed'!$A$3:$E$6,5,FALSE),IF(O36=0,VLOOKUP(P36,'Other corrections needed'!$A$3:$E$6,5,FALSE),O36/O$156))</f>
        <v>0.56073708672623379</v>
      </c>
      <c r="R36" s="169">
        <f t="shared" si="5"/>
        <v>110115.86688003762</v>
      </c>
    </row>
    <row r="37" spans="1:18" x14ac:dyDescent="0.2">
      <c r="A37" s="21" t="s">
        <v>2975</v>
      </c>
      <c r="B37" s="21" t="s">
        <v>2988</v>
      </c>
      <c r="C37" s="21" t="s">
        <v>3620</v>
      </c>
      <c r="D37" s="22">
        <v>238357</v>
      </c>
      <c r="E37" s="23" t="s">
        <v>3662</v>
      </c>
      <c r="F37" s="23"/>
      <c r="G37" s="23">
        <v>98.78</v>
      </c>
      <c r="H37" s="24">
        <f t="shared" si="6"/>
        <v>0.96079201823706772</v>
      </c>
      <c r="I37" s="25">
        <f t="shared" si="7"/>
        <v>229011.50309093276</v>
      </c>
      <c r="J37" s="26">
        <v>0.93</v>
      </c>
      <c r="K37" s="24">
        <f t="shared" si="8"/>
        <v>0.92545159162100765</v>
      </c>
      <c r="L37" s="25">
        <f t="shared" si="9"/>
        <v>220587.86502400853</v>
      </c>
      <c r="M37" s="26">
        <v>13.286</v>
      </c>
      <c r="N37" s="27">
        <v>8800</v>
      </c>
      <c r="O37" s="28">
        <f t="shared" si="4"/>
        <v>662.35134728285414</v>
      </c>
      <c r="P37" s="153" t="s">
        <v>535</v>
      </c>
      <c r="Q37" s="24">
        <f>IF(ISERR(O37),VLOOKUP(P37,'Other corrections needed'!$A$3:$E$6,5,FALSE),IF(O37=0,VLOOKUP(P37,'Other corrections needed'!$A$3:$E$6,5,FALSE),O37/O$156))</f>
        <v>0.5839082325496997</v>
      </c>
      <c r="R37" s="169">
        <f t="shared" si="5"/>
        <v>139178.61458584876</v>
      </c>
    </row>
    <row r="38" spans="1:18" x14ac:dyDescent="0.2">
      <c r="A38" s="21" t="s">
        <v>2975</v>
      </c>
      <c r="B38" s="21" t="s">
        <v>2991</v>
      </c>
      <c r="C38" s="21" t="s">
        <v>3621</v>
      </c>
      <c r="D38" s="22">
        <v>310755</v>
      </c>
      <c r="E38" s="23" t="s">
        <v>3662</v>
      </c>
      <c r="F38" s="23" t="s">
        <v>691</v>
      </c>
      <c r="G38" s="23">
        <v>96.84</v>
      </c>
      <c r="H38" s="24">
        <f t="shared" si="6"/>
        <v>0.94192244428100458</v>
      </c>
      <c r="I38" s="25">
        <f t="shared" si="7"/>
        <v>292707.10917254357</v>
      </c>
      <c r="J38" s="26">
        <v>0.93</v>
      </c>
      <c r="K38" s="24">
        <f t="shared" si="8"/>
        <v>0.92545159162100765</v>
      </c>
      <c r="L38" s="25">
        <f t="shared" si="9"/>
        <v>287588.70935418626</v>
      </c>
      <c r="M38" s="26">
        <v>7.32</v>
      </c>
      <c r="N38" s="27">
        <v>4089</v>
      </c>
      <c r="O38" s="28">
        <f t="shared" si="4"/>
        <v>558.60655737704917</v>
      </c>
      <c r="P38" s="153" t="s">
        <v>537</v>
      </c>
      <c r="Q38" s="24">
        <f>IF(ISERR(O38),VLOOKUP(P38,'Other corrections needed'!$A$3:$E$6,5,FALSE),IF(O38=0,VLOOKUP(P38,'Other corrections needed'!$A$3:$E$6,5,FALSE),O38/O$156))</f>
        <v>0.4924500704146883</v>
      </c>
      <c r="R38" s="169">
        <f t="shared" si="5"/>
        <v>153031.32163171648</v>
      </c>
    </row>
    <row r="39" spans="1:18" x14ac:dyDescent="0.2">
      <c r="A39" s="21" t="s">
        <v>3034</v>
      </c>
      <c r="B39" s="21" t="s">
        <v>3038</v>
      </c>
      <c r="C39" s="21" t="s">
        <v>3622</v>
      </c>
      <c r="D39" s="22">
        <v>227591</v>
      </c>
      <c r="E39" s="23" t="s">
        <v>705</v>
      </c>
      <c r="F39" s="23"/>
      <c r="G39" s="23">
        <v>95.38</v>
      </c>
      <c r="H39" s="24">
        <f t="shared" si="6"/>
        <v>0.92772163089139004</v>
      </c>
      <c r="I39" s="25">
        <f t="shared" si="7"/>
        <v>211141.09369620236</v>
      </c>
      <c r="J39" s="26">
        <v>0.93</v>
      </c>
      <c r="K39" s="24">
        <f t="shared" si="8"/>
        <v>0.92545159162100765</v>
      </c>
      <c r="L39" s="25">
        <f t="shared" si="9"/>
        <v>210624.45318861675</v>
      </c>
      <c r="M39" s="26">
        <v>18.46</v>
      </c>
      <c r="N39" s="27">
        <v>9244</v>
      </c>
      <c r="O39" s="28">
        <f t="shared" si="4"/>
        <v>500.75839653304439</v>
      </c>
      <c r="P39" s="153" t="s">
        <v>538</v>
      </c>
      <c r="Q39" s="24">
        <f>IF(ISERR(O39),VLOOKUP(P39,'Other corrections needed'!$A$3:$E$6,5,FALSE),IF(O39=0,VLOOKUP(P39,'Other corrections needed'!$A$3:$E$6,5,FALSE),O39/O$156))</f>
        <v>0.44145294103125726</v>
      </c>
      <c r="R39" s="169">
        <f t="shared" si="5"/>
        <v>100470.71630224487</v>
      </c>
    </row>
    <row r="40" spans="1:18" x14ac:dyDescent="0.2">
      <c r="A40" s="21" t="s">
        <v>3034</v>
      </c>
      <c r="B40" s="21" t="s">
        <v>3036</v>
      </c>
      <c r="C40" s="21" t="s">
        <v>3623</v>
      </c>
      <c r="D40" s="22">
        <v>512717</v>
      </c>
      <c r="E40" s="23" t="s">
        <v>705</v>
      </c>
      <c r="F40" s="23"/>
      <c r="G40" s="23">
        <v>95.56</v>
      </c>
      <c r="H40" s="24">
        <f t="shared" si="6"/>
        <v>0.92947241610380837</v>
      </c>
      <c r="I40" s="25">
        <f t="shared" si="7"/>
        <v>476556.30876749632</v>
      </c>
      <c r="J40" s="26">
        <v>0.92</v>
      </c>
      <c r="K40" s="24">
        <f t="shared" si="8"/>
        <v>0.91550049923798604</v>
      </c>
      <c r="L40" s="25">
        <f t="shared" si="9"/>
        <v>469392.66946780251</v>
      </c>
      <c r="M40" s="26">
        <v>15.14</v>
      </c>
      <c r="N40" s="27">
        <v>5380</v>
      </c>
      <c r="O40" s="28">
        <f t="shared" si="4"/>
        <v>355.35006605019817</v>
      </c>
      <c r="P40" s="153" t="s">
        <v>539</v>
      </c>
      <c r="Q40" s="24">
        <f>IF(ISERR(O40),VLOOKUP(P40,'Other corrections needed'!$A$3:$E$6,5,FALSE),IF(O40=0,VLOOKUP(P40,'Other corrections needed'!$A$3:$E$6,5,FALSE),O40/O$156))</f>
        <v>0.31326550456185881</v>
      </c>
      <c r="R40" s="169">
        <f t="shared" si="5"/>
        <v>160616.54970244257</v>
      </c>
    </row>
    <row r="41" spans="1:18" x14ac:dyDescent="0.2">
      <c r="A41" s="21" t="s">
        <v>3034</v>
      </c>
      <c r="B41" s="21" t="s">
        <v>3624</v>
      </c>
      <c r="C41" s="21" t="s">
        <v>3625</v>
      </c>
      <c r="D41" s="22">
        <v>203838</v>
      </c>
      <c r="E41" s="23" t="s">
        <v>705</v>
      </c>
      <c r="F41" s="23"/>
      <c r="G41" s="23">
        <v>95.66</v>
      </c>
      <c r="H41" s="24">
        <f t="shared" si="6"/>
        <v>0.9304450745551518</v>
      </c>
      <c r="I41" s="25">
        <f t="shared" si="7"/>
        <v>189660.06310717305</v>
      </c>
      <c r="J41" s="26">
        <v>0.92</v>
      </c>
      <c r="K41" s="24">
        <f t="shared" si="8"/>
        <v>0.91550049923798604</v>
      </c>
      <c r="L41" s="25">
        <f t="shared" si="9"/>
        <v>186613.79076367259</v>
      </c>
      <c r="M41" s="26">
        <v>3.5261999999999998</v>
      </c>
      <c r="N41" s="27">
        <v>1760</v>
      </c>
      <c r="O41" s="28">
        <f t="shared" si="4"/>
        <v>499.12086665532303</v>
      </c>
      <c r="P41" s="153" t="s">
        <v>539</v>
      </c>
      <c r="Q41" s="24">
        <f>IF(ISERR(O41),VLOOKUP(P41,'Other corrections needed'!$A$3:$E$6,5,FALSE),IF(O41=0,VLOOKUP(P41,'Other corrections needed'!$A$3:$E$6,5,FALSE),O41/O$156))</f>
        <v>0.44000934590524138</v>
      </c>
      <c r="R41" s="169">
        <f t="shared" si="5"/>
        <v>89690.625050632589</v>
      </c>
    </row>
    <row r="42" spans="1:18" x14ac:dyDescent="0.2">
      <c r="A42" s="21" t="s">
        <v>3034</v>
      </c>
      <c r="B42" s="21" t="s">
        <v>3044</v>
      </c>
      <c r="C42" s="21" t="s">
        <v>3626</v>
      </c>
      <c r="D42" s="22">
        <v>293095</v>
      </c>
      <c r="E42" s="23" t="s">
        <v>705</v>
      </c>
      <c r="F42" s="23"/>
      <c r="G42" s="23">
        <v>97.01</v>
      </c>
      <c r="H42" s="24">
        <f t="shared" si="6"/>
        <v>0.94357596364828855</v>
      </c>
      <c r="I42" s="25">
        <f t="shared" si="7"/>
        <v>276557.39706549514</v>
      </c>
      <c r="J42" s="26">
        <v>1.03</v>
      </c>
      <c r="K42" s="24">
        <f t="shared" si="8"/>
        <v>1.0249625154512234</v>
      </c>
      <c r="L42" s="25">
        <f t="shared" si="9"/>
        <v>300411.38846617634</v>
      </c>
      <c r="M42" s="26">
        <v>10.524600000000001</v>
      </c>
      <c r="N42" s="27">
        <v>3141</v>
      </c>
      <c r="O42" s="28">
        <f t="shared" si="4"/>
        <v>298.44364631434922</v>
      </c>
      <c r="P42" s="153" t="s">
        <v>538</v>
      </c>
      <c r="Q42" s="24">
        <f>IF(ISERR(O42),VLOOKUP(P42,'Other corrections needed'!$A$3:$E$6,5,FALSE),IF(O42=0,VLOOKUP(P42,'Other corrections needed'!$A$3:$E$6,5,FALSE),O42/O$156))</f>
        <v>0.26309858468617386</v>
      </c>
      <c r="R42" s="169">
        <f t="shared" si="5"/>
        <v>77112.879678594123</v>
      </c>
    </row>
    <row r="43" spans="1:18" x14ac:dyDescent="0.2">
      <c r="A43" s="21" t="s">
        <v>3034</v>
      </c>
      <c r="B43" s="21" t="s">
        <v>3050</v>
      </c>
      <c r="C43" s="21" t="s">
        <v>3627</v>
      </c>
      <c r="D43" s="22">
        <v>342187</v>
      </c>
      <c r="E43" s="23" t="s">
        <v>705</v>
      </c>
      <c r="F43" s="23"/>
      <c r="G43" s="23">
        <v>93.78</v>
      </c>
      <c r="H43" s="24">
        <f t="shared" si="6"/>
        <v>0.91215909566989484</v>
      </c>
      <c r="I43" s="25">
        <f t="shared" si="7"/>
        <v>312128.98446999432</v>
      </c>
      <c r="J43" s="26">
        <v>0.94999999999999896</v>
      </c>
      <c r="K43" s="24">
        <f t="shared" si="8"/>
        <v>0.94535377638704965</v>
      </c>
      <c r="L43" s="25">
        <f t="shared" si="9"/>
        <v>323487.77268055535</v>
      </c>
      <c r="M43" s="26">
        <v>6.36</v>
      </c>
      <c r="N43" s="27">
        <v>3785</v>
      </c>
      <c r="O43" s="28">
        <f t="shared" si="4"/>
        <v>595.12578616352198</v>
      </c>
      <c r="P43" s="153" t="s">
        <v>540</v>
      </c>
      <c r="Q43" s="24">
        <f>IF(ISERR(O43),VLOOKUP(P43,'Other corrections needed'!$A$3:$E$6,5,FALSE),IF(O43=0,VLOOKUP(P43,'Other corrections needed'!$A$3:$E$6,5,FALSE),O43/O$156))</f>
        <v>0.52464428036423216</v>
      </c>
      <c r="R43" s="169">
        <f t="shared" si="5"/>
        <v>179526.45236499552</v>
      </c>
    </row>
    <row r="44" spans="1:18" x14ac:dyDescent="0.2">
      <c r="A44" s="21" t="s">
        <v>3034</v>
      </c>
      <c r="B44" s="21" t="s">
        <v>3048</v>
      </c>
      <c r="C44" s="21" t="s">
        <v>3628</v>
      </c>
      <c r="D44" s="22">
        <v>262255</v>
      </c>
      <c r="E44" s="23" t="s">
        <v>705</v>
      </c>
      <c r="F44" s="23"/>
      <c r="G44" s="23">
        <v>93.08</v>
      </c>
      <c r="H44" s="24">
        <f t="shared" si="6"/>
        <v>0.90535048651049055</v>
      </c>
      <c r="I44" s="25">
        <f t="shared" si="7"/>
        <v>237432.69183980869</v>
      </c>
      <c r="J44" s="26">
        <v>0.97999999999999898</v>
      </c>
      <c r="K44" s="24">
        <f t="shared" si="8"/>
        <v>0.97520705353611448</v>
      </c>
      <c r="L44" s="25">
        <f t="shared" si="9"/>
        <v>255752.92582511369</v>
      </c>
      <c r="M44" s="26">
        <v>6.1930000000000005</v>
      </c>
      <c r="N44" s="27">
        <v>3690</v>
      </c>
      <c r="O44" s="28">
        <f t="shared" si="4"/>
        <v>595.83400613595995</v>
      </c>
      <c r="P44" s="153" t="s">
        <v>540</v>
      </c>
      <c r="Q44" s="24">
        <f>IF(ISERR(O44),VLOOKUP(P44,'Other corrections needed'!$A$3:$E$6,5,FALSE),IF(O44=0,VLOOKUP(P44,'Other corrections needed'!$A$3:$E$6,5,FALSE),O44/O$156))</f>
        <v>0.5252686249421652</v>
      </c>
      <c r="R44" s="169">
        <f t="shared" si="5"/>
        <v>137754.32323420752</v>
      </c>
    </row>
    <row r="45" spans="1:18" x14ac:dyDescent="0.2">
      <c r="A45" s="21" t="s">
        <v>3034</v>
      </c>
      <c r="B45" s="21" t="s">
        <v>3042</v>
      </c>
      <c r="C45" s="21" t="s">
        <v>3629</v>
      </c>
      <c r="D45" s="22">
        <v>405909</v>
      </c>
      <c r="E45" s="23" t="s">
        <v>705</v>
      </c>
      <c r="F45" s="23"/>
      <c r="G45" s="23">
        <v>95.49</v>
      </c>
      <c r="H45" s="24">
        <f t="shared" si="6"/>
        <v>0.92879155518786782</v>
      </c>
      <c r="I45" s="25">
        <f t="shared" si="7"/>
        <v>377004.85137475224</v>
      </c>
      <c r="J45" s="26">
        <v>0.96999999999999897</v>
      </c>
      <c r="K45" s="24">
        <f t="shared" si="8"/>
        <v>0.96525596115309287</v>
      </c>
      <c r="L45" s="25">
        <f t="shared" si="9"/>
        <v>391806.08193569077</v>
      </c>
      <c r="M45" s="26">
        <v>5.8790000000000004</v>
      </c>
      <c r="N45" s="27">
        <v>3202</v>
      </c>
      <c r="O45" s="28">
        <f t="shared" si="4"/>
        <v>544.65045075693138</v>
      </c>
      <c r="P45" s="153" t="s">
        <v>539</v>
      </c>
      <c r="Q45" s="24">
        <f>IF(ISERR(O45),VLOOKUP(P45,'Other corrections needed'!$A$3:$E$6,5,FALSE),IF(O45=0,VLOOKUP(P45,'Other corrections needed'!$A$3:$E$6,5,FALSE),O45/O$156))</f>
        <v>0.4801468032993455</v>
      </c>
      <c r="R45" s="169">
        <f t="shared" si="5"/>
        <v>194895.90878043402</v>
      </c>
    </row>
    <row r="46" spans="1:18" x14ac:dyDescent="0.2">
      <c r="A46" s="21" t="s">
        <v>3034</v>
      </c>
      <c r="B46" s="21" t="s">
        <v>3052</v>
      </c>
      <c r="C46" s="21" t="s">
        <v>3630</v>
      </c>
      <c r="D46" s="22">
        <v>779736</v>
      </c>
      <c r="E46" s="23" t="s">
        <v>705</v>
      </c>
      <c r="F46" s="23" t="s">
        <v>3513</v>
      </c>
      <c r="G46" s="23">
        <v>98.43</v>
      </c>
      <c r="H46" s="24">
        <f t="shared" si="6"/>
        <v>0.95738771365736564</v>
      </c>
      <c r="I46" s="25">
        <f t="shared" si="7"/>
        <v>746509.66629633959</v>
      </c>
      <c r="J46" s="26">
        <v>0.97999999999999898</v>
      </c>
      <c r="K46" s="24">
        <f t="shared" si="8"/>
        <v>0.97520705353611448</v>
      </c>
      <c r="L46" s="25">
        <f t="shared" si="9"/>
        <v>760404.04709603579</v>
      </c>
      <c r="M46" s="26">
        <v>10.73</v>
      </c>
      <c r="N46" s="27">
        <v>5473</v>
      </c>
      <c r="O46" s="28">
        <f t="shared" si="4"/>
        <v>510.06523765144453</v>
      </c>
      <c r="P46" s="153" t="s">
        <v>539</v>
      </c>
      <c r="Q46" s="24">
        <f>IF(ISERR(O46),VLOOKUP(P46,'Other corrections needed'!$A$3:$E$6,5,FALSE),IF(O46=0,VLOOKUP(P46,'Other corrections needed'!$A$3:$E$6,5,FALSE),O46/O$156))</f>
        <v>0.44965756108730315</v>
      </c>
      <c r="R46" s="169">
        <f t="shared" si="5"/>
        <v>350614.1880519694</v>
      </c>
    </row>
    <row r="47" spans="1:18" x14ac:dyDescent="0.2">
      <c r="A47" s="21" t="s">
        <v>3034</v>
      </c>
      <c r="B47" s="21" t="s">
        <v>3057</v>
      </c>
      <c r="C47" s="21" t="s">
        <v>3631</v>
      </c>
      <c r="D47" s="22">
        <v>161868</v>
      </c>
      <c r="E47" s="23" t="s">
        <v>705</v>
      </c>
      <c r="F47" s="23"/>
      <c r="G47" s="23">
        <v>96.86</v>
      </c>
      <c r="H47" s="24">
        <f t="shared" si="6"/>
        <v>0.94211697597127331</v>
      </c>
      <c r="I47" s="25">
        <f t="shared" si="7"/>
        <v>152498.59066651808</v>
      </c>
      <c r="J47" s="26">
        <v>0.91</v>
      </c>
      <c r="K47" s="24">
        <f t="shared" si="8"/>
        <v>0.90554940685496443</v>
      </c>
      <c r="L47" s="25">
        <f t="shared" si="9"/>
        <v>146579.47138879937</v>
      </c>
      <c r="M47" s="26">
        <v>10.79</v>
      </c>
      <c r="N47" s="27">
        <v>1612</v>
      </c>
      <c r="O47" s="28">
        <f t="shared" si="4"/>
        <v>149.39759036144579</v>
      </c>
      <c r="P47" s="153" t="s">
        <v>540</v>
      </c>
      <c r="Q47" s="24">
        <f>IF(ISERR(O47),VLOOKUP(P47,'Other corrections needed'!$A$3:$E$6,5,FALSE),IF(O47=0,VLOOKUP(P47,'Other corrections needed'!$A$3:$E$6,5,FALSE),O47/O$156))</f>
        <v>0.13170424321320626</v>
      </c>
      <c r="R47" s="169">
        <f t="shared" si="5"/>
        <v>21318.702440435271</v>
      </c>
    </row>
    <row r="48" spans="1:18" x14ac:dyDescent="0.2">
      <c r="A48" s="21" t="s">
        <v>3034</v>
      </c>
      <c r="B48" s="21" t="s">
        <v>3632</v>
      </c>
      <c r="C48" s="21" t="s">
        <v>3633</v>
      </c>
      <c r="D48" s="22">
        <v>159801</v>
      </c>
      <c r="E48" s="23" t="s">
        <v>705</v>
      </c>
      <c r="F48" s="23"/>
      <c r="G48" s="23">
        <v>93.58</v>
      </c>
      <c r="H48" s="24">
        <f t="shared" si="6"/>
        <v>0.91021377876720788</v>
      </c>
      <c r="I48" s="25">
        <f t="shared" si="7"/>
        <v>145453.07206077859</v>
      </c>
      <c r="J48" s="26">
        <v>0.93999999999999895</v>
      </c>
      <c r="K48" s="24">
        <f t="shared" si="8"/>
        <v>0.93540268400402815</v>
      </c>
      <c r="L48" s="25">
        <f t="shared" si="9"/>
        <v>149478.2843065277</v>
      </c>
      <c r="M48" s="26">
        <v>2.5076999999999998</v>
      </c>
      <c r="N48" s="27">
        <v>728</v>
      </c>
      <c r="O48" s="28">
        <f t="shared" si="4"/>
        <v>290.30585795749096</v>
      </c>
      <c r="P48" s="153" t="s">
        <v>541</v>
      </c>
      <c r="Q48" s="24">
        <f>IF(ISERR(O48),VLOOKUP(P48,'Other corrections needed'!$A$3:$E$6,5,FALSE),IF(O48=0,VLOOKUP(P48,'Other corrections needed'!$A$3:$E$6,5,FALSE),O48/O$156))</f>
        <v>0.25592456498226673</v>
      </c>
      <c r="R48" s="169">
        <f t="shared" si="5"/>
        <v>40897.001408731208</v>
      </c>
    </row>
    <row r="49" spans="1:18" x14ac:dyDescent="0.2">
      <c r="A49" s="21" t="s">
        <v>3034</v>
      </c>
      <c r="B49" s="21" t="s">
        <v>3046</v>
      </c>
      <c r="C49" s="21" t="s">
        <v>3634</v>
      </c>
      <c r="D49" s="22">
        <v>808089</v>
      </c>
      <c r="E49" s="23" t="s">
        <v>705</v>
      </c>
      <c r="F49" s="23"/>
      <c r="G49" s="23">
        <v>97.23</v>
      </c>
      <c r="H49" s="24">
        <f t="shared" si="6"/>
        <v>0.94571581224124412</v>
      </c>
      <c r="I49" s="25">
        <f t="shared" si="7"/>
        <v>764222.5449982147</v>
      </c>
      <c r="J49" s="26">
        <v>0.97999999999999898</v>
      </c>
      <c r="K49" s="24">
        <f t="shared" si="8"/>
        <v>0.97520705353611448</v>
      </c>
      <c r="L49" s="25">
        <f t="shared" si="9"/>
        <v>788054.09268494521</v>
      </c>
      <c r="M49" s="26">
        <v>41.417000000000002</v>
      </c>
      <c r="N49" s="27">
        <v>34592</v>
      </c>
      <c r="O49" s="28">
        <f t="shared" si="4"/>
        <v>835.21259386242366</v>
      </c>
      <c r="P49" s="153" t="s">
        <v>542</v>
      </c>
      <c r="Q49" s="24">
        <f>IF(ISERR(O49),VLOOKUP(P49,'Other corrections needed'!$A$3:$E$6,5,FALSE),IF(O49=0,VLOOKUP(P49,'Other corrections needed'!$A$3:$E$6,5,FALSE),O49/O$156))</f>
        <v>0.73629730125270387</v>
      </c>
      <c r="R49" s="169">
        <f t="shared" si="5"/>
        <v>594993.74987199623</v>
      </c>
    </row>
    <row r="50" spans="1:18" x14ac:dyDescent="0.2">
      <c r="A50" s="21" t="s">
        <v>3034</v>
      </c>
      <c r="B50" s="21" t="s">
        <v>3066</v>
      </c>
      <c r="C50" s="21" t="s">
        <v>3635</v>
      </c>
      <c r="D50" s="22">
        <v>257043</v>
      </c>
      <c r="E50" s="23" t="s">
        <v>705</v>
      </c>
      <c r="F50" s="23"/>
      <c r="G50" s="23">
        <v>95.67</v>
      </c>
      <c r="H50" s="24">
        <f t="shared" si="6"/>
        <v>0.93054234040028616</v>
      </c>
      <c r="I50" s="25">
        <f t="shared" si="7"/>
        <v>239189.39480351075</v>
      </c>
      <c r="J50" s="26">
        <v>0.92</v>
      </c>
      <c r="K50" s="24">
        <f t="shared" si="8"/>
        <v>0.91550049923798604</v>
      </c>
      <c r="L50" s="25">
        <f t="shared" si="9"/>
        <v>235322.99482562963</v>
      </c>
      <c r="M50" s="26">
        <v>22.3</v>
      </c>
      <c r="N50" s="27">
        <v>4471</v>
      </c>
      <c r="O50" s="28">
        <f t="shared" si="4"/>
        <v>200.49327354260089</v>
      </c>
      <c r="P50" s="153" t="s">
        <v>538</v>
      </c>
      <c r="Q50" s="24">
        <f>IF(ISERR(O50),VLOOKUP(P50,'Other corrections needed'!$A$3:$E$6,5,FALSE),IF(O50=0,VLOOKUP(P50,'Other corrections needed'!$A$3:$E$6,5,FALSE),O50/O$156))</f>
        <v>0.17674859947460705</v>
      </c>
      <c r="R50" s="169">
        <f t="shared" si="5"/>
        <v>45431.990254751421</v>
      </c>
    </row>
    <row r="51" spans="1:18" x14ac:dyDescent="0.2">
      <c r="A51" s="21" t="s">
        <v>3034</v>
      </c>
      <c r="B51" s="21" t="s">
        <v>3061</v>
      </c>
      <c r="C51" s="21" t="s">
        <v>3636</v>
      </c>
      <c r="D51" s="22">
        <v>536297</v>
      </c>
      <c r="E51" s="23" t="s">
        <v>705</v>
      </c>
      <c r="F51" s="23"/>
      <c r="G51" s="23">
        <v>95.06</v>
      </c>
      <c r="H51" s="24">
        <f t="shared" si="6"/>
        <v>0.92460912384709104</v>
      </c>
      <c r="I51" s="25">
        <f t="shared" si="7"/>
        <v>495865.0992918234</v>
      </c>
      <c r="J51" s="26">
        <v>0.98999999999999899</v>
      </c>
      <c r="K51" s="24">
        <f t="shared" si="8"/>
        <v>0.98515814591913609</v>
      </c>
      <c r="L51" s="25">
        <f t="shared" si="9"/>
        <v>528337.35818199487</v>
      </c>
      <c r="M51" s="26">
        <v>5.3513999999999999</v>
      </c>
      <c r="N51" s="27">
        <v>1465</v>
      </c>
      <c r="O51" s="28">
        <f t="shared" si="4"/>
        <v>273.76013753410325</v>
      </c>
      <c r="P51" s="153" t="s">
        <v>538</v>
      </c>
      <c r="Q51" s="24">
        <f>IF(ISERR(O51),VLOOKUP(P51,'Other corrections needed'!$A$3:$E$6,5,FALSE),IF(O51=0,VLOOKUP(P51,'Other corrections needed'!$A$3:$E$6,5,FALSE),O51/O$156))</f>
        <v>0.24133837532882282</v>
      </c>
      <c r="R51" s="169">
        <f t="shared" si="5"/>
        <v>129429.04667372169</v>
      </c>
    </row>
    <row r="52" spans="1:18" x14ac:dyDescent="0.2">
      <c r="A52" s="21" t="s">
        <v>3034</v>
      </c>
      <c r="B52" s="21" t="s">
        <v>3055</v>
      </c>
      <c r="C52" s="21" t="s">
        <v>3637</v>
      </c>
      <c r="D52" s="22">
        <v>325983</v>
      </c>
      <c r="E52" s="23" t="s">
        <v>705</v>
      </c>
      <c r="F52" s="23"/>
      <c r="G52" s="23">
        <v>97.58</v>
      </c>
      <c r="H52" s="24">
        <f t="shared" si="6"/>
        <v>0.9491201168209461</v>
      </c>
      <c r="I52" s="25">
        <f t="shared" si="7"/>
        <v>309397.02304164245</v>
      </c>
      <c r="J52" s="26">
        <v>0.94999999999999896</v>
      </c>
      <c r="K52" s="24">
        <f t="shared" si="8"/>
        <v>0.94535377638704965</v>
      </c>
      <c r="L52" s="25">
        <f t="shared" si="9"/>
        <v>308169.26008797961</v>
      </c>
      <c r="M52" s="26">
        <v>5.0185000000000004</v>
      </c>
      <c r="N52" s="27">
        <v>4425</v>
      </c>
      <c r="O52" s="28">
        <f t="shared" si="4"/>
        <v>881.73757098734677</v>
      </c>
      <c r="P52" s="153" t="s">
        <v>539</v>
      </c>
      <c r="Q52" s="24">
        <f>IF(ISERR(O52),VLOOKUP(P52,'Other corrections needed'!$A$3:$E$6,5,FALSE),IF(O52=0,VLOOKUP(P52,'Other corrections needed'!$A$3:$E$6,5,FALSE),O52/O$156))</f>
        <v>0.77731226600498027</v>
      </c>
      <c r="R52" s="169">
        <f t="shared" si="5"/>
        <v>253390.58440910149</v>
      </c>
    </row>
    <row r="53" spans="1:18" x14ac:dyDescent="0.2">
      <c r="A53" s="21" t="s">
        <v>3069</v>
      </c>
      <c r="B53" s="21" t="s">
        <v>3638</v>
      </c>
      <c r="C53" s="21" t="s">
        <v>3639</v>
      </c>
      <c r="D53" s="22">
        <v>113967</v>
      </c>
      <c r="E53" s="23" t="s">
        <v>2357</v>
      </c>
      <c r="F53" s="23"/>
      <c r="G53" s="23">
        <v>96.27</v>
      </c>
      <c r="H53" s="24">
        <f t="shared" si="6"/>
        <v>0.93637829110834681</v>
      </c>
      <c r="I53" s="25">
        <f t="shared" si="7"/>
        <v>106716.22470274496</v>
      </c>
      <c r="J53" s="26">
        <v>0.94999999999999896</v>
      </c>
      <c r="K53" s="24">
        <f t="shared" si="8"/>
        <v>0.94535377638704965</v>
      </c>
      <c r="L53" s="25">
        <f t="shared" si="9"/>
        <v>107739.13383350288</v>
      </c>
      <c r="M53" s="26">
        <v>6.3289999999999997</v>
      </c>
      <c r="N53" s="27">
        <v>1489</v>
      </c>
      <c r="O53" s="28">
        <f t="shared" si="4"/>
        <v>235.26623479222627</v>
      </c>
      <c r="P53" s="153" t="s">
        <v>543</v>
      </c>
      <c r="Q53" s="24">
        <f>IF(ISERR(O53),VLOOKUP(P53,'Other corrections needed'!$A$3:$E$6,5,FALSE),IF(O53=0,VLOOKUP(P53,'Other corrections needed'!$A$3:$E$6,5,FALSE),O53/O$156))</f>
        <v>0.20740335457864872</v>
      </c>
      <c r="R53" s="169">
        <f t="shared" si="5"/>
        <v>23637.13811126486</v>
      </c>
    </row>
    <row r="54" spans="1:18" x14ac:dyDescent="0.2">
      <c r="A54" s="21" t="s">
        <v>3069</v>
      </c>
      <c r="B54" s="21" t="s">
        <v>3073</v>
      </c>
      <c r="C54" s="21" t="s">
        <v>3640</v>
      </c>
      <c r="D54" s="22">
        <v>241339</v>
      </c>
      <c r="E54" s="23" t="s">
        <v>2357</v>
      </c>
      <c r="F54" s="23"/>
      <c r="G54" s="23">
        <v>98.27</v>
      </c>
      <c r="H54" s="24">
        <f t="shared" si="6"/>
        <v>0.95583146013521603</v>
      </c>
      <c r="I54" s="25">
        <f t="shared" si="7"/>
        <v>230679.40875757291</v>
      </c>
      <c r="J54" s="26">
        <v>0.9</v>
      </c>
      <c r="K54" s="24">
        <f t="shared" si="8"/>
        <v>0.89559831447194282</v>
      </c>
      <c r="L54" s="25">
        <f t="shared" si="9"/>
        <v>216142.80161634422</v>
      </c>
      <c r="M54" s="26">
        <v>3.1104999999999996</v>
      </c>
      <c r="N54" s="27">
        <v>3290</v>
      </c>
      <c r="O54" s="28">
        <f t="shared" si="4"/>
        <v>1057.7077640250766</v>
      </c>
      <c r="P54" s="153" t="s">
        <v>544</v>
      </c>
      <c r="Q54" s="24">
        <f>IF(ISERR(O54),VLOOKUP(P54,'Other corrections needed'!$A$3:$E$6,5,FALSE),IF(O54=0,VLOOKUP(P54,'Other corrections needed'!$A$3:$E$6,5,FALSE),O54/O$156))</f>
        <v>0.93244208467236978</v>
      </c>
      <c r="R54" s="169">
        <f t="shared" si="5"/>
        <v>225034.64027274505</v>
      </c>
    </row>
    <row r="55" spans="1:18" x14ac:dyDescent="0.2">
      <c r="A55" s="21" t="s">
        <v>3069</v>
      </c>
      <c r="B55" s="21" t="s">
        <v>3071</v>
      </c>
      <c r="C55" s="21" t="s">
        <v>3641</v>
      </c>
      <c r="D55" s="22">
        <v>735219</v>
      </c>
      <c r="E55" s="23" t="s">
        <v>2357</v>
      </c>
      <c r="F55" s="23" t="s">
        <v>2331</v>
      </c>
      <c r="G55" s="23">
        <v>95.44</v>
      </c>
      <c r="H55" s="24">
        <f t="shared" si="6"/>
        <v>0.92830522596219611</v>
      </c>
      <c r="I55" s="25">
        <f t="shared" si="7"/>
        <v>682507.63992669992</v>
      </c>
      <c r="J55" s="26">
        <v>0.93</v>
      </c>
      <c r="K55" s="24">
        <f t="shared" si="8"/>
        <v>0.92545159162100765</v>
      </c>
      <c r="L55" s="25">
        <f t="shared" si="9"/>
        <v>680409.59374000563</v>
      </c>
      <c r="M55" s="26">
        <v>37.207999999999998</v>
      </c>
      <c r="N55" s="27">
        <v>22455</v>
      </c>
      <c r="O55" s="28">
        <f t="shared" si="4"/>
        <v>603.49924747366163</v>
      </c>
      <c r="P55" s="153" t="s">
        <v>544</v>
      </c>
      <c r="Q55" s="24">
        <f>IF(ISERR(O55),VLOOKUP(P55,'Other corrections needed'!$A$3:$E$6,5,FALSE),IF(O55=0,VLOOKUP(P55,'Other corrections needed'!$A$3:$E$6,5,FALSE),O55/O$156))</f>
        <v>0.53202606197301783</v>
      </c>
      <c r="R55" s="169">
        <f t="shared" si="5"/>
        <v>391155.6692577402</v>
      </c>
    </row>
    <row r="56" spans="1:18" x14ac:dyDescent="0.2">
      <c r="A56" s="21" t="s">
        <v>3069</v>
      </c>
      <c r="B56" s="21" t="s">
        <v>2122</v>
      </c>
      <c r="C56" s="21" t="s">
        <v>3642</v>
      </c>
      <c r="D56" s="22">
        <v>298267</v>
      </c>
      <c r="E56" s="23" t="s">
        <v>2357</v>
      </c>
      <c r="F56" s="23"/>
      <c r="G56" s="23">
        <v>97.53</v>
      </c>
      <c r="H56" s="24">
        <f t="shared" si="6"/>
        <v>0.9486337875952745</v>
      </c>
      <c r="I56" s="25">
        <f t="shared" si="7"/>
        <v>282946.15392467973</v>
      </c>
      <c r="J56" s="26">
        <v>0.92</v>
      </c>
      <c r="K56" s="24">
        <f t="shared" si="8"/>
        <v>0.91550049923798604</v>
      </c>
      <c r="L56" s="25">
        <f t="shared" si="9"/>
        <v>273063.58740621636</v>
      </c>
      <c r="M56" s="26">
        <v>2.5099999999999998</v>
      </c>
      <c r="N56" s="27">
        <v>2445</v>
      </c>
      <c r="O56" s="28">
        <f t="shared" si="4"/>
        <v>974.10358565737056</v>
      </c>
      <c r="P56" s="153" t="s">
        <v>3751</v>
      </c>
      <c r="Q56" s="24">
        <f>IF(ISERR(O56),VLOOKUP(P56,'Other corrections needed'!$A$3:$E$6,5,FALSE),IF(O56=0,VLOOKUP(P56,'Other corrections needed'!$A$3:$E$6,5,FALSE),O56/O$156))</f>
        <v>0.85873925576635435</v>
      </c>
      <c r="R56" s="169">
        <f t="shared" si="5"/>
        <v>256133.58159966322</v>
      </c>
    </row>
    <row r="57" spans="1:18" x14ac:dyDescent="0.2">
      <c r="A57" s="21" t="s">
        <v>3069</v>
      </c>
      <c r="B57" s="21" t="s">
        <v>3643</v>
      </c>
      <c r="C57" s="21" t="s">
        <v>3644</v>
      </c>
      <c r="D57" s="22">
        <v>692618</v>
      </c>
      <c r="E57" s="23" t="s">
        <v>2357</v>
      </c>
      <c r="F57" s="23"/>
      <c r="G57" s="23">
        <v>98.35</v>
      </c>
      <c r="H57" s="24">
        <f t="shared" si="6"/>
        <v>0.95660958689629072</v>
      </c>
      <c r="I57" s="25">
        <f t="shared" si="7"/>
        <v>662565.01885693509</v>
      </c>
      <c r="J57" s="26">
        <v>0.93</v>
      </c>
      <c r="K57" s="24">
        <f t="shared" si="8"/>
        <v>0.92545159162100765</v>
      </c>
      <c r="L57" s="25">
        <f t="shared" si="9"/>
        <v>640984.43048535904</v>
      </c>
      <c r="M57" s="26">
        <v>25.9</v>
      </c>
      <c r="N57" s="27">
        <v>16535</v>
      </c>
      <c r="O57" s="28">
        <f t="shared" si="4"/>
        <v>638.41698841698849</v>
      </c>
      <c r="P57" s="153" t="s">
        <v>3751</v>
      </c>
      <c r="Q57" s="24">
        <f>IF(ISERR(O57),VLOOKUP(P57,'Other corrections needed'!$A$3:$E$6,5,FALSE),IF(O57=0,VLOOKUP(P57,'Other corrections needed'!$A$3:$E$6,5,FALSE),O57/O$156))</f>
        <v>0.56280845032700322</v>
      </c>
      <c r="R57" s="169">
        <f t="shared" si="5"/>
        <v>389811.26324858831</v>
      </c>
    </row>
    <row r="58" spans="1:18" x14ac:dyDescent="0.2">
      <c r="A58" s="21" t="s">
        <v>3069</v>
      </c>
      <c r="B58" s="21" t="s">
        <v>2124</v>
      </c>
      <c r="C58" s="21" t="s">
        <v>3645</v>
      </c>
      <c r="D58" s="22">
        <v>715115</v>
      </c>
      <c r="E58" s="23" t="s">
        <v>2357</v>
      </c>
      <c r="F58" s="23" t="s">
        <v>367</v>
      </c>
      <c r="G58" s="23">
        <v>92.59</v>
      </c>
      <c r="H58" s="24">
        <f t="shared" si="6"/>
        <v>0.90058446009890769</v>
      </c>
      <c r="I58" s="25">
        <f t="shared" si="7"/>
        <v>644021.45618363039</v>
      </c>
      <c r="J58" s="26">
        <v>0.91</v>
      </c>
      <c r="K58" s="24">
        <f t="shared" si="8"/>
        <v>0.90554940685496443</v>
      </c>
      <c r="L58" s="25">
        <f t="shared" si="9"/>
        <v>647571.96408308786</v>
      </c>
      <c r="M58" s="26">
        <v>14.32</v>
      </c>
      <c r="N58" s="27">
        <v>10233</v>
      </c>
      <c r="O58" s="28">
        <f t="shared" si="4"/>
        <v>714.59497206703907</v>
      </c>
      <c r="P58" s="153" t="s">
        <v>541</v>
      </c>
      <c r="Q58" s="24">
        <f>IF(ISERR(O58),VLOOKUP(P58,'Other corrections needed'!$A$3:$E$6,5,FALSE),IF(O58=0,VLOOKUP(P58,'Other corrections needed'!$A$3:$E$6,5,FALSE),O58/O$156))</f>
        <v>0.62996457822615215</v>
      </c>
      <c r="R58" s="169">
        <f t="shared" si="5"/>
        <v>450497.11935819482</v>
      </c>
    </row>
    <row r="59" spans="1:18" x14ac:dyDescent="0.2">
      <c r="A59" s="21" t="s">
        <v>3069</v>
      </c>
      <c r="B59" s="21" t="s">
        <v>2120</v>
      </c>
      <c r="C59" s="21" t="s">
        <v>3646</v>
      </c>
      <c r="D59" s="22">
        <v>698062</v>
      </c>
      <c r="E59" s="23" t="s">
        <v>2357</v>
      </c>
      <c r="F59" s="23"/>
      <c r="G59" s="23">
        <v>99.54</v>
      </c>
      <c r="H59" s="24">
        <f t="shared" si="6"/>
        <v>0.96818422246727798</v>
      </c>
      <c r="I59" s="25">
        <f t="shared" si="7"/>
        <v>675852.61470395303</v>
      </c>
      <c r="J59" s="26">
        <v>0.96999999999999897</v>
      </c>
      <c r="K59" s="24">
        <f t="shared" si="8"/>
        <v>0.96525596115309287</v>
      </c>
      <c r="L59" s="25">
        <f t="shared" si="9"/>
        <v>673808.50675445027</v>
      </c>
      <c r="M59" s="26">
        <v>19.756999999999998</v>
      </c>
      <c r="N59" s="27">
        <v>25662</v>
      </c>
      <c r="O59" s="28">
        <f t="shared" si="4"/>
        <v>1298.881409120818</v>
      </c>
      <c r="P59" s="153" t="s">
        <v>3752</v>
      </c>
      <c r="Q59" s="24">
        <f>IF(ISERR(O59),VLOOKUP(P59,'Other corrections needed'!$A$3:$E$6,5,FALSE),IF(O59=0,VLOOKUP(P59,'Other corrections needed'!$A$3:$E$6,5,FALSE),O59/O$156))</f>
        <v>1.1450532274187664</v>
      </c>
      <c r="R59" s="169">
        <f t="shared" si="5"/>
        <v>799318.14603839885</v>
      </c>
    </row>
    <row r="60" spans="1:18" x14ac:dyDescent="0.2">
      <c r="A60" s="21" t="s">
        <v>3069</v>
      </c>
      <c r="B60" s="21" t="s">
        <v>2118</v>
      </c>
      <c r="C60" s="21" t="s">
        <v>3647</v>
      </c>
      <c r="D60" s="22">
        <v>298401</v>
      </c>
      <c r="E60" s="23" t="s">
        <v>2357</v>
      </c>
      <c r="F60" s="23"/>
      <c r="G60" s="23">
        <v>97.77</v>
      </c>
      <c r="H60" s="24">
        <f t="shared" si="6"/>
        <v>0.95096816787849869</v>
      </c>
      <c r="I60" s="25">
        <f t="shared" si="7"/>
        <v>283769.85226311191</v>
      </c>
      <c r="J60" s="26">
        <v>0.92</v>
      </c>
      <c r="K60" s="24">
        <f t="shared" si="8"/>
        <v>0.91550049923798604</v>
      </c>
      <c r="L60" s="25">
        <f t="shared" si="9"/>
        <v>273186.26447311428</v>
      </c>
      <c r="M60" s="26">
        <v>5.19</v>
      </c>
      <c r="N60" s="27">
        <v>2938</v>
      </c>
      <c r="O60" s="28">
        <f t="shared" si="4"/>
        <v>566.08863198458573</v>
      </c>
      <c r="P60" s="153" t="s">
        <v>543</v>
      </c>
      <c r="Q60" s="24">
        <f>IF(ISERR(O60),VLOOKUP(P60,'Other corrections needed'!$A$3:$E$6,5,FALSE),IF(O60=0,VLOOKUP(P60,'Other corrections needed'!$A$3:$E$6,5,FALSE),O60/O$156))</f>
        <v>0.49904603338481562</v>
      </c>
      <c r="R60" s="169">
        <f t="shared" si="5"/>
        <v>148915.83540806235</v>
      </c>
    </row>
    <row r="61" spans="1:18" x14ac:dyDescent="0.2">
      <c r="A61" s="21" t="s">
        <v>3069</v>
      </c>
      <c r="B61" s="21" t="s">
        <v>2130</v>
      </c>
      <c r="C61" s="21" t="s">
        <v>3648</v>
      </c>
      <c r="D61" s="22">
        <v>672939</v>
      </c>
      <c r="E61" s="23" t="s">
        <v>2357</v>
      </c>
      <c r="F61" s="23"/>
      <c r="G61" s="23">
        <v>96.5</v>
      </c>
      <c r="H61" s="24">
        <f t="shared" si="6"/>
        <v>0.93861540554643685</v>
      </c>
      <c r="I61" s="25">
        <f t="shared" si="7"/>
        <v>631630.91239301371</v>
      </c>
      <c r="J61" s="26">
        <v>0.9</v>
      </c>
      <c r="K61" s="24">
        <f t="shared" si="8"/>
        <v>0.89559831447194282</v>
      </c>
      <c r="L61" s="25">
        <f t="shared" si="9"/>
        <v>602683.03414243471</v>
      </c>
      <c r="M61" s="26">
        <v>15.045999999999999</v>
      </c>
      <c r="N61" s="27">
        <v>12812</v>
      </c>
      <c r="O61" s="28">
        <f t="shared" si="4"/>
        <v>851.52199920244584</v>
      </c>
      <c r="P61" s="153" t="s">
        <v>543</v>
      </c>
      <c r="Q61" s="24">
        <f>IF(ISERR(O61),VLOOKUP(P61,'Other corrections needed'!$A$3:$E$6,5,FALSE),IF(O61=0,VLOOKUP(P61,'Other corrections needed'!$A$3:$E$6,5,FALSE),O61/O$156))</f>
        <v>0.7506751629194699</v>
      </c>
      <c r="R61" s="169">
        <f t="shared" si="5"/>
        <v>505158.59345986514</v>
      </c>
    </row>
    <row r="62" spans="1:18" x14ac:dyDescent="0.2">
      <c r="A62" s="21" t="s">
        <v>2133</v>
      </c>
      <c r="B62" s="21" t="s">
        <v>2148</v>
      </c>
      <c r="C62" s="21" t="s">
        <v>3649</v>
      </c>
      <c r="D62" s="22">
        <v>402909</v>
      </c>
      <c r="E62" s="23" t="s">
        <v>682</v>
      </c>
      <c r="F62" s="23" t="s">
        <v>2281</v>
      </c>
      <c r="G62" s="23">
        <v>99.27</v>
      </c>
      <c r="H62" s="24">
        <f t="shared" si="6"/>
        <v>0.96555804464865058</v>
      </c>
      <c r="I62" s="25">
        <f t="shared" si="7"/>
        <v>389032.02621134318</v>
      </c>
      <c r="J62" s="26">
        <v>0.94999999999999896</v>
      </c>
      <c r="K62" s="24">
        <f t="shared" si="8"/>
        <v>0.94535377638704965</v>
      </c>
      <c r="L62" s="25">
        <f t="shared" si="9"/>
        <v>380891.54469032981</v>
      </c>
      <c r="M62" s="26">
        <v>7.8940000000000001</v>
      </c>
      <c r="N62" s="27">
        <v>9366</v>
      </c>
      <c r="O62" s="28">
        <f t="shared" si="4"/>
        <v>1186.4707372688117</v>
      </c>
      <c r="P62" s="153" t="s">
        <v>3753</v>
      </c>
      <c r="Q62" s="24">
        <f>IF(ISERR(O62),VLOOKUP(P62,'Other corrections needed'!$A$3:$E$6,5,FALSE),IF(O62=0,VLOOKUP(P62,'Other corrections needed'!$A$3:$E$6,5,FALSE),O62/O$156))</f>
        <v>1.0459554947877507</v>
      </c>
      <c r="R62" s="169">
        <f t="shared" si="5"/>
        <v>421424.88244943786</v>
      </c>
    </row>
    <row r="63" spans="1:18" x14ac:dyDescent="0.2">
      <c r="A63" s="21" t="s">
        <v>2133</v>
      </c>
      <c r="B63" s="21" t="s">
        <v>2142</v>
      </c>
      <c r="C63" s="21" t="s">
        <v>3650</v>
      </c>
      <c r="D63" s="22">
        <v>311039</v>
      </c>
      <c r="E63" s="23" t="s">
        <v>682</v>
      </c>
      <c r="F63" s="23"/>
      <c r="G63" s="23">
        <v>100.68</v>
      </c>
      <c r="H63" s="24">
        <f t="shared" si="6"/>
        <v>0.97927252881259341</v>
      </c>
      <c r="I63" s="25">
        <f t="shared" si="7"/>
        <v>304591.94808934024</v>
      </c>
      <c r="J63" s="26">
        <v>0.95999999999999897</v>
      </c>
      <c r="K63" s="24">
        <f t="shared" si="8"/>
        <v>0.95530486877007126</v>
      </c>
      <c r="L63" s="25">
        <f t="shared" si="9"/>
        <v>297137.07107737422</v>
      </c>
      <c r="M63" s="26">
        <v>5.84</v>
      </c>
      <c r="N63" s="27">
        <v>4555</v>
      </c>
      <c r="O63" s="28">
        <f t="shared" si="4"/>
        <v>779.96575342465758</v>
      </c>
      <c r="P63" s="153" t="s">
        <v>3753</v>
      </c>
      <c r="Q63" s="24">
        <f>IF(ISERR(O63),VLOOKUP(P63,'Other corrections needed'!$A$3:$E$6,5,FALSE),IF(O63=0,VLOOKUP(P63,'Other corrections needed'!$A$3:$E$6,5,FALSE),O63/O$156))</f>
        <v>0.68759341458242407</v>
      </c>
      <c r="R63" s="169">
        <f t="shared" si="5"/>
        <v>213868.36807830259</v>
      </c>
    </row>
    <row r="64" spans="1:18" x14ac:dyDescent="0.2">
      <c r="A64" s="21" t="s">
        <v>2133</v>
      </c>
      <c r="B64" s="21" t="s">
        <v>2144</v>
      </c>
      <c r="C64" s="21" t="s">
        <v>3651</v>
      </c>
      <c r="D64" s="22">
        <v>306475</v>
      </c>
      <c r="E64" s="23" t="s">
        <v>682</v>
      </c>
      <c r="F64" s="23"/>
      <c r="G64" s="23">
        <v>95.01</v>
      </c>
      <c r="H64" s="24">
        <f t="shared" si="6"/>
        <v>0.92412279462141933</v>
      </c>
      <c r="I64" s="25">
        <f t="shared" si="7"/>
        <v>283220.53348159947</v>
      </c>
      <c r="J64" s="26">
        <v>0.91</v>
      </c>
      <c r="K64" s="24">
        <f t="shared" si="8"/>
        <v>0.90554940685496443</v>
      </c>
      <c r="L64" s="25">
        <f t="shared" si="9"/>
        <v>277528.25446587522</v>
      </c>
      <c r="M64" s="26">
        <v>5.3129999999999997</v>
      </c>
      <c r="N64" s="27">
        <v>12405</v>
      </c>
      <c r="O64" s="28">
        <f t="shared" si="4"/>
        <v>2334.8390739695087</v>
      </c>
      <c r="P64" s="153" t="s">
        <v>3753</v>
      </c>
      <c r="Q64" s="24">
        <f>IF(ISERR(O64),VLOOKUP(P64,'Other corrections needed'!$A$3:$E$6,5,FALSE),IF(O64=0,VLOOKUP(P64,'Other corrections needed'!$A$3:$E$6,5,FALSE),O64/O$156))</f>
        <v>2.0583211048973813</v>
      </c>
      <c r="R64" s="169">
        <f t="shared" si="5"/>
        <v>630823.96062342497</v>
      </c>
    </row>
    <row r="65" spans="1:18" x14ac:dyDescent="0.2">
      <c r="A65" s="21" t="s">
        <v>2133</v>
      </c>
      <c r="B65" s="21" t="s">
        <v>2135</v>
      </c>
      <c r="C65" s="21" t="s">
        <v>3652</v>
      </c>
      <c r="D65" s="22">
        <v>277586</v>
      </c>
      <c r="E65" s="23" t="s">
        <v>682</v>
      </c>
      <c r="F65" s="23" t="s">
        <v>2281</v>
      </c>
      <c r="G65" s="23">
        <v>98.76</v>
      </c>
      <c r="H65" s="24">
        <f t="shared" si="6"/>
        <v>0.960597486546799</v>
      </c>
      <c r="I65" s="25">
        <f t="shared" si="7"/>
        <v>266648.41390057973</v>
      </c>
      <c r="J65" s="26">
        <v>0.94999999999999896</v>
      </c>
      <c r="K65" s="24">
        <f t="shared" si="8"/>
        <v>0.94535377638704965</v>
      </c>
      <c r="L65" s="25">
        <f t="shared" si="9"/>
        <v>262416.97337217559</v>
      </c>
      <c r="M65" s="26">
        <v>10.25</v>
      </c>
      <c r="N65" s="27">
        <v>9369</v>
      </c>
      <c r="O65" s="28">
        <f t="shared" si="4"/>
        <v>914.04878048780483</v>
      </c>
      <c r="P65" s="153" t="s">
        <v>3753</v>
      </c>
      <c r="Q65" s="24">
        <f>IF(ISERR(O65),VLOOKUP(P65,'Other corrections needed'!$A$3:$E$6,5,FALSE),IF(O65=0,VLOOKUP(P65,'Other corrections needed'!$A$3:$E$6,5,FALSE),O65/O$156))</f>
        <v>0.805796817758898</v>
      </c>
      <c r="R65" s="169">
        <f t="shared" si="5"/>
        <v>223677.91545442145</v>
      </c>
    </row>
    <row r="66" spans="1:18" x14ac:dyDescent="0.2">
      <c r="A66" s="21" t="s">
        <v>2133</v>
      </c>
      <c r="B66" s="21" t="s">
        <v>2149</v>
      </c>
      <c r="C66" s="21" t="s">
        <v>3653</v>
      </c>
      <c r="D66" s="22">
        <v>180784</v>
      </c>
      <c r="E66" s="23" t="s">
        <v>682</v>
      </c>
      <c r="F66" s="23"/>
      <c r="G66" s="23">
        <v>94.47</v>
      </c>
      <c r="H66" s="24">
        <f t="shared" si="6"/>
        <v>0.91887043898416465</v>
      </c>
      <c r="I66" s="25">
        <f t="shared" si="7"/>
        <v>166117.07344131323</v>
      </c>
      <c r="J66" s="26">
        <v>0.92</v>
      </c>
      <c r="K66" s="24">
        <f t="shared" si="8"/>
        <v>0.91550049923798604</v>
      </c>
      <c r="L66" s="25">
        <f t="shared" si="9"/>
        <v>165507.84225424007</v>
      </c>
      <c r="M66" s="26">
        <v>7.8853999999999997</v>
      </c>
      <c r="N66" s="27">
        <v>8389</v>
      </c>
      <c r="O66" s="28">
        <f t="shared" si="4"/>
        <v>1063.8648641793695</v>
      </c>
      <c r="P66" s="153" t="s">
        <v>3754</v>
      </c>
      <c r="Q66" s="24">
        <f>IF(ISERR(O66),VLOOKUP(P66,'Other corrections needed'!$A$3:$E$6,5,FALSE),IF(O66=0,VLOOKUP(P66,'Other corrections needed'!$A$3:$E$6,5,FALSE),O66/O$156))</f>
        <v>0.93786999160344664</v>
      </c>
      <c r="R66" s="169">
        <f t="shared" si="5"/>
        <v>169551.88856203749</v>
      </c>
    </row>
    <row r="67" spans="1:18" x14ac:dyDescent="0.2">
      <c r="A67" s="21" t="s">
        <v>2133</v>
      </c>
      <c r="B67" s="21" t="s">
        <v>3654</v>
      </c>
      <c r="C67" s="21" t="s">
        <v>1398</v>
      </c>
      <c r="D67" s="22">
        <v>213391</v>
      </c>
      <c r="E67" s="23" t="s">
        <v>682</v>
      </c>
      <c r="F67" s="23" t="s">
        <v>577</v>
      </c>
      <c r="G67" s="23">
        <v>93.78</v>
      </c>
      <c r="H67" s="24">
        <f t="shared" ref="H67:H98" si="10">G67/H$156</f>
        <v>0.91215909566989484</v>
      </c>
      <c r="I67" s="25">
        <f t="shared" ref="I67:I98" si="11">H67*D67</f>
        <v>194646.54158409452</v>
      </c>
      <c r="J67" s="26">
        <v>0.92</v>
      </c>
      <c r="K67" s="24">
        <f t="shared" ref="K67:K98" si="12">J67/K$156</f>
        <v>0.91550049923798604</v>
      </c>
      <c r="L67" s="25">
        <f t="shared" ref="L67:L98" si="13">K67*D67</f>
        <v>195359.56703289307</v>
      </c>
      <c r="M67" s="26">
        <v>8.2999000000000009</v>
      </c>
      <c r="N67" s="27">
        <v>11397</v>
      </c>
      <c r="O67" s="28">
        <f t="shared" si="4"/>
        <v>1373.1490740852298</v>
      </c>
      <c r="P67" s="153" t="s">
        <v>3755</v>
      </c>
      <c r="Q67" s="24">
        <f>IF(ISERR(O67),VLOOKUP(P67,'Other corrections needed'!$A$3:$E$6,5,FALSE),IF(O67=0,VLOOKUP(P67,'Other corrections needed'!$A$3:$E$6,5,FALSE),O67/O$156))</f>
        <v>1.2105252781103819</v>
      </c>
      <c r="R67" s="169">
        <f t="shared" si="5"/>
        <v>258315.19962125251</v>
      </c>
    </row>
    <row r="68" spans="1:18" x14ac:dyDescent="0.2">
      <c r="A68" s="21" t="s">
        <v>2133</v>
      </c>
      <c r="B68" s="21" t="s">
        <v>1113</v>
      </c>
      <c r="C68" s="21" t="s">
        <v>1399</v>
      </c>
      <c r="D68" s="22">
        <v>290709</v>
      </c>
      <c r="E68" s="23" t="s">
        <v>682</v>
      </c>
      <c r="F68" s="23"/>
      <c r="G68" s="23">
        <v>96.3</v>
      </c>
      <c r="H68" s="24">
        <f t="shared" si="10"/>
        <v>0.9366700886437499</v>
      </c>
      <c r="I68" s="25">
        <f t="shared" si="11"/>
        <v>272298.42479953589</v>
      </c>
      <c r="J68" s="26">
        <v>0.94999999999999896</v>
      </c>
      <c r="K68" s="24">
        <f t="shared" si="12"/>
        <v>0.94535377638704965</v>
      </c>
      <c r="L68" s="25">
        <f t="shared" si="13"/>
        <v>274822.85097970284</v>
      </c>
      <c r="M68" s="26">
        <v>4.0053999999999998</v>
      </c>
      <c r="N68" s="27">
        <v>3101</v>
      </c>
      <c r="O68" s="28">
        <f t="shared" ref="O68:O131" si="14">N68/M68</f>
        <v>774.2048234882908</v>
      </c>
      <c r="P68" s="153" t="s">
        <v>3753</v>
      </c>
      <c r="Q68" s="24">
        <f>IF(ISERR(O68),VLOOKUP(P68,'Other corrections needed'!$A$3:$E$6,5,FALSE),IF(O68=0,VLOOKUP(P68,'Other corrections needed'!$A$3:$E$6,5,FALSE),O68/O$156))</f>
        <v>0.68251475892514191</v>
      </c>
      <c r="R68" s="169">
        <f t="shared" ref="R68:R131" si="15">Q68*D68</f>
        <v>198413.18305236907</v>
      </c>
    </row>
    <row r="69" spans="1:18" x14ac:dyDescent="0.2">
      <c r="A69" s="21" t="s">
        <v>2133</v>
      </c>
      <c r="B69" s="21" t="s">
        <v>2154</v>
      </c>
      <c r="C69" s="21" t="s">
        <v>1400</v>
      </c>
      <c r="D69" s="22">
        <v>294830</v>
      </c>
      <c r="E69" s="23" t="s">
        <v>682</v>
      </c>
      <c r="F69" s="23" t="s">
        <v>2784</v>
      </c>
      <c r="G69" s="23">
        <v>93.56</v>
      </c>
      <c r="H69" s="24">
        <f t="shared" si="10"/>
        <v>0.91001924707693915</v>
      </c>
      <c r="I69" s="25">
        <f t="shared" si="11"/>
        <v>268300.97461569397</v>
      </c>
      <c r="J69" s="26">
        <v>0.93999999999999895</v>
      </c>
      <c r="K69" s="24">
        <f t="shared" si="12"/>
        <v>0.93540268400402815</v>
      </c>
      <c r="L69" s="25">
        <f t="shared" si="13"/>
        <v>275784.77332490764</v>
      </c>
      <c r="M69" s="26">
        <v>6.3033999999999999</v>
      </c>
      <c r="N69" s="27">
        <v>7891</v>
      </c>
      <c r="O69" s="28">
        <f t="shared" si="14"/>
        <v>1251.8640733572358</v>
      </c>
      <c r="P69" s="153" t="s">
        <v>3756</v>
      </c>
      <c r="Q69" s="24">
        <f>IF(ISERR(O69),VLOOKUP(P69,'Other corrections needed'!$A$3:$E$6,5,FALSE),IF(O69=0,VLOOKUP(P69,'Other corrections needed'!$A$3:$E$6,5,FALSE),O69/O$156))</f>
        <v>1.1036042146892957</v>
      </c>
      <c r="R69" s="169">
        <f t="shared" si="15"/>
        <v>325375.63061684504</v>
      </c>
    </row>
    <row r="70" spans="1:18" x14ac:dyDescent="0.2">
      <c r="A70" s="21" t="s">
        <v>2133</v>
      </c>
      <c r="B70" s="21" t="s">
        <v>1401</v>
      </c>
      <c r="C70" s="21" t="s">
        <v>1402</v>
      </c>
      <c r="D70" s="22">
        <v>206331</v>
      </c>
      <c r="E70" s="23" t="s">
        <v>682</v>
      </c>
      <c r="F70" s="23"/>
      <c r="G70" s="23">
        <v>101.45</v>
      </c>
      <c r="H70" s="24">
        <f t="shared" si="10"/>
        <v>0.98676199888793803</v>
      </c>
      <c r="I70" s="25">
        <f t="shared" si="11"/>
        <v>203599.58999254715</v>
      </c>
      <c r="J70" s="26">
        <v>0.95999999999999897</v>
      </c>
      <c r="K70" s="24">
        <f t="shared" si="12"/>
        <v>0.95530486877007126</v>
      </c>
      <c r="L70" s="25">
        <f t="shared" si="13"/>
        <v>197109.00887819758</v>
      </c>
      <c r="M70" s="26">
        <v>4.0914999999999999</v>
      </c>
      <c r="N70" s="27">
        <v>3192</v>
      </c>
      <c r="O70" s="28">
        <f t="shared" si="14"/>
        <v>780.15397775876818</v>
      </c>
      <c r="P70" s="153" t="s">
        <v>3753</v>
      </c>
      <c r="Q70" s="24">
        <f>IF(ISERR(O70),VLOOKUP(P70,'Other corrections needed'!$A$3:$E$6,5,FALSE),IF(O70=0,VLOOKUP(P70,'Other corrections needed'!$A$3:$E$6,5,FALSE),O70/O$156))</f>
        <v>0.68775934726860977</v>
      </c>
      <c r="R70" s="169">
        <f t="shared" si="15"/>
        <v>141906.07388127953</v>
      </c>
    </row>
    <row r="71" spans="1:18" x14ac:dyDescent="0.2">
      <c r="A71" s="21" t="s">
        <v>2133</v>
      </c>
      <c r="B71" s="21" t="s">
        <v>2138</v>
      </c>
      <c r="C71" s="21" t="s">
        <v>1403</v>
      </c>
      <c r="D71" s="22">
        <v>345447</v>
      </c>
      <c r="E71" s="23" t="s">
        <v>682</v>
      </c>
      <c r="F71" s="23" t="s">
        <v>2281</v>
      </c>
      <c r="G71" s="23">
        <v>98.45</v>
      </c>
      <c r="H71" s="24">
        <f t="shared" si="10"/>
        <v>0.95758224534763425</v>
      </c>
      <c r="I71" s="25">
        <f t="shared" si="11"/>
        <v>330793.91390860418</v>
      </c>
      <c r="J71" s="26">
        <v>0.94999999999999896</v>
      </c>
      <c r="K71" s="24">
        <f t="shared" si="12"/>
        <v>0.94535377638704965</v>
      </c>
      <c r="L71" s="25">
        <f t="shared" si="13"/>
        <v>326569.62599157717</v>
      </c>
      <c r="M71" s="26">
        <v>72.783000000000001</v>
      </c>
      <c r="N71" s="27">
        <v>30267</v>
      </c>
      <c r="O71" s="28">
        <f t="shared" si="14"/>
        <v>415.85260294299491</v>
      </c>
      <c r="P71" s="153" t="s">
        <v>3753</v>
      </c>
      <c r="Q71" s="24">
        <f>IF(ISERR(O71),VLOOKUP(P71,'Other corrections needed'!$A$3:$E$6,5,FALSE),IF(O71=0,VLOOKUP(P71,'Other corrections needed'!$A$3:$E$6,5,FALSE),O71/O$156))</f>
        <v>0.36660264885358668</v>
      </c>
      <c r="R71" s="169">
        <f t="shared" si="15"/>
        <v>126641.78523852496</v>
      </c>
    </row>
    <row r="72" spans="1:18" x14ac:dyDescent="0.2">
      <c r="A72" s="21" t="s">
        <v>2133</v>
      </c>
      <c r="B72" s="21" t="s">
        <v>2140</v>
      </c>
      <c r="C72" s="21" t="s">
        <v>1404</v>
      </c>
      <c r="D72" s="22">
        <v>613247</v>
      </c>
      <c r="E72" s="23" t="s">
        <v>682</v>
      </c>
      <c r="F72" s="23" t="s">
        <v>577</v>
      </c>
      <c r="G72" s="23">
        <v>96.61</v>
      </c>
      <c r="H72" s="24">
        <f t="shared" si="10"/>
        <v>0.93968532984291464</v>
      </c>
      <c r="I72" s="25">
        <f t="shared" si="11"/>
        <v>576259.20947017788</v>
      </c>
      <c r="J72" s="26">
        <v>0.92</v>
      </c>
      <c r="K72" s="24">
        <f t="shared" si="12"/>
        <v>0.91550049923798604</v>
      </c>
      <c r="L72" s="25">
        <f t="shared" si="13"/>
        <v>561427.93465619721</v>
      </c>
      <c r="M72" s="26">
        <v>12.11</v>
      </c>
      <c r="N72" s="27">
        <v>10992</v>
      </c>
      <c r="O72" s="28">
        <f t="shared" si="14"/>
        <v>907.6796036333609</v>
      </c>
      <c r="P72" s="153" t="s">
        <v>3755</v>
      </c>
      <c r="Q72" s="24">
        <f>IF(ISERR(O72),VLOOKUP(P72,'Other corrections needed'!$A$3:$E$6,5,FALSE),IF(O72=0,VLOOKUP(P72,'Other corrections needed'!$A$3:$E$6,5,FALSE),O72/O$156))</f>
        <v>0.80018195064172337</v>
      </c>
      <c r="R72" s="169">
        <f t="shared" si="15"/>
        <v>490709.18068518495</v>
      </c>
    </row>
    <row r="73" spans="1:18" x14ac:dyDescent="0.2">
      <c r="A73" s="21" t="s">
        <v>2133</v>
      </c>
      <c r="B73" s="21" t="s">
        <v>2152</v>
      </c>
      <c r="C73" s="21" t="s">
        <v>1405</v>
      </c>
      <c r="D73" s="22">
        <v>248238</v>
      </c>
      <c r="E73" s="23" t="s">
        <v>682</v>
      </c>
      <c r="F73" s="23" t="s">
        <v>577</v>
      </c>
      <c r="G73" s="23">
        <v>93.44</v>
      </c>
      <c r="H73" s="24">
        <f t="shared" si="10"/>
        <v>0.908852056935327</v>
      </c>
      <c r="I73" s="25">
        <f t="shared" si="11"/>
        <v>225611.61690951171</v>
      </c>
      <c r="J73" s="26">
        <v>0.93</v>
      </c>
      <c r="K73" s="24">
        <f t="shared" si="12"/>
        <v>0.92545159162100765</v>
      </c>
      <c r="L73" s="25">
        <f t="shared" si="13"/>
        <v>229732.25220081571</v>
      </c>
      <c r="M73" s="26">
        <v>10.1279</v>
      </c>
      <c r="N73" s="27">
        <v>7786</v>
      </c>
      <c r="O73" s="28">
        <f t="shared" si="14"/>
        <v>768.76746413372962</v>
      </c>
      <c r="P73" s="153" t="s">
        <v>3755</v>
      </c>
      <c r="Q73" s="24">
        <f>IF(ISERR(O73),VLOOKUP(P73,'Other corrections needed'!$A$3:$E$6,5,FALSE),IF(O73=0,VLOOKUP(P73,'Other corrections needed'!$A$3:$E$6,5,FALSE),O73/O$156))</f>
        <v>0.67772135297302327</v>
      </c>
      <c r="R73" s="169">
        <f t="shared" si="15"/>
        <v>168236.19321931736</v>
      </c>
    </row>
    <row r="74" spans="1:18" x14ac:dyDescent="0.2">
      <c r="A74" s="21" t="s">
        <v>2133</v>
      </c>
      <c r="B74" s="21" t="s">
        <v>1406</v>
      </c>
      <c r="C74" s="21" t="s">
        <v>1407</v>
      </c>
      <c r="D74" s="22">
        <v>164787</v>
      </c>
      <c r="E74" s="23" t="s">
        <v>682</v>
      </c>
      <c r="F74" s="23" t="s">
        <v>2784</v>
      </c>
      <c r="G74" s="23">
        <v>96.27</v>
      </c>
      <c r="H74" s="24">
        <f t="shared" si="10"/>
        <v>0.93637829110834681</v>
      </c>
      <c r="I74" s="25">
        <f t="shared" si="11"/>
        <v>154302.96945687116</v>
      </c>
      <c r="J74" s="26">
        <v>0.92</v>
      </c>
      <c r="K74" s="24">
        <f t="shared" si="12"/>
        <v>0.91550049923798604</v>
      </c>
      <c r="L74" s="25">
        <f t="shared" si="13"/>
        <v>150862.58076793002</v>
      </c>
      <c r="M74" s="26">
        <v>0.91769999999999996</v>
      </c>
      <c r="N74" s="27">
        <v>2846</v>
      </c>
      <c r="O74" s="28">
        <f t="shared" si="14"/>
        <v>3101.2313392176093</v>
      </c>
      <c r="P74" s="153" t="s">
        <v>3756</v>
      </c>
      <c r="Q74" s="24">
        <f>IF(ISERR(O74),VLOOKUP(P74,'Other corrections needed'!$A$3:$E$6,5,FALSE),IF(O74=0,VLOOKUP(P74,'Other corrections needed'!$A$3:$E$6,5,FALSE),O74/O$156))</f>
        <v>2.7339485568178117</v>
      </c>
      <c r="R74" s="169">
        <f t="shared" si="15"/>
        <v>450519.18083233671</v>
      </c>
    </row>
    <row r="75" spans="1:18" x14ac:dyDescent="0.2">
      <c r="A75" s="21" t="s">
        <v>2133</v>
      </c>
      <c r="B75" s="21" t="s">
        <v>1122</v>
      </c>
      <c r="C75" s="21" t="s">
        <v>1408</v>
      </c>
      <c r="D75" s="22">
        <v>256243</v>
      </c>
      <c r="E75" s="23" t="s">
        <v>682</v>
      </c>
      <c r="F75" s="23"/>
      <c r="G75" s="23">
        <v>95.61</v>
      </c>
      <c r="H75" s="24">
        <f t="shared" si="10"/>
        <v>0.92995874532948009</v>
      </c>
      <c r="I75" s="25">
        <f t="shared" si="11"/>
        <v>238295.41877946196</v>
      </c>
      <c r="J75" s="26">
        <v>0.92</v>
      </c>
      <c r="K75" s="24">
        <f t="shared" si="12"/>
        <v>0.91550049923798604</v>
      </c>
      <c r="L75" s="25">
        <f t="shared" si="13"/>
        <v>234590.59442623926</v>
      </c>
      <c r="M75" s="26">
        <v>15.74</v>
      </c>
      <c r="N75" s="27">
        <v>7875</v>
      </c>
      <c r="O75" s="28">
        <f t="shared" si="14"/>
        <v>500.31766200762388</v>
      </c>
      <c r="P75" s="153" t="s">
        <v>3753</v>
      </c>
      <c r="Q75" s="24">
        <f>IF(ISERR(O75),VLOOKUP(P75,'Other corrections needed'!$A$3:$E$6,5,FALSE),IF(O75=0,VLOOKUP(P75,'Other corrections needed'!$A$3:$E$6,5,FALSE),O75/O$156))</f>
        <v>0.44106440325773627</v>
      </c>
      <c r="R75" s="169">
        <f t="shared" si="15"/>
        <v>113019.66588397212</v>
      </c>
    </row>
    <row r="76" spans="1:18" x14ac:dyDescent="0.2">
      <c r="A76" s="21" t="s">
        <v>2133</v>
      </c>
      <c r="B76" s="21" t="s">
        <v>2146</v>
      </c>
      <c r="C76" s="21" t="s">
        <v>1409</v>
      </c>
      <c r="D76" s="22">
        <v>535482</v>
      </c>
      <c r="E76" s="23" t="s">
        <v>682</v>
      </c>
      <c r="F76" s="23"/>
      <c r="G76" s="23">
        <v>100.45</v>
      </c>
      <c r="H76" s="24">
        <f t="shared" si="10"/>
        <v>0.97703541437450347</v>
      </c>
      <c r="I76" s="25">
        <f t="shared" si="11"/>
        <v>523184.8777600879</v>
      </c>
      <c r="J76" s="26">
        <v>0.95999999999999897</v>
      </c>
      <c r="K76" s="24">
        <f t="shared" si="12"/>
        <v>0.95530486877007126</v>
      </c>
      <c r="L76" s="25">
        <f t="shared" si="13"/>
        <v>511548.5617387353</v>
      </c>
      <c r="M76" s="26">
        <v>11.76</v>
      </c>
      <c r="N76" s="27">
        <v>18099</v>
      </c>
      <c r="O76" s="28">
        <f t="shared" si="14"/>
        <v>1539.0306122448981</v>
      </c>
      <c r="P76" s="153" t="s">
        <v>3757</v>
      </c>
      <c r="Q76" s="24">
        <f>IF(ISERR(O76),VLOOKUP(P76,'Other corrections needed'!$A$3:$E$6,5,FALSE),IF(O76=0,VLOOKUP(P76,'Other corrections needed'!$A$3:$E$6,5,FALSE),O76/O$156))</f>
        <v>1.3567612541626417</v>
      </c>
      <c r="R76" s="169">
        <f t="shared" si="15"/>
        <v>726521.22990151972</v>
      </c>
    </row>
    <row r="77" spans="1:18" x14ac:dyDescent="0.2">
      <c r="A77" s="21" t="s">
        <v>2133</v>
      </c>
      <c r="B77" s="21" t="s">
        <v>1110</v>
      </c>
      <c r="C77" s="21" t="s">
        <v>1410</v>
      </c>
      <c r="D77" s="22">
        <v>236752</v>
      </c>
      <c r="E77" s="23" t="s">
        <v>682</v>
      </c>
      <c r="F77" s="23"/>
      <c r="G77" s="23">
        <v>95.81</v>
      </c>
      <c r="H77" s="24">
        <f t="shared" si="10"/>
        <v>0.93190406223216704</v>
      </c>
      <c r="I77" s="25">
        <f t="shared" si="11"/>
        <v>220630.15054159</v>
      </c>
      <c r="J77" s="26">
        <v>0.93</v>
      </c>
      <c r="K77" s="24">
        <f t="shared" si="12"/>
        <v>0.92545159162100765</v>
      </c>
      <c r="L77" s="25">
        <f t="shared" si="13"/>
        <v>219102.51521945681</v>
      </c>
      <c r="M77" s="26">
        <v>11.73</v>
      </c>
      <c r="N77" s="27">
        <v>12854</v>
      </c>
      <c r="O77" s="28">
        <f t="shared" si="14"/>
        <v>1095.8226768968457</v>
      </c>
      <c r="P77" s="153" t="s">
        <v>3753</v>
      </c>
      <c r="Q77" s="24">
        <f>IF(ISERR(O77),VLOOKUP(P77,'Other corrections needed'!$A$3:$E$6,5,FALSE),IF(O77=0,VLOOKUP(P77,'Other corrections needed'!$A$3:$E$6,5,FALSE),O77/O$156))</f>
        <v>0.96604299980606601</v>
      </c>
      <c r="R77" s="169">
        <f t="shared" si="15"/>
        <v>228712.61229008573</v>
      </c>
    </row>
    <row r="78" spans="1:18" x14ac:dyDescent="0.2">
      <c r="A78" s="21" t="s">
        <v>2133</v>
      </c>
      <c r="B78" s="21" t="s">
        <v>1125</v>
      </c>
      <c r="C78" s="21" t="s">
        <v>1411</v>
      </c>
      <c r="D78" s="22">
        <v>561680</v>
      </c>
      <c r="E78" s="23" t="s">
        <v>682</v>
      </c>
      <c r="F78" s="23"/>
      <c r="G78" s="23">
        <v>95.96</v>
      </c>
      <c r="H78" s="24">
        <f t="shared" si="10"/>
        <v>0.93336304990918206</v>
      </c>
      <c r="I78" s="25">
        <f t="shared" si="11"/>
        <v>524251.35787298938</v>
      </c>
      <c r="J78" s="26">
        <v>0.94999999999999896</v>
      </c>
      <c r="K78" s="24">
        <f t="shared" si="12"/>
        <v>0.94535377638704965</v>
      </c>
      <c r="L78" s="25">
        <f t="shared" si="13"/>
        <v>530986.309121078</v>
      </c>
      <c r="M78" s="26">
        <v>11.086500000000001</v>
      </c>
      <c r="N78" s="27">
        <v>18756</v>
      </c>
      <c r="O78" s="28">
        <f t="shared" si="14"/>
        <v>1691.7873088891895</v>
      </c>
      <c r="P78" s="153" t="s">
        <v>3754</v>
      </c>
      <c r="Q78" s="24">
        <f>IF(ISERR(O78),VLOOKUP(P78,'Other corrections needed'!$A$3:$E$6,5,FALSE),IF(O78=0,VLOOKUP(P78,'Other corrections needed'!$A$3:$E$6,5,FALSE),O78/O$156))</f>
        <v>1.4914267804178607</v>
      </c>
      <c r="R78" s="169">
        <f t="shared" si="15"/>
        <v>837704.59402510396</v>
      </c>
    </row>
    <row r="79" spans="1:18" x14ac:dyDescent="0.2">
      <c r="A79" s="21" t="s">
        <v>1127</v>
      </c>
      <c r="B79" s="21" t="s">
        <v>1131</v>
      </c>
      <c r="C79" s="21" t="s">
        <v>1412</v>
      </c>
      <c r="D79" s="22">
        <v>420050</v>
      </c>
      <c r="E79" s="23" t="s">
        <v>2359</v>
      </c>
      <c r="F79" s="23"/>
      <c r="G79" s="23">
        <v>103.69</v>
      </c>
      <c r="H79" s="24">
        <f t="shared" si="10"/>
        <v>1.0085495481980313</v>
      </c>
      <c r="I79" s="25">
        <f t="shared" si="11"/>
        <v>423641.23772058304</v>
      </c>
      <c r="J79" s="26">
        <v>1.02</v>
      </c>
      <c r="K79" s="24">
        <f t="shared" si="12"/>
        <v>1.0150114230682019</v>
      </c>
      <c r="L79" s="25">
        <f t="shared" si="13"/>
        <v>426355.5482597982</v>
      </c>
      <c r="M79" s="26">
        <v>8.173</v>
      </c>
      <c r="N79" s="27">
        <v>13068</v>
      </c>
      <c r="O79" s="28">
        <f t="shared" si="14"/>
        <v>1598.9232839838492</v>
      </c>
      <c r="P79" s="153" t="s">
        <v>3758</v>
      </c>
      <c r="Q79" s="24">
        <f>IF(ISERR(O79),VLOOKUP(P79,'Other corrections needed'!$A$3:$E$6,5,FALSE),IF(O79=0,VLOOKUP(P79,'Other corrections needed'!$A$3:$E$6,5,FALSE),O79/O$156))</f>
        <v>1.4095607604084344</v>
      </c>
      <c r="R79" s="169">
        <f t="shared" si="15"/>
        <v>592085.99740956281</v>
      </c>
    </row>
    <row r="80" spans="1:18" x14ac:dyDescent="0.2">
      <c r="A80" s="21" t="s">
        <v>1127</v>
      </c>
      <c r="B80" s="21" t="s">
        <v>1133</v>
      </c>
      <c r="C80" s="21" t="s">
        <v>1413</v>
      </c>
      <c r="D80" s="22">
        <v>616887</v>
      </c>
      <c r="E80" s="23" t="s">
        <v>2359</v>
      </c>
      <c r="F80" s="23" t="s">
        <v>2306</v>
      </c>
      <c r="G80" s="23">
        <v>104.51</v>
      </c>
      <c r="H80" s="24">
        <f t="shared" si="10"/>
        <v>1.0165253474990479</v>
      </c>
      <c r="I80" s="25">
        <f t="shared" si="11"/>
        <v>627081.27204264514</v>
      </c>
      <c r="J80" s="26">
        <v>0.97999999999999898</v>
      </c>
      <c r="K80" s="24">
        <f t="shared" si="12"/>
        <v>0.97520705353611448</v>
      </c>
      <c r="L80" s="25">
        <f t="shared" si="13"/>
        <v>601592.55363473308</v>
      </c>
      <c r="M80" s="26">
        <v>16.25</v>
      </c>
      <c r="N80" s="27">
        <v>10361</v>
      </c>
      <c r="O80" s="28">
        <f t="shared" si="14"/>
        <v>637.6</v>
      </c>
      <c r="P80" s="153" t="s">
        <v>3759</v>
      </c>
      <c r="Q80" s="24">
        <f>IF(ISERR(O80),VLOOKUP(P80,'Other corrections needed'!$A$3:$E$6,5,FALSE),IF(O80=0,VLOOKUP(P80,'Other corrections needed'!$A$3:$E$6,5,FALSE),O80/O$156))</f>
        <v>0.56208821889011662</v>
      </c>
      <c r="R80" s="169">
        <f t="shared" si="15"/>
        <v>346744.91508646734</v>
      </c>
    </row>
    <row r="81" spans="1:18" x14ac:dyDescent="0.2">
      <c r="A81" s="21" t="s">
        <v>1127</v>
      </c>
      <c r="B81" s="21" t="s">
        <v>1147</v>
      </c>
      <c r="C81" s="21" t="s">
        <v>1414</v>
      </c>
      <c r="D81" s="22">
        <v>215341</v>
      </c>
      <c r="E81" s="23" t="s">
        <v>2359</v>
      </c>
      <c r="F81" s="23"/>
      <c r="G81" s="23">
        <v>94.24</v>
      </c>
      <c r="H81" s="24">
        <f t="shared" si="10"/>
        <v>0.9166333245460746</v>
      </c>
      <c r="I81" s="25">
        <f t="shared" si="11"/>
        <v>197388.73674107625</v>
      </c>
      <c r="J81" s="26">
        <v>0.92</v>
      </c>
      <c r="K81" s="24">
        <f t="shared" si="12"/>
        <v>0.91550049923798604</v>
      </c>
      <c r="L81" s="25">
        <f t="shared" si="13"/>
        <v>197144.79300640716</v>
      </c>
      <c r="M81" s="26">
        <v>3.74</v>
      </c>
      <c r="N81" s="27">
        <v>1800</v>
      </c>
      <c r="O81" s="28">
        <f t="shared" si="14"/>
        <v>481.28342245989302</v>
      </c>
      <c r="P81" s="153" t="s">
        <v>3761</v>
      </c>
      <c r="Q81" s="24">
        <f>IF(ISERR(O81),VLOOKUP(P81,'Other corrections needed'!$A$3:$E$6,5,FALSE),IF(O81=0,VLOOKUP(P81,'Other corrections needed'!$A$3:$E$6,5,FALSE),O81/O$156))</f>
        <v>0.42428441297337011</v>
      </c>
      <c r="R81" s="169">
        <f t="shared" si="15"/>
        <v>91365.829774098485</v>
      </c>
    </row>
    <row r="82" spans="1:18" x14ac:dyDescent="0.2">
      <c r="A82" s="21" t="s">
        <v>1127</v>
      </c>
      <c r="B82" s="21" t="s">
        <v>1149</v>
      </c>
      <c r="C82" s="21" t="s">
        <v>1415</v>
      </c>
      <c r="D82" s="22">
        <v>190127</v>
      </c>
      <c r="E82" s="23" t="s">
        <v>2359</v>
      </c>
      <c r="F82" s="23" t="s">
        <v>2306</v>
      </c>
      <c r="G82" s="23">
        <v>107.8</v>
      </c>
      <c r="H82" s="24">
        <f t="shared" si="10"/>
        <v>1.0485258105482476</v>
      </c>
      <c r="I82" s="25">
        <f t="shared" si="11"/>
        <v>199353.06678210667</v>
      </c>
      <c r="J82" s="26">
        <v>1.06</v>
      </c>
      <c r="K82" s="24">
        <f t="shared" si="12"/>
        <v>1.0548157926002883</v>
      </c>
      <c r="L82" s="25">
        <f t="shared" si="13"/>
        <v>200548.96219971502</v>
      </c>
      <c r="M82" s="26">
        <v>1.88</v>
      </c>
      <c r="N82" s="27">
        <v>4578</v>
      </c>
      <c r="O82" s="28">
        <f t="shared" si="14"/>
        <v>2435.1063829787236</v>
      </c>
      <c r="P82" s="153" t="s">
        <v>3758</v>
      </c>
      <c r="Q82" s="24">
        <f>IF(ISERR(O82),VLOOKUP(P82,'Other corrections needed'!$A$3:$E$6,5,FALSE),IF(O82=0,VLOOKUP(P82,'Other corrections needed'!$A$3:$E$6,5,FALSE),O82/O$156))</f>
        <v>2.1467136286331003</v>
      </c>
      <c r="R82" s="169">
        <f t="shared" si="15"/>
        <v>408148.22207112546</v>
      </c>
    </row>
    <row r="83" spans="1:18" x14ac:dyDescent="0.2">
      <c r="A83" s="21" t="s">
        <v>1127</v>
      </c>
      <c r="B83" s="21" t="s">
        <v>1151</v>
      </c>
      <c r="C83" s="21" t="s">
        <v>1416</v>
      </c>
      <c r="D83" s="22">
        <v>372235</v>
      </c>
      <c r="E83" s="23" t="s">
        <v>2359</v>
      </c>
      <c r="F83" s="23"/>
      <c r="G83" s="23">
        <v>101.78</v>
      </c>
      <c r="H83" s="24">
        <f t="shared" si="10"/>
        <v>0.98997177177737139</v>
      </c>
      <c r="I83" s="25">
        <f t="shared" si="11"/>
        <v>368502.14246754983</v>
      </c>
      <c r="J83" s="26">
        <v>1.03</v>
      </c>
      <c r="K83" s="24">
        <f t="shared" si="12"/>
        <v>1.0249625154512234</v>
      </c>
      <c r="L83" s="25">
        <f t="shared" si="13"/>
        <v>381526.92193898617</v>
      </c>
      <c r="M83" s="26">
        <v>6.6150000000000002</v>
      </c>
      <c r="N83" s="27">
        <v>4315</v>
      </c>
      <c r="O83" s="28">
        <f t="shared" si="14"/>
        <v>652.30536659108088</v>
      </c>
      <c r="P83" s="153" t="s">
        <v>3762</v>
      </c>
      <c r="Q83" s="24">
        <f>IF(ISERR(O83),VLOOKUP(P83,'Other corrections needed'!$A$3:$E$6,5,FALSE),IF(O83=0,VLOOKUP(P83,'Other corrections needed'!$A$3:$E$6,5,FALSE),O83/O$156))</f>
        <v>0.57505201016255525</v>
      </c>
      <c r="R83" s="169">
        <f t="shared" si="15"/>
        <v>214054.48500285874</v>
      </c>
    </row>
    <row r="84" spans="1:18" x14ac:dyDescent="0.2">
      <c r="A84" s="21" t="s">
        <v>1127</v>
      </c>
      <c r="B84" s="21" t="s">
        <v>1140</v>
      </c>
      <c r="C84" s="21" t="s">
        <v>1417</v>
      </c>
      <c r="D84" s="22">
        <v>762911</v>
      </c>
      <c r="E84" s="23" t="s">
        <v>2359</v>
      </c>
      <c r="F84" s="23" t="s">
        <v>409</v>
      </c>
      <c r="G84" s="23">
        <v>93.43</v>
      </c>
      <c r="H84" s="24">
        <f t="shared" si="10"/>
        <v>0.90875479109019275</v>
      </c>
      <c r="I84" s="25">
        <f t="shared" si="11"/>
        <v>693299.02642541006</v>
      </c>
      <c r="J84" s="26">
        <v>0.93</v>
      </c>
      <c r="K84" s="24">
        <f t="shared" si="12"/>
        <v>0.92545159162100765</v>
      </c>
      <c r="L84" s="25">
        <f t="shared" si="13"/>
        <v>706037.19921517454</v>
      </c>
      <c r="M84" s="26">
        <v>44.83</v>
      </c>
      <c r="N84" s="27">
        <v>14682</v>
      </c>
      <c r="O84" s="28">
        <f t="shared" si="14"/>
        <v>327.50390363595807</v>
      </c>
      <c r="P84" s="153" t="s">
        <v>3761</v>
      </c>
      <c r="Q84" s="24">
        <f>IF(ISERR(O84),VLOOKUP(P84,'Other corrections needed'!$A$3:$E$6,5,FALSE),IF(O84=0,VLOOKUP(P84,'Other corrections needed'!$A$3:$E$6,5,FALSE),O84/O$156))</f>
        <v>0.28871719867361362</v>
      </c>
      <c r="R84" s="169">
        <f t="shared" si="15"/>
        <v>220265.52675728523</v>
      </c>
    </row>
    <row r="85" spans="1:18" x14ac:dyDescent="0.2">
      <c r="A85" s="21" t="s">
        <v>1127</v>
      </c>
      <c r="B85" s="21" t="s">
        <v>1136</v>
      </c>
      <c r="C85" s="21" t="s">
        <v>447</v>
      </c>
      <c r="D85" s="22">
        <v>331728</v>
      </c>
      <c r="E85" s="23" t="s">
        <v>2359</v>
      </c>
      <c r="F85" s="23"/>
      <c r="G85" s="23">
        <v>97.58</v>
      </c>
      <c r="H85" s="24">
        <f t="shared" si="10"/>
        <v>0.9491201168209461</v>
      </c>
      <c r="I85" s="25">
        <f t="shared" si="11"/>
        <v>314849.71811277879</v>
      </c>
      <c r="J85" s="26">
        <v>1</v>
      </c>
      <c r="K85" s="24">
        <f t="shared" si="12"/>
        <v>0.99510923830215869</v>
      </c>
      <c r="L85" s="25">
        <f t="shared" si="13"/>
        <v>330105.59740349848</v>
      </c>
      <c r="M85" s="26">
        <v>3.3933</v>
      </c>
      <c r="N85" s="27">
        <v>8544</v>
      </c>
      <c r="O85" s="28">
        <f t="shared" si="14"/>
        <v>2517.9029263548759</v>
      </c>
      <c r="P85" s="153" t="s">
        <v>3762</v>
      </c>
      <c r="Q85" s="24">
        <f>IF(ISERR(O85),VLOOKUP(P85,'Other corrections needed'!$A$3:$E$6,5,FALSE),IF(O85=0,VLOOKUP(P85,'Other corrections needed'!$A$3:$E$6,5,FALSE),O85/O$156))</f>
        <v>2.2197044717895618</v>
      </c>
      <c r="R85" s="169">
        <f t="shared" si="15"/>
        <v>736338.1250178077</v>
      </c>
    </row>
    <row r="86" spans="1:18" x14ac:dyDescent="0.2">
      <c r="A86" s="21" t="s">
        <v>1127</v>
      </c>
      <c r="B86" s="21" t="s">
        <v>1157</v>
      </c>
      <c r="C86" s="21" t="s">
        <v>448</v>
      </c>
      <c r="D86" s="22">
        <v>167273</v>
      </c>
      <c r="E86" s="23" t="s">
        <v>2359</v>
      </c>
      <c r="F86" s="23"/>
      <c r="G86" s="23">
        <v>100.32</v>
      </c>
      <c r="H86" s="24">
        <f t="shared" si="10"/>
        <v>0.97577095838775685</v>
      </c>
      <c r="I86" s="25">
        <f t="shared" si="11"/>
        <v>163220.13552239526</v>
      </c>
      <c r="J86" s="26">
        <v>0.94999999999999896</v>
      </c>
      <c r="K86" s="24">
        <f t="shared" si="12"/>
        <v>0.94535377638704965</v>
      </c>
      <c r="L86" s="25">
        <f t="shared" si="13"/>
        <v>158132.16223759096</v>
      </c>
      <c r="M86" s="26">
        <v>10.781000000000001</v>
      </c>
      <c r="N86" s="27">
        <v>5138</v>
      </c>
      <c r="O86" s="28">
        <f t="shared" si="14"/>
        <v>476.57916705314904</v>
      </c>
      <c r="P86" s="153" t="s">
        <v>3759</v>
      </c>
      <c r="Q86" s="24">
        <f>IF(ISERR(O86),VLOOKUP(P86,'Other corrections needed'!$A$3:$E$6,5,FALSE),IF(O86=0,VLOOKUP(P86,'Other corrections needed'!$A$3:$E$6,5,FALSE),O86/O$156))</f>
        <v>0.42013728853362586</v>
      </c>
      <c r="R86" s="169">
        <f t="shared" si="15"/>
        <v>70277.624664885196</v>
      </c>
    </row>
    <row r="87" spans="1:18" x14ac:dyDescent="0.2">
      <c r="A87" s="21" t="s">
        <v>1127</v>
      </c>
      <c r="B87" s="21" t="s">
        <v>1164</v>
      </c>
      <c r="C87" s="21" t="s">
        <v>449</v>
      </c>
      <c r="D87" s="22">
        <v>334022</v>
      </c>
      <c r="E87" s="23" t="s">
        <v>2359</v>
      </c>
      <c r="F87" s="23"/>
      <c r="G87" s="23">
        <v>98.41</v>
      </c>
      <c r="H87" s="24">
        <f t="shared" si="10"/>
        <v>0.9571931819670968</v>
      </c>
      <c r="I87" s="25">
        <f t="shared" si="11"/>
        <v>319723.5810270136</v>
      </c>
      <c r="J87" s="26">
        <v>1.0900000000000001</v>
      </c>
      <c r="K87" s="24">
        <f t="shared" si="12"/>
        <v>1.0846690697493531</v>
      </c>
      <c r="L87" s="25">
        <f t="shared" si="13"/>
        <v>362303.33201581839</v>
      </c>
      <c r="M87" s="26">
        <v>0.74719999999999998</v>
      </c>
      <c r="N87" s="27">
        <v>4214</v>
      </c>
      <c r="O87" s="28">
        <f t="shared" si="14"/>
        <v>5639.7216274089942</v>
      </c>
      <c r="P87" s="153" t="s">
        <v>3762</v>
      </c>
      <c r="Q87" s="24">
        <f>IF(ISERR(O87),VLOOKUP(P87,'Other corrections needed'!$A$3:$E$6,5,FALSE),IF(O87=0,VLOOKUP(P87,'Other corrections needed'!$A$3:$E$6,5,FALSE),O87/O$156))</f>
        <v>4.9718022029272131</v>
      </c>
      <c r="R87" s="169">
        <f t="shared" si="15"/>
        <v>1660691.3154261536</v>
      </c>
    </row>
    <row r="88" spans="1:18" x14ac:dyDescent="0.2">
      <c r="A88" s="21" t="s">
        <v>1127</v>
      </c>
      <c r="B88" s="21" t="s">
        <v>1129</v>
      </c>
      <c r="C88" s="21" t="s">
        <v>450</v>
      </c>
      <c r="D88" s="22">
        <v>397586</v>
      </c>
      <c r="E88" s="23" t="s">
        <v>2359</v>
      </c>
      <c r="F88" s="23"/>
      <c r="G88" s="23">
        <v>108.83</v>
      </c>
      <c r="H88" s="24">
        <f t="shared" si="10"/>
        <v>1.0585441925970851</v>
      </c>
      <c r="I88" s="25">
        <f t="shared" si="11"/>
        <v>420862.35135790467</v>
      </c>
      <c r="J88" s="26">
        <v>1.04</v>
      </c>
      <c r="K88" s="24">
        <f t="shared" si="12"/>
        <v>1.0349136078342451</v>
      </c>
      <c r="L88" s="25">
        <f t="shared" si="13"/>
        <v>411467.1616843862</v>
      </c>
      <c r="M88" s="26">
        <v>5.7216000000000005</v>
      </c>
      <c r="N88" s="27">
        <v>18150</v>
      </c>
      <c r="O88" s="28">
        <f t="shared" si="14"/>
        <v>3172.189597315436</v>
      </c>
      <c r="P88" s="153" t="s">
        <v>3762</v>
      </c>
      <c r="Q88" s="24">
        <f>IF(ISERR(O88),VLOOKUP(P88,'Other corrections needed'!$A$3:$E$6,5,FALSE),IF(O88=0,VLOOKUP(P88,'Other corrections needed'!$A$3:$E$6,5,FALSE),O88/O$156))</f>
        <v>2.7965031379184278</v>
      </c>
      <c r="R88" s="169">
        <f t="shared" si="15"/>
        <v>1111850.496592436</v>
      </c>
    </row>
    <row r="89" spans="1:18" x14ac:dyDescent="0.2">
      <c r="A89" s="21" t="s">
        <v>1127</v>
      </c>
      <c r="B89" s="21" t="s">
        <v>1145</v>
      </c>
      <c r="C89" s="21" t="s">
        <v>451</v>
      </c>
      <c r="D89" s="22">
        <v>605266</v>
      </c>
      <c r="E89" s="23" t="s">
        <v>2359</v>
      </c>
      <c r="F89" s="23"/>
      <c r="G89" s="23">
        <v>97.7</v>
      </c>
      <c r="H89" s="24">
        <f t="shared" si="10"/>
        <v>0.95028730696255836</v>
      </c>
      <c r="I89" s="25">
        <f t="shared" si="11"/>
        <v>575176.59713599982</v>
      </c>
      <c r="J89" s="26">
        <v>0.94999999999999896</v>
      </c>
      <c r="K89" s="24">
        <f t="shared" si="12"/>
        <v>0.94535377638704965</v>
      </c>
      <c r="L89" s="25">
        <f t="shared" si="13"/>
        <v>572190.49881868402</v>
      </c>
      <c r="M89" s="26">
        <v>10.074999999999999</v>
      </c>
      <c r="N89" s="27">
        <v>9244</v>
      </c>
      <c r="O89" s="28">
        <f t="shared" si="14"/>
        <v>917.51861042183634</v>
      </c>
      <c r="P89" s="153" t="s">
        <v>3763</v>
      </c>
      <c r="Q89" s="24">
        <f>IF(ISERR(O89),VLOOKUP(P89,'Other corrections needed'!$A$3:$E$6,5,FALSE),IF(O89=0,VLOOKUP(P89,'Other corrections needed'!$A$3:$E$6,5,FALSE),O89/O$156))</f>
        <v>0.80885571130888445</v>
      </c>
      <c r="R89" s="169">
        <f t="shared" si="15"/>
        <v>489572.86096108326</v>
      </c>
    </row>
    <row r="90" spans="1:18" x14ac:dyDescent="0.2">
      <c r="A90" s="21" t="s">
        <v>1127</v>
      </c>
      <c r="B90" s="21" t="s">
        <v>1159</v>
      </c>
      <c r="C90" s="21" t="s">
        <v>452</v>
      </c>
      <c r="D90" s="22">
        <v>278955</v>
      </c>
      <c r="E90" s="23" t="s">
        <v>2359</v>
      </c>
      <c r="F90" s="23"/>
      <c r="G90" s="23">
        <v>114.13</v>
      </c>
      <c r="H90" s="24">
        <f t="shared" si="10"/>
        <v>1.1100950905182885</v>
      </c>
      <c r="I90" s="25">
        <f t="shared" si="11"/>
        <v>309666.57597552915</v>
      </c>
      <c r="J90" s="26">
        <v>1.06</v>
      </c>
      <c r="K90" s="24">
        <f t="shared" si="12"/>
        <v>1.0548157926002883</v>
      </c>
      <c r="L90" s="25">
        <f t="shared" si="13"/>
        <v>294246.13942481345</v>
      </c>
      <c r="M90" s="26">
        <v>15.56</v>
      </c>
      <c r="N90" s="27">
        <v>30294</v>
      </c>
      <c r="O90" s="28">
        <f t="shared" si="14"/>
        <v>1946.9151670951155</v>
      </c>
      <c r="P90" s="153" t="s">
        <v>3762</v>
      </c>
      <c r="Q90" s="24">
        <f>IF(ISERR(O90),VLOOKUP(P90,'Other corrections needed'!$A$3:$E$6,5,FALSE),IF(O90=0,VLOOKUP(P90,'Other corrections needed'!$A$3:$E$6,5,FALSE),O90/O$156))</f>
        <v>1.7163395210204628</v>
      </c>
      <c r="R90" s="169">
        <f t="shared" si="15"/>
        <v>478781.49108626321</v>
      </c>
    </row>
    <row r="91" spans="1:18" x14ac:dyDescent="0.2">
      <c r="A91" s="21" t="s">
        <v>1167</v>
      </c>
      <c r="B91" s="21" t="s">
        <v>453</v>
      </c>
      <c r="C91" s="21" t="s">
        <v>454</v>
      </c>
      <c r="D91" s="22">
        <v>166611</v>
      </c>
      <c r="E91" s="23" t="s">
        <v>377</v>
      </c>
      <c r="F91" s="23"/>
      <c r="G91" s="23">
        <v>115.63</v>
      </c>
      <c r="H91" s="24">
        <f t="shared" si="10"/>
        <v>1.1246849672884403</v>
      </c>
      <c r="I91" s="25">
        <f t="shared" si="11"/>
        <v>187384.88708489432</v>
      </c>
      <c r="J91" s="26">
        <v>1.0900000000000001</v>
      </c>
      <c r="K91" s="24">
        <f t="shared" si="12"/>
        <v>1.0846690697493531</v>
      </c>
      <c r="L91" s="25">
        <f t="shared" si="13"/>
        <v>180717.79838000945</v>
      </c>
      <c r="M91" s="26">
        <v>3.5981999999999998</v>
      </c>
      <c r="N91" s="27">
        <v>13350</v>
      </c>
      <c r="O91" s="28">
        <f t="shared" si="14"/>
        <v>3710.188427547107</v>
      </c>
      <c r="P91" s="153" t="s">
        <v>3764</v>
      </c>
      <c r="Q91" s="24">
        <f>IF(ISERR(O91),VLOOKUP(P91,'Other corrections needed'!$A$3:$E$6,5,FALSE),IF(O91=0,VLOOKUP(P91,'Other corrections needed'!$A$3:$E$6,5,FALSE),O91/O$156))</f>
        <v>3.2707860805939077</v>
      </c>
      <c r="R91" s="169">
        <f t="shared" si="15"/>
        <v>544948.93967383157</v>
      </c>
    </row>
    <row r="92" spans="1:18" x14ac:dyDescent="0.2">
      <c r="A92" s="21" t="s">
        <v>1167</v>
      </c>
      <c r="B92" s="21" t="s">
        <v>1171</v>
      </c>
      <c r="C92" s="21" t="s">
        <v>455</v>
      </c>
      <c r="D92" s="22">
        <v>338072</v>
      </c>
      <c r="E92" s="23" t="s">
        <v>377</v>
      </c>
      <c r="F92" s="23" t="s">
        <v>2312</v>
      </c>
      <c r="G92" s="23">
        <v>120.76</v>
      </c>
      <c r="H92" s="24">
        <f t="shared" si="10"/>
        <v>1.1745823458423597</v>
      </c>
      <c r="I92" s="25">
        <f t="shared" si="11"/>
        <v>397093.40282361821</v>
      </c>
      <c r="J92" s="26">
        <v>1.1399999999999999</v>
      </c>
      <c r="K92" s="24">
        <f t="shared" si="12"/>
        <v>1.1344245316644608</v>
      </c>
      <c r="L92" s="25">
        <f t="shared" si="13"/>
        <v>383517.17026886757</v>
      </c>
      <c r="M92" s="26">
        <v>11.35</v>
      </c>
      <c r="N92" s="27">
        <v>54286</v>
      </c>
      <c r="O92" s="28">
        <f t="shared" si="14"/>
        <v>4782.9074889867843</v>
      </c>
      <c r="P92" s="153" t="s">
        <v>3765</v>
      </c>
      <c r="Q92" s="24">
        <f>IF(ISERR(O92),VLOOKUP(P92,'Other corrections needed'!$A$3:$E$6,5,FALSE),IF(O92=0,VLOOKUP(P92,'Other corrections needed'!$A$3:$E$6,5,FALSE),O92/O$156))</f>
        <v>4.2164616555846637</v>
      </c>
      <c r="R92" s="169">
        <f t="shared" si="15"/>
        <v>1425467.6248268185</v>
      </c>
    </row>
    <row r="93" spans="1:18" x14ac:dyDescent="0.2">
      <c r="A93" s="21" t="s">
        <v>1167</v>
      </c>
      <c r="B93" s="21" t="s">
        <v>3474</v>
      </c>
      <c r="C93" s="21" t="s">
        <v>456</v>
      </c>
      <c r="D93" s="22">
        <v>224468</v>
      </c>
      <c r="E93" s="23" t="s">
        <v>377</v>
      </c>
      <c r="F93" s="23"/>
      <c r="G93" s="23">
        <v>114.46</v>
      </c>
      <c r="H93" s="24">
        <f t="shared" si="10"/>
        <v>1.1133048634077218</v>
      </c>
      <c r="I93" s="25">
        <f t="shared" si="11"/>
        <v>249901.3160794045</v>
      </c>
      <c r="J93" s="26">
        <v>1.1499999999999899</v>
      </c>
      <c r="K93" s="24">
        <f t="shared" si="12"/>
        <v>1.1443756240474725</v>
      </c>
      <c r="L93" s="25">
        <f t="shared" si="13"/>
        <v>256875.70757868805</v>
      </c>
      <c r="M93" s="26">
        <v>3.552</v>
      </c>
      <c r="N93" s="27">
        <v>4550</v>
      </c>
      <c r="O93" s="28">
        <f t="shared" si="14"/>
        <v>1280.9684684684685</v>
      </c>
      <c r="P93" s="153" t="s">
        <v>3766</v>
      </c>
      <c r="Q93" s="24">
        <f>IF(ISERR(O93),VLOOKUP(P93,'Other corrections needed'!$A$3:$E$6,5,FALSE),IF(O93=0,VLOOKUP(P93,'Other corrections needed'!$A$3:$E$6,5,FALSE),O93/O$156))</f>
        <v>1.1292617391716466</v>
      </c>
      <c r="R93" s="169">
        <f t="shared" si="15"/>
        <v>253483.12406838118</v>
      </c>
    </row>
    <row r="94" spans="1:18" x14ac:dyDescent="0.2">
      <c r="A94" s="21" t="s">
        <v>1167</v>
      </c>
      <c r="B94" s="21" t="s">
        <v>3468</v>
      </c>
      <c r="C94" s="21" t="s">
        <v>457</v>
      </c>
      <c r="D94" s="22">
        <v>273919</v>
      </c>
      <c r="E94" s="23" t="s">
        <v>377</v>
      </c>
      <c r="F94" s="23"/>
      <c r="G94" s="23">
        <v>121.26</v>
      </c>
      <c r="H94" s="24">
        <f t="shared" si="10"/>
        <v>1.179445638099077</v>
      </c>
      <c r="I94" s="25">
        <f t="shared" si="11"/>
        <v>323072.56974246108</v>
      </c>
      <c r="J94" s="26">
        <v>1.1499999999999899</v>
      </c>
      <c r="K94" s="24">
        <f t="shared" si="12"/>
        <v>1.1443756240474725</v>
      </c>
      <c r="L94" s="25">
        <f t="shared" si="13"/>
        <v>313466.22656345961</v>
      </c>
      <c r="M94" s="26">
        <v>4.0339999999999998</v>
      </c>
      <c r="N94" s="27">
        <v>14433</v>
      </c>
      <c r="O94" s="28">
        <f t="shared" si="14"/>
        <v>3577.8383738225089</v>
      </c>
      <c r="P94" s="153" t="s">
        <v>3767</v>
      </c>
      <c r="Q94" s="24">
        <f>IF(ISERR(O94),VLOOKUP(P94,'Other corrections needed'!$A$3:$E$6,5,FALSE),IF(O94=0,VLOOKUP(P94,'Other corrections needed'!$A$3:$E$6,5,FALSE),O94/O$156))</f>
        <v>3.154110412513496</v>
      </c>
      <c r="R94" s="169">
        <f t="shared" si="15"/>
        <v>863970.77008528425</v>
      </c>
    </row>
    <row r="95" spans="1:18" x14ac:dyDescent="0.2">
      <c r="A95" s="21" t="s">
        <v>1167</v>
      </c>
      <c r="B95" s="21" t="s">
        <v>458</v>
      </c>
      <c r="C95" s="21" t="s">
        <v>459</v>
      </c>
      <c r="D95" s="22">
        <v>303133</v>
      </c>
      <c r="E95" s="23" t="s">
        <v>377</v>
      </c>
      <c r="F95" s="23"/>
      <c r="G95" s="23">
        <v>115.94</v>
      </c>
      <c r="H95" s="24">
        <f t="shared" si="10"/>
        <v>1.1277002084876051</v>
      </c>
      <c r="I95" s="25">
        <f t="shared" si="11"/>
        <v>341843.14729947317</v>
      </c>
      <c r="J95" s="26">
        <v>1.1200000000000001</v>
      </c>
      <c r="K95" s="24">
        <f t="shared" si="12"/>
        <v>1.1145223468984178</v>
      </c>
      <c r="L95" s="25">
        <f t="shared" si="13"/>
        <v>337848.50258235808</v>
      </c>
      <c r="M95" s="26">
        <v>11.96</v>
      </c>
      <c r="N95" s="27">
        <v>14901</v>
      </c>
      <c r="O95" s="28">
        <f t="shared" si="14"/>
        <v>1245.9030100334446</v>
      </c>
      <c r="P95" s="153" t="s">
        <v>3768</v>
      </c>
      <c r="Q95" s="24">
        <f>IF(ISERR(O95),VLOOKUP(P95,'Other corrections needed'!$A$3:$E$6,5,FALSE),IF(O95=0,VLOOKUP(P95,'Other corrections needed'!$A$3:$E$6,5,FALSE),O95/O$156))</f>
        <v>1.0983491276968851</v>
      </c>
      <c r="R95" s="169">
        <f t="shared" si="15"/>
        <v>332945.86612613988</v>
      </c>
    </row>
    <row r="96" spans="1:18" x14ac:dyDescent="0.2">
      <c r="A96" s="21" t="s">
        <v>1167</v>
      </c>
      <c r="B96" s="21" t="s">
        <v>3436</v>
      </c>
      <c r="C96" s="21" t="s">
        <v>460</v>
      </c>
      <c r="D96" s="22">
        <v>247403</v>
      </c>
      <c r="E96" s="23" t="s">
        <v>377</v>
      </c>
      <c r="F96" s="23"/>
      <c r="G96" s="23">
        <v>126.41</v>
      </c>
      <c r="H96" s="24">
        <f t="shared" si="10"/>
        <v>1.2295375483432651</v>
      </c>
      <c r="I96" s="25">
        <f t="shared" si="11"/>
        <v>304191.27807276882</v>
      </c>
      <c r="J96" s="26">
        <v>1.27</v>
      </c>
      <c r="K96" s="24">
        <f t="shared" si="12"/>
        <v>1.2637887326437416</v>
      </c>
      <c r="L96" s="25">
        <f t="shared" si="13"/>
        <v>312665.1238222596</v>
      </c>
      <c r="M96" s="26">
        <v>3.23</v>
      </c>
      <c r="N96" s="27">
        <v>29258</v>
      </c>
      <c r="O96" s="28">
        <f t="shared" si="14"/>
        <v>9058.2043343653258</v>
      </c>
      <c r="P96" s="153" t="s">
        <v>3769</v>
      </c>
      <c r="Q96" s="24">
        <f>IF(ISERR(O96),VLOOKUP(P96,'Other corrections needed'!$A$3:$E$6,5,FALSE),IF(O96=0,VLOOKUP(P96,'Other corrections needed'!$A$3:$E$6,5,FALSE),O96/O$156))</f>
        <v>7.9854296434224272</v>
      </c>
      <c r="R96" s="169">
        <f t="shared" si="15"/>
        <v>1975619.2500716387</v>
      </c>
    </row>
    <row r="97" spans="1:18" x14ac:dyDescent="0.2">
      <c r="A97" s="21" t="s">
        <v>1167</v>
      </c>
      <c r="B97" s="21" t="s">
        <v>3449</v>
      </c>
      <c r="C97" s="21" t="s">
        <v>461</v>
      </c>
      <c r="D97" s="22">
        <v>217693</v>
      </c>
      <c r="E97" s="23" t="s">
        <v>377</v>
      </c>
      <c r="F97" s="23"/>
      <c r="G97" s="23">
        <v>126.87</v>
      </c>
      <c r="H97" s="24">
        <f t="shared" si="10"/>
        <v>1.234011777219445</v>
      </c>
      <c r="I97" s="25">
        <f t="shared" si="11"/>
        <v>268635.72581823263</v>
      </c>
      <c r="J97" s="26">
        <v>1.21</v>
      </c>
      <c r="K97" s="24">
        <f t="shared" si="12"/>
        <v>1.2040821783456119</v>
      </c>
      <c r="L97" s="25">
        <f t="shared" si="13"/>
        <v>262120.2616505913</v>
      </c>
      <c r="M97" s="26">
        <v>2.988</v>
      </c>
      <c r="N97" s="27">
        <v>17759</v>
      </c>
      <c r="O97" s="28">
        <f t="shared" si="14"/>
        <v>5943.4404283801878</v>
      </c>
      <c r="P97" s="153" t="s">
        <v>3770</v>
      </c>
      <c r="Q97" s="24">
        <f>IF(ISERR(O97),VLOOKUP(P97,'Other corrections needed'!$A$3:$E$6,5,FALSE),IF(O97=0,VLOOKUP(P97,'Other corrections needed'!$A$3:$E$6,5,FALSE),O97/O$156))</f>
        <v>5.2395511989769936</v>
      </c>
      <c r="R97" s="169">
        <f t="shared" si="15"/>
        <v>1140613.6191588987</v>
      </c>
    </row>
    <row r="98" spans="1:18" x14ac:dyDescent="0.2">
      <c r="A98" s="21" t="s">
        <v>1167</v>
      </c>
      <c r="B98" s="21" t="s">
        <v>3458</v>
      </c>
      <c r="C98" s="21" t="s">
        <v>462</v>
      </c>
      <c r="D98" s="22">
        <v>339872</v>
      </c>
      <c r="E98" s="23" t="s">
        <v>377</v>
      </c>
      <c r="F98" s="23"/>
      <c r="G98" s="23">
        <v>117.29</v>
      </c>
      <c r="H98" s="24">
        <f t="shared" si="10"/>
        <v>1.1408310975807419</v>
      </c>
      <c r="I98" s="25">
        <f t="shared" si="11"/>
        <v>387736.54679696192</v>
      </c>
      <c r="J98" s="26">
        <v>1.1599999999999899</v>
      </c>
      <c r="K98" s="24">
        <f t="shared" si="12"/>
        <v>1.154326716430494</v>
      </c>
      <c r="L98" s="25">
        <f t="shared" si="13"/>
        <v>392323.32976666489</v>
      </c>
      <c r="M98" s="26">
        <v>2.3363</v>
      </c>
      <c r="N98" s="27">
        <v>5776</v>
      </c>
      <c r="O98" s="28">
        <f t="shared" si="14"/>
        <v>2472.2852373410947</v>
      </c>
      <c r="P98" s="153" t="s">
        <v>3771</v>
      </c>
      <c r="Q98" s="24">
        <f>IF(ISERR(O98),VLOOKUP(P98,'Other corrections needed'!$A$3:$E$6,5,FALSE),IF(O98=0,VLOOKUP(P98,'Other corrections needed'!$A$3:$E$6,5,FALSE),O98/O$156))</f>
        <v>2.1794893438603906</v>
      </c>
      <c r="R98" s="169">
        <f t="shared" si="15"/>
        <v>740747.40227651864</v>
      </c>
    </row>
    <row r="99" spans="1:18" x14ac:dyDescent="0.2">
      <c r="A99" s="21" t="s">
        <v>1167</v>
      </c>
      <c r="B99" s="21" t="s">
        <v>3441</v>
      </c>
      <c r="C99" s="21" t="s">
        <v>463</v>
      </c>
      <c r="D99" s="22">
        <v>308957</v>
      </c>
      <c r="E99" s="23" t="s">
        <v>377</v>
      </c>
      <c r="F99" s="23"/>
      <c r="G99" s="23">
        <v>119.98</v>
      </c>
      <c r="H99" s="24">
        <f t="shared" ref="H99:H130" si="16">G99/H$156</f>
        <v>1.1669956099218808</v>
      </c>
      <c r="I99" s="25">
        <f t="shared" ref="I99:I130" si="17">H99*D99</f>
        <v>360551.4626546345</v>
      </c>
      <c r="J99" s="26">
        <v>1.1599999999999899</v>
      </c>
      <c r="K99" s="24">
        <f t="shared" ref="K99:K130" si="18">J99/K$156</f>
        <v>1.154326716430494</v>
      </c>
      <c r="L99" s="25">
        <f t="shared" ref="L99:L130" si="19">K99*D99</f>
        <v>356637.31932821614</v>
      </c>
      <c r="M99" s="26">
        <v>4.4886999999999997</v>
      </c>
      <c r="N99" s="27">
        <v>12456</v>
      </c>
      <c r="O99" s="28">
        <f t="shared" si="14"/>
        <v>2774.9682536146324</v>
      </c>
      <c r="P99" s="153" t="s">
        <v>3772</v>
      </c>
      <c r="Q99" s="24">
        <f>IF(ISERR(O99),VLOOKUP(P99,'Other corrections needed'!$A$3:$E$6,5,FALSE),IF(O99=0,VLOOKUP(P99,'Other corrections needed'!$A$3:$E$6,5,FALSE),O99/O$156))</f>
        <v>2.4463252245151601</v>
      </c>
      <c r="R99" s="169">
        <f t="shared" si="15"/>
        <v>755809.30239053036</v>
      </c>
    </row>
    <row r="100" spans="1:18" x14ac:dyDescent="0.2">
      <c r="A100" s="21" t="s">
        <v>1167</v>
      </c>
      <c r="B100" s="21" t="s">
        <v>3466</v>
      </c>
      <c r="C100" s="21" t="s">
        <v>464</v>
      </c>
      <c r="D100" s="22">
        <v>289543</v>
      </c>
      <c r="E100" s="23" t="s">
        <v>377</v>
      </c>
      <c r="F100" s="23"/>
      <c r="G100" s="23">
        <v>118.29</v>
      </c>
      <c r="H100" s="24">
        <f t="shared" si="16"/>
        <v>1.1505576820941763</v>
      </c>
      <c r="I100" s="25">
        <f t="shared" si="17"/>
        <v>333135.92294659407</v>
      </c>
      <c r="J100" s="26">
        <v>1.1100000000000001</v>
      </c>
      <c r="K100" s="24">
        <f t="shared" si="18"/>
        <v>1.1045712545153963</v>
      </c>
      <c r="L100" s="25">
        <f t="shared" si="19"/>
        <v>319820.87474615138</v>
      </c>
      <c r="M100" s="26">
        <v>5.54</v>
      </c>
      <c r="N100" s="27">
        <v>21665</v>
      </c>
      <c r="O100" s="28">
        <f t="shared" si="14"/>
        <v>3910.6498194945848</v>
      </c>
      <c r="P100" s="153" t="s">
        <v>3773</v>
      </c>
      <c r="Q100" s="24">
        <f>IF(ISERR(O100),VLOOKUP(P100,'Other corrections needed'!$A$3:$E$6,5,FALSE),IF(O100=0,VLOOKUP(P100,'Other corrections needed'!$A$3:$E$6,5,FALSE),O100/O$156))</f>
        <v>3.4475065742513595</v>
      </c>
      <c r="R100" s="169">
        <f t="shared" si="15"/>
        <v>998201.3960284614</v>
      </c>
    </row>
    <row r="101" spans="1:18" x14ac:dyDescent="0.2">
      <c r="A101" s="21" t="s">
        <v>1167</v>
      </c>
      <c r="B101" s="21" t="s">
        <v>465</v>
      </c>
      <c r="C101" s="21" t="s">
        <v>466</v>
      </c>
      <c r="D101" s="22">
        <v>227340</v>
      </c>
      <c r="E101" s="23" t="s">
        <v>377</v>
      </c>
      <c r="F101" s="23"/>
      <c r="G101" s="23">
        <v>119.62</v>
      </c>
      <c r="H101" s="24">
        <f t="shared" si="16"/>
        <v>1.1634940394970443</v>
      </c>
      <c r="I101" s="25">
        <f t="shared" si="17"/>
        <v>264508.73493925808</v>
      </c>
      <c r="J101" s="26">
        <v>1.1599999999999899</v>
      </c>
      <c r="K101" s="24">
        <f t="shared" si="18"/>
        <v>1.154326716430494</v>
      </c>
      <c r="L101" s="25">
        <f t="shared" si="19"/>
        <v>262424.63571330853</v>
      </c>
      <c r="M101" s="26">
        <v>3.34</v>
      </c>
      <c r="N101" s="27">
        <v>18072</v>
      </c>
      <c r="O101" s="28">
        <f t="shared" si="14"/>
        <v>5410.7784431137725</v>
      </c>
      <c r="P101" s="153" t="s">
        <v>3774</v>
      </c>
      <c r="Q101" s="24">
        <f>IF(ISERR(O101),VLOOKUP(P101,'Other corrections needed'!$A$3:$E$6,5,FALSE),IF(O101=0,VLOOKUP(P101,'Other corrections needed'!$A$3:$E$6,5,FALSE),O101/O$156))</f>
        <v>4.7699730519116343</v>
      </c>
      <c r="R101" s="169">
        <f t="shared" si="15"/>
        <v>1084405.6736215909</v>
      </c>
    </row>
    <row r="102" spans="1:18" x14ac:dyDescent="0.2">
      <c r="A102" s="21" t="s">
        <v>1167</v>
      </c>
      <c r="B102" s="21" t="s">
        <v>467</v>
      </c>
      <c r="C102" s="21" t="s">
        <v>468</v>
      </c>
      <c r="D102" s="22">
        <v>174011</v>
      </c>
      <c r="E102" s="23" t="s">
        <v>377</v>
      </c>
      <c r="F102" s="23" t="s">
        <v>2312</v>
      </c>
      <c r="G102" s="23">
        <v>122.49</v>
      </c>
      <c r="H102" s="24">
        <f t="shared" si="16"/>
        <v>1.1914093370506014</v>
      </c>
      <c r="I102" s="25">
        <f t="shared" si="17"/>
        <v>207318.33014951219</v>
      </c>
      <c r="J102" s="26">
        <v>1.23</v>
      </c>
      <c r="K102" s="24">
        <f t="shared" si="18"/>
        <v>1.2239843631116551</v>
      </c>
      <c r="L102" s="25">
        <f t="shared" si="19"/>
        <v>212986.74300942224</v>
      </c>
      <c r="M102" s="26">
        <v>1.2506999999999999</v>
      </c>
      <c r="N102" s="27">
        <v>8800</v>
      </c>
      <c r="O102" s="28">
        <f t="shared" si="14"/>
        <v>7036.0598065083559</v>
      </c>
      <c r="P102" s="153" t="s">
        <v>3775</v>
      </c>
      <c r="Q102" s="24">
        <f>IF(ISERR(O102),VLOOKUP(P102,'Other corrections needed'!$A$3:$E$6,5,FALSE),IF(O102=0,VLOOKUP(P102,'Other corrections needed'!$A$3:$E$6,5,FALSE),O102/O$156))</f>
        <v>6.202770270772616</v>
      </c>
      <c r="R102" s="169">
        <f t="shared" si="15"/>
        <v>1079350.2575874138</v>
      </c>
    </row>
    <row r="103" spans="1:18" x14ac:dyDescent="0.2">
      <c r="A103" s="21" t="s">
        <v>1167</v>
      </c>
      <c r="B103" s="21" t="s">
        <v>1173</v>
      </c>
      <c r="C103" s="21" t="s">
        <v>469</v>
      </c>
      <c r="D103" s="22">
        <v>226868</v>
      </c>
      <c r="E103" s="23" t="s">
        <v>377</v>
      </c>
      <c r="F103" s="23"/>
      <c r="G103" s="23">
        <v>122.62</v>
      </c>
      <c r="H103" s="24">
        <f t="shared" si="16"/>
        <v>1.1926737930373481</v>
      </c>
      <c r="I103" s="25">
        <f t="shared" si="17"/>
        <v>270579.51807879709</v>
      </c>
      <c r="J103" s="26">
        <v>1.22</v>
      </c>
      <c r="K103" s="24">
        <f t="shared" si="18"/>
        <v>1.2140332707286337</v>
      </c>
      <c r="L103" s="25">
        <f t="shared" si="19"/>
        <v>275425.30006366369</v>
      </c>
      <c r="M103" s="26">
        <v>3.12</v>
      </c>
      <c r="N103" s="27">
        <v>10304</v>
      </c>
      <c r="O103" s="28">
        <f t="shared" si="14"/>
        <v>3302.5641025641025</v>
      </c>
      <c r="P103" s="153" t="s">
        <v>3776</v>
      </c>
      <c r="Q103" s="24">
        <f>IF(ISERR(O103),VLOOKUP(P103,'Other corrections needed'!$A$3:$E$6,5,FALSE),IF(O103=0,VLOOKUP(P103,'Other corrections needed'!$A$3:$E$6,5,FALSE),O103/O$156))</f>
        <v>2.9114372242482633</v>
      </c>
      <c r="R103" s="169">
        <f t="shared" si="15"/>
        <v>660511.94019075506</v>
      </c>
    </row>
    <row r="104" spans="1:18" x14ac:dyDescent="0.2">
      <c r="A104" s="21" t="s">
        <v>1167</v>
      </c>
      <c r="B104" s="21" t="s">
        <v>3393</v>
      </c>
      <c r="C104" s="21" t="s">
        <v>470</v>
      </c>
      <c r="D104" s="22">
        <v>218483</v>
      </c>
      <c r="E104" s="23" t="s">
        <v>377</v>
      </c>
      <c r="F104" s="23"/>
      <c r="G104" s="23">
        <v>118.66</v>
      </c>
      <c r="H104" s="24">
        <f t="shared" si="16"/>
        <v>1.1541565183641471</v>
      </c>
      <c r="I104" s="25">
        <f t="shared" si="17"/>
        <v>252163.57860175395</v>
      </c>
      <c r="J104" s="26">
        <v>1.1100000000000001</v>
      </c>
      <c r="K104" s="24">
        <f t="shared" si="18"/>
        <v>1.1045712545153963</v>
      </c>
      <c r="L104" s="25">
        <f t="shared" si="19"/>
        <v>241330.04140028733</v>
      </c>
      <c r="M104" s="26">
        <v>1.1212</v>
      </c>
      <c r="N104" s="27">
        <v>3153</v>
      </c>
      <c r="O104" s="28">
        <f t="shared" si="14"/>
        <v>2812.1655369247237</v>
      </c>
      <c r="P104" s="153" t="s">
        <v>3777</v>
      </c>
      <c r="Q104" s="24">
        <f>IF(ISERR(O104),VLOOKUP(P104,'Other corrections needed'!$A$3:$E$6,5,FALSE),IF(O104=0,VLOOKUP(P104,'Other corrections needed'!$A$3:$E$6,5,FALSE),O104/O$156))</f>
        <v>2.4791171861263899</v>
      </c>
      <c r="R104" s="169">
        <f t="shared" si="15"/>
        <v>541644.96017645206</v>
      </c>
    </row>
    <row r="105" spans="1:18" x14ac:dyDescent="0.2">
      <c r="A105" s="21" t="s">
        <v>1167</v>
      </c>
      <c r="B105" s="21" t="s">
        <v>1169</v>
      </c>
      <c r="C105" s="21" t="s">
        <v>471</v>
      </c>
      <c r="D105" s="22">
        <v>230159</v>
      </c>
      <c r="E105" s="23" t="s">
        <v>377</v>
      </c>
      <c r="F105" s="23"/>
      <c r="G105" s="23">
        <v>116.57</v>
      </c>
      <c r="H105" s="24">
        <f t="shared" si="16"/>
        <v>1.1338279567310687</v>
      </c>
      <c r="I105" s="25">
        <f t="shared" si="17"/>
        <v>260960.70869326606</v>
      </c>
      <c r="J105" s="26">
        <v>1.03</v>
      </c>
      <c r="K105" s="24">
        <f t="shared" si="18"/>
        <v>1.0249625154512234</v>
      </c>
      <c r="L105" s="25">
        <f t="shared" si="19"/>
        <v>235904.34759373812</v>
      </c>
      <c r="M105" s="26">
        <v>14.87</v>
      </c>
      <c r="N105" s="27">
        <v>22590</v>
      </c>
      <c r="O105" s="28">
        <f t="shared" si="14"/>
        <v>1519.1661062542032</v>
      </c>
      <c r="P105" s="153" t="s">
        <v>3778</v>
      </c>
      <c r="Q105" s="24">
        <f>IF(ISERR(O105),VLOOKUP(P105,'Other corrections needed'!$A$3:$E$6,5,FALSE),IF(O105=0,VLOOKUP(P105,'Other corrections needed'!$A$3:$E$6,5,FALSE),O105/O$156))</f>
        <v>1.3392493269489627</v>
      </c>
      <c r="R105" s="169">
        <f t="shared" si="15"/>
        <v>308240.28584124631</v>
      </c>
    </row>
    <row r="106" spans="1:18" x14ac:dyDescent="0.2">
      <c r="A106" s="21" t="s">
        <v>1167</v>
      </c>
      <c r="B106" s="21" t="s">
        <v>3480</v>
      </c>
      <c r="C106" s="21" t="s">
        <v>472</v>
      </c>
      <c r="D106" s="22">
        <v>254027</v>
      </c>
      <c r="E106" s="23" t="s">
        <v>377</v>
      </c>
      <c r="F106" s="23"/>
      <c r="G106" s="23">
        <v>119.39</v>
      </c>
      <c r="H106" s="24">
        <f t="shared" si="16"/>
        <v>1.1612569250589544</v>
      </c>
      <c r="I106" s="25">
        <f t="shared" si="17"/>
        <v>294990.61290195101</v>
      </c>
      <c r="J106" s="26">
        <v>1.1100000000000001</v>
      </c>
      <c r="K106" s="24">
        <f t="shared" si="18"/>
        <v>1.1045712545153963</v>
      </c>
      <c r="L106" s="25">
        <f t="shared" si="19"/>
        <v>280590.92207078257</v>
      </c>
      <c r="M106" s="26">
        <v>3.1</v>
      </c>
      <c r="N106" s="27">
        <v>19141</v>
      </c>
      <c r="O106" s="28">
        <f t="shared" si="14"/>
        <v>6174.5161290322576</v>
      </c>
      <c r="P106" s="153" t="s">
        <v>3779</v>
      </c>
      <c r="Q106" s="24">
        <f>IF(ISERR(O106),VLOOKUP(P106,'Other corrections needed'!$A$3:$E$6,5,FALSE),IF(O106=0,VLOOKUP(P106,'Other corrections needed'!$A$3:$E$6,5,FALSE),O106/O$156))</f>
        <v>5.4432603097177523</v>
      </c>
      <c r="R106" s="169">
        <f t="shared" si="15"/>
        <v>1382735.0866966716</v>
      </c>
    </row>
    <row r="107" spans="1:18" x14ac:dyDescent="0.2">
      <c r="A107" s="21" t="s">
        <v>1167</v>
      </c>
      <c r="B107" s="21" t="s">
        <v>3397</v>
      </c>
      <c r="C107" s="21" t="s">
        <v>473</v>
      </c>
      <c r="D107" s="22">
        <v>222184</v>
      </c>
      <c r="E107" s="23" t="s">
        <v>377</v>
      </c>
      <c r="F107" s="23" t="s">
        <v>1326</v>
      </c>
      <c r="G107" s="23">
        <v>119.95</v>
      </c>
      <c r="H107" s="24">
        <f t="shared" si="16"/>
        <v>1.1667038123864777</v>
      </c>
      <c r="I107" s="25">
        <f t="shared" si="17"/>
        <v>259222.91985127717</v>
      </c>
      <c r="J107" s="26">
        <v>1.1100000000000001</v>
      </c>
      <c r="K107" s="24">
        <f t="shared" si="18"/>
        <v>1.1045712545153963</v>
      </c>
      <c r="L107" s="25">
        <f t="shared" si="19"/>
        <v>245418.0596132488</v>
      </c>
      <c r="M107" s="26">
        <v>9.4562000000000008</v>
      </c>
      <c r="N107" s="27">
        <v>7550</v>
      </c>
      <c r="O107" s="28">
        <f t="shared" si="14"/>
        <v>798.41796916308874</v>
      </c>
      <c r="P107" s="153" t="s">
        <v>3780</v>
      </c>
      <c r="Q107" s="24">
        <f>IF(ISERR(O107),VLOOKUP(P107,'Other corrections needed'!$A$3:$E$6,5,FALSE),IF(O107=0,VLOOKUP(P107,'Other corrections needed'!$A$3:$E$6,5,FALSE),O107/O$156))</f>
        <v>0.70386031087946133</v>
      </c>
      <c r="R107" s="169">
        <f t="shared" si="15"/>
        <v>156386.49931244223</v>
      </c>
    </row>
    <row r="108" spans="1:18" x14ac:dyDescent="0.2">
      <c r="A108" s="21" t="s">
        <v>1167</v>
      </c>
      <c r="B108" s="21" t="s">
        <v>3460</v>
      </c>
      <c r="C108" s="21" t="s">
        <v>474</v>
      </c>
      <c r="D108" s="22">
        <v>190731</v>
      </c>
      <c r="E108" s="23" t="s">
        <v>377</v>
      </c>
      <c r="F108" s="23"/>
      <c r="G108" s="23">
        <v>126.55</v>
      </c>
      <c r="H108" s="24">
        <f t="shared" si="16"/>
        <v>1.2308992701751458</v>
      </c>
      <c r="I108" s="25">
        <f t="shared" si="17"/>
        <v>234770.64869977572</v>
      </c>
      <c r="J108" s="26">
        <v>1.21</v>
      </c>
      <c r="K108" s="24">
        <f>J108/K$156</f>
        <v>1.2040821783456119</v>
      </c>
      <c r="L108" s="25">
        <f t="shared" si="19"/>
        <v>229655.79795803691</v>
      </c>
      <c r="M108" s="26">
        <v>2.58</v>
      </c>
      <c r="N108" s="27">
        <v>4629</v>
      </c>
      <c r="O108" s="28">
        <f t="shared" si="14"/>
        <v>1794.1860465116279</v>
      </c>
      <c r="P108" s="153" t="s">
        <v>3781</v>
      </c>
      <c r="Q108" s="24">
        <f>IF(ISERR(O108),VLOOKUP(P108,'Other corrections needed'!$A$3:$E$6,5,FALSE),IF(O108=0,VLOOKUP(P108,'Other corrections needed'!$A$3:$E$6,5,FALSE),O108/O$156))</f>
        <v>1.5816983049579998</v>
      </c>
      <c r="R108" s="169">
        <f t="shared" si="15"/>
        <v>301678.89940294425</v>
      </c>
    </row>
    <row r="109" spans="1:18" x14ac:dyDescent="0.2">
      <c r="A109" s="21" t="s">
        <v>1167</v>
      </c>
      <c r="B109" s="21" t="s">
        <v>3439</v>
      </c>
      <c r="C109" s="21" t="s">
        <v>475</v>
      </c>
      <c r="D109" s="22">
        <v>188962</v>
      </c>
      <c r="E109" s="23" t="s">
        <v>377</v>
      </c>
      <c r="F109" s="23" t="s">
        <v>2312</v>
      </c>
      <c r="G109" s="23">
        <v>126.15</v>
      </c>
      <c r="H109" s="24">
        <f t="shared" si="16"/>
        <v>1.2270086363697721</v>
      </c>
      <c r="I109" s="25">
        <f t="shared" si="17"/>
        <v>231858.00594570488</v>
      </c>
      <c r="J109" s="26">
        <v>1.29</v>
      </c>
      <c r="K109" s="24">
        <f t="shared" si="18"/>
        <v>1.2836909174097848</v>
      </c>
      <c r="L109" s="25">
        <f t="shared" si="19"/>
        <v>242568.80313558775</v>
      </c>
      <c r="M109" s="26">
        <v>4.0190000000000001</v>
      </c>
      <c r="N109" s="27">
        <v>22269</v>
      </c>
      <c r="O109" s="28">
        <f t="shared" si="14"/>
        <v>5540.9305797462057</v>
      </c>
      <c r="P109" s="153" t="s">
        <v>3782</v>
      </c>
      <c r="Q109" s="24">
        <f>IF(ISERR(O109),VLOOKUP(P109,'Other corrections needed'!$A$3:$E$6,5,FALSE),IF(O109=0,VLOOKUP(P109,'Other corrections needed'!$A$3:$E$6,5,FALSE),O109/O$156))</f>
        <v>4.8847111050240368</v>
      </c>
      <c r="R109" s="169">
        <f t="shared" si="15"/>
        <v>923024.77982755203</v>
      </c>
    </row>
    <row r="110" spans="1:18" x14ac:dyDescent="0.2">
      <c r="A110" s="21" t="s">
        <v>1167</v>
      </c>
      <c r="B110" s="21" t="s">
        <v>3455</v>
      </c>
      <c r="C110" s="21" t="s">
        <v>476</v>
      </c>
      <c r="D110" s="22">
        <v>161978</v>
      </c>
      <c r="E110" s="23" t="s">
        <v>377</v>
      </c>
      <c r="F110" s="23"/>
      <c r="G110" s="23">
        <v>119.52</v>
      </c>
      <c r="H110" s="24">
        <f t="shared" si="16"/>
        <v>1.1625213810457007</v>
      </c>
      <c r="I110" s="25">
        <f t="shared" si="17"/>
        <v>188302.88825902052</v>
      </c>
      <c r="J110" s="26">
        <v>1.1799999999999899</v>
      </c>
      <c r="K110" s="24">
        <f t="shared" si="18"/>
        <v>1.1742289011965372</v>
      </c>
      <c r="L110" s="25">
        <f t="shared" si="19"/>
        <v>190199.2489580127</v>
      </c>
      <c r="M110" s="26">
        <v>3.0229999999999997</v>
      </c>
      <c r="N110" s="27">
        <v>13568</v>
      </c>
      <c r="O110" s="28">
        <f t="shared" si="14"/>
        <v>4488.2566986437323</v>
      </c>
      <c r="P110" s="153" t="s">
        <v>3783</v>
      </c>
      <c r="Q110" s="24">
        <f>IF(ISERR(O110),VLOOKUP(P110,'Other corrections needed'!$A$3:$E$6,5,FALSE),IF(O110=0,VLOOKUP(P110,'Other corrections needed'!$A$3:$E$6,5,FALSE),O110/O$156))</f>
        <v>3.9567067341002042</v>
      </c>
      <c r="R110" s="169">
        <f t="shared" si="15"/>
        <v>640899.44337608293</v>
      </c>
    </row>
    <row r="111" spans="1:18" x14ac:dyDescent="0.2">
      <c r="A111" s="21" t="s">
        <v>1167</v>
      </c>
      <c r="B111" s="21" t="s">
        <v>3453</v>
      </c>
      <c r="C111" s="21" t="s">
        <v>477</v>
      </c>
      <c r="D111" s="22">
        <v>273999</v>
      </c>
      <c r="E111" s="23" t="s">
        <v>377</v>
      </c>
      <c r="F111" s="23"/>
      <c r="G111" s="23">
        <v>125.14</v>
      </c>
      <c r="H111" s="24">
        <f t="shared" si="16"/>
        <v>1.2171847860112031</v>
      </c>
      <c r="I111" s="25">
        <f t="shared" si="17"/>
        <v>333507.41418228362</v>
      </c>
      <c r="J111" s="26">
        <v>1.22</v>
      </c>
      <c r="K111" s="24">
        <f t="shared" si="18"/>
        <v>1.2140332707286337</v>
      </c>
      <c r="L111" s="25">
        <f t="shared" si="19"/>
        <v>332643.90214637486</v>
      </c>
      <c r="M111" s="26">
        <v>2.6324000000000001</v>
      </c>
      <c r="N111" s="27">
        <v>18010</v>
      </c>
      <c r="O111" s="28">
        <f t="shared" si="14"/>
        <v>6841.6654003950762</v>
      </c>
      <c r="P111" s="153" t="s">
        <v>3784</v>
      </c>
      <c r="Q111" s="24">
        <f>IF(ISERR(O111),VLOOKUP(P111,'Other corrections needed'!$A$3:$E$6,5,FALSE),IF(O111=0,VLOOKUP(P111,'Other corrections needed'!$A$3:$E$6,5,FALSE),O111/O$156))</f>
        <v>6.0313982420799945</v>
      </c>
      <c r="R111" s="169">
        <f t="shared" si="15"/>
        <v>1652597.0869316764</v>
      </c>
    </row>
    <row r="112" spans="1:18" x14ac:dyDescent="0.2">
      <c r="A112" s="21" t="s">
        <v>1167</v>
      </c>
      <c r="B112" s="21" t="s">
        <v>3482</v>
      </c>
      <c r="C112" s="21" t="s">
        <v>478</v>
      </c>
      <c r="D112" s="22">
        <v>258913</v>
      </c>
      <c r="E112" s="23" t="s">
        <v>377</v>
      </c>
      <c r="F112" s="23"/>
      <c r="G112" s="23">
        <v>121.33</v>
      </c>
      <c r="H112" s="24">
        <f t="shared" si="16"/>
        <v>1.1801264990150173</v>
      </c>
      <c r="I112" s="25">
        <f t="shared" si="17"/>
        <v>305550.09223947517</v>
      </c>
      <c r="J112" s="26">
        <v>1.1200000000000001</v>
      </c>
      <c r="K112" s="24">
        <f t="shared" si="18"/>
        <v>1.1145223468984178</v>
      </c>
      <c r="L112" s="25">
        <f t="shared" si="19"/>
        <v>288564.32440251007</v>
      </c>
      <c r="M112" s="26">
        <v>4.4381000000000004</v>
      </c>
      <c r="N112" s="27">
        <v>11783</v>
      </c>
      <c r="O112" s="28">
        <f t="shared" si="14"/>
        <v>2654.9649624839458</v>
      </c>
      <c r="P112" s="153" t="s">
        <v>3785</v>
      </c>
      <c r="Q112" s="24">
        <f>IF(ISERR(O112),VLOOKUP(P112,'Other corrections needed'!$A$3:$E$6,5,FALSE),IF(O112=0,VLOOKUP(P112,'Other corrections needed'!$A$3:$E$6,5,FALSE),O112/O$156))</f>
        <v>2.3405340761892508</v>
      </c>
      <c r="R112" s="169">
        <f t="shared" si="15"/>
        <v>605994.69926838751</v>
      </c>
    </row>
    <row r="113" spans="1:18" x14ac:dyDescent="0.2">
      <c r="A113" s="21" t="s">
        <v>1167</v>
      </c>
      <c r="B113" s="21" t="s">
        <v>3462</v>
      </c>
      <c r="C113" s="21" t="s">
        <v>479</v>
      </c>
      <c r="D113" s="22">
        <v>247591</v>
      </c>
      <c r="E113" s="23" t="s">
        <v>377</v>
      </c>
      <c r="F113" s="23"/>
      <c r="G113" s="23">
        <v>121.8</v>
      </c>
      <c r="H113" s="24">
        <f t="shared" si="16"/>
        <v>1.1846979937363316</v>
      </c>
      <c r="I113" s="25">
        <f t="shared" si="17"/>
        <v>293320.56096717209</v>
      </c>
      <c r="J113" s="26">
        <v>1.0900000000000001</v>
      </c>
      <c r="K113" s="24">
        <f t="shared" si="18"/>
        <v>1.0846690697493531</v>
      </c>
      <c r="L113" s="25">
        <f t="shared" si="19"/>
        <v>268554.2996483121</v>
      </c>
      <c r="M113" s="26">
        <v>3.4569999999999999</v>
      </c>
      <c r="N113" s="27">
        <v>14939</v>
      </c>
      <c r="O113" s="28">
        <f t="shared" si="14"/>
        <v>4321.3769164015048</v>
      </c>
      <c r="P113" s="153" t="s">
        <v>3786</v>
      </c>
      <c r="Q113" s="24">
        <f>IF(ISERR(O113),VLOOKUP(P113,'Other corrections needed'!$A$3:$E$6,5,FALSE),IF(O113=0,VLOOKUP(P113,'Other corrections needed'!$A$3:$E$6,5,FALSE),O113/O$156))</f>
        <v>3.8095907372851094</v>
      </c>
      <c r="R113" s="169">
        <f t="shared" si="15"/>
        <v>943220.38023515756</v>
      </c>
    </row>
    <row r="114" spans="1:18" x14ac:dyDescent="0.2">
      <c r="A114" s="21" t="s">
        <v>1167</v>
      </c>
      <c r="B114" s="21" t="s">
        <v>3464</v>
      </c>
      <c r="C114" s="21" t="s">
        <v>480</v>
      </c>
      <c r="D114" s="22">
        <v>259679</v>
      </c>
      <c r="E114" s="23" t="s">
        <v>377</v>
      </c>
      <c r="F114" s="23"/>
      <c r="G114" s="23">
        <v>118.07</v>
      </c>
      <c r="H114" s="24">
        <f t="shared" si="16"/>
        <v>1.1484178335012205</v>
      </c>
      <c r="I114" s="25">
        <f t="shared" si="17"/>
        <v>298219.99458576343</v>
      </c>
      <c r="J114" s="26">
        <v>1.08</v>
      </c>
      <c r="K114" s="24">
        <f t="shared" si="18"/>
        <v>1.0747179773663313</v>
      </c>
      <c r="L114" s="25">
        <f t="shared" si="19"/>
        <v>279081.68964451156</v>
      </c>
      <c r="M114" s="26">
        <v>4.03</v>
      </c>
      <c r="N114" s="27">
        <v>11455</v>
      </c>
      <c r="O114" s="28">
        <f t="shared" si="14"/>
        <v>2842.4317617866004</v>
      </c>
      <c r="P114" s="153" t="s">
        <v>3787</v>
      </c>
      <c r="Q114" s="24">
        <f>IF(ISERR(O114),VLOOKUP(P114,'Other corrections needed'!$A$3:$E$6,5,FALSE),IF(O114=0,VLOOKUP(P114,'Other corrections needed'!$A$3:$E$6,5,FALSE),O114/O$156))</f>
        <v>2.5057989433803738</v>
      </c>
      <c r="R114" s="169">
        <f t="shared" si="15"/>
        <v>650703.36381807213</v>
      </c>
    </row>
    <row r="115" spans="1:18" x14ac:dyDescent="0.2">
      <c r="A115" s="21" t="s">
        <v>1167</v>
      </c>
      <c r="B115" s="21" t="s">
        <v>481</v>
      </c>
      <c r="C115" s="21" t="s">
        <v>482</v>
      </c>
      <c r="D115" s="22">
        <v>184996</v>
      </c>
      <c r="E115" s="23" t="s">
        <v>377</v>
      </c>
      <c r="F115" s="23"/>
      <c r="G115" s="23">
        <v>118.92</v>
      </c>
      <c r="H115" s="24">
        <f t="shared" si="16"/>
        <v>1.1566854303376402</v>
      </c>
      <c r="I115" s="25">
        <f t="shared" si="17"/>
        <v>213982.17787074207</v>
      </c>
      <c r="J115" s="26">
        <v>1.1499999999999899</v>
      </c>
      <c r="K115" s="24">
        <f t="shared" si="18"/>
        <v>1.1443756240474725</v>
      </c>
      <c r="L115" s="25">
        <f t="shared" si="19"/>
        <v>211704.91294628623</v>
      </c>
      <c r="M115" s="26">
        <v>2.0609999999999999</v>
      </c>
      <c r="N115" s="27">
        <v>7664</v>
      </c>
      <c r="O115" s="28">
        <f t="shared" si="14"/>
        <v>3718.5832120329937</v>
      </c>
      <c r="P115" s="153" t="s">
        <v>3788</v>
      </c>
      <c r="Q115" s="24">
        <f>IF(ISERR(O115),VLOOKUP(P115,'Other corrections needed'!$A$3:$E$6,5,FALSE),IF(O115=0,VLOOKUP(P115,'Other corrections needed'!$A$3:$E$6,5,FALSE),O115/O$156))</f>
        <v>3.278186660047544</v>
      </c>
      <c r="R115" s="169">
        <f t="shared" si="15"/>
        <v>606451.41936215549</v>
      </c>
    </row>
    <row r="116" spans="1:18" x14ac:dyDescent="0.2">
      <c r="A116" s="21" t="s">
        <v>1167</v>
      </c>
      <c r="B116" s="21" t="s">
        <v>3447</v>
      </c>
      <c r="C116" s="21" t="s">
        <v>483</v>
      </c>
      <c r="D116" s="22">
        <v>281138</v>
      </c>
      <c r="E116" s="23" t="s">
        <v>377</v>
      </c>
      <c r="F116" s="23"/>
      <c r="G116" s="23">
        <v>124.99</v>
      </c>
      <c r="H116" s="24">
        <f t="shared" si="16"/>
        <v>1.2157257983341878</v>
      </c>
      <c r="I116" s="25">
        <f t="shared" si="17"/>
        <v>341786.7194920769</v>
      </c>
      <c r="J116" s="26">
        <v>1.22</v>
      </c>
      <c r="K116" s="24">
        <f t="shared" si="18"/>
        <v>1.2140332707286337</v>
      </c>
      <c r="L116" s="25">
        <f t="shared" si="19"/>
        <v>341310.88566610659</v>
      </c>
      <c r="M116" s="26">
        <v>5.9085999999999999</v>
      </c>
      <c r="N116" s="27">
        <v>29966</v>
      </c>
      <c r="O116" s="28">
        <f t="shared" si="14"/>
        <v>5071.5905629083036</v>
      </c>
      <c r="P116" s="153" t="s">
        <v>3789</v>
      </c>
      <c r="Q116" s="24">
        <f>IF(ISERR(O116),VLOOKUP(P116,'Other corrections needed'!$A$3:$E$6,5,FALSE),IF(O116=0,VLOOKUP(P116,'Other corrections needed'!$A$3:$E$6,5,FALSE),O116/O$156))</f>
        <v>4.4709556249138203</v>
      </c>
      <c r="R116" s="169">
        <f t="shared" si="15"/>
        <v>1256955.5224770217</v>
      </c>
    </row>
    <row r="117" spans="1:18" x14ac:dyDescent="0.2">
      <c r="A117" s="21" t="s">
        <v>1167</v>
      </c>
      <c r="B117" s="21" t="s">
        <v>3444</v>
      </c>
      <c r="C117" s="21" t="s">
        <v>484</v>
      </c>
      <c r="D117" s="22">
        <v>391490</v>
      </c>
      <c r="E117" s="23" t="s">
        <v>377</v>
      </c>
      <c r="F117" s="23"/>
      <c r="G117" s="23">
        <v>118.78</v>
      </c>
      <c r="H117" s="24">
        <f t="shared" si="16"/>
        <v>1.1553237085057593</v>
      </c>
      <c r="I117" s="25">
        <f t="shared" si="17"/>
        <v>452297.67864291969</v>
      </c>
      <c r="J117" s="26">
        <v>1.1499999999999899</v>
      </c>
      <c r="K117" s="24">
        <f t="shared" si="18"/>
        <v>1.1443756240474725</v>
      </c>
      <c r="L117" s="25">
        <f t="shared" si="19"/>
        <v>448011.61305834498</v>
      </c>
      <c r="M117" s="26">
        <v>22.6206</v>
      </c>
      <c r="N117" s="27">
        <v>43087</v>
      </c>
      <c r="O117" s="28">
        <f t="shared" si="14"/>
        <v>1904.7682201179457</v>
      </c>
      <c r="P117" s="153" t="s">
        <v>3790</v>
      </c>
      <c r="Q117" s="24">
        <f>IF(ISERR(O117),VLOOKUP(P117,'Other corrections needed'!$A$3:$E$6,5,FALSE),IF(O117=0,VLOOKUP(P117,'Other corrections needed'!$A$3:$E$6,5,FALSE),O117/O$156))</f>
        <v>1.6791840907223865</v>
      </c>
      <c r="R117" s="169">
        <f t="shared" si="15"/>
        <v>657383.77967690711</v>
      </c>
    </row>
    <row r="118" spans="1:18" x14ac:dyDescent="0.2">
      <c r="A118" s="21" t="s">
        <v>1167</v>
      </c>
      <c r="B118" s="21" t="s">
        <v>1175</v>
      </c>
      <c r="C118" s="21" t="s">
        <v>485</v>
      </c>
      <c r="D118" s="22">
        <v>223026</v>
      </c>
      <c r="E118" s="23" t="s">
        <v>377</v>
      </c>
      <c r="F118" s="23"/>
      <c r="G118" s="23">
        <v>126.23</v>
      </c>
      <c r="H118" s="24">
        <f t="shared" si="16"/>
        <v>1.2277867631308468</v>
      </c>
      <c r="I118" s="25">
        <f t="shared" si="17"/>
        <v>273828.37063402025</v>
      </c>
      <c r="J118" s="26">
        <v>1.18999999999999</v>
      </c>
      <c r="K118" s="24">
        <f t="shared" si="18"/>
        <v>1.1841799935795587</v>
      </c>
      <c r="L118" s="25">
        <f t="shared" si="19"/>
        <v>264102.92724807467</v>
      </c>
      <c r="M118" s="26">
        <v>4.8099999999999996</v>
      </c>
      <c r="N118" s="27">
        <v>16642</v>
      </c>
      <c r="O118" s="28">
        <f t="shared" si="14"/>
        <v>3459.8752598752603</v>
      </c>
      <c r="P118" s="153" t="s">
        <v>3791</v>
      </c>
      <c r="Q118" s="24">
        <f>IF(ISERR(O118),VLOOKUP(P118,'Other corrections needed'!$A$3:$E$6,5,FALSE),IF(O118=0,VLOOKUP(P118,'Other corrections needed'!$A$3:$E$6,5,FALSE),O118/O$156))</f>
        <v>3.0501178205854207</v>
      </c>
      <c r="R118" s="169">
        <f t="shared" si="15"/>
        <v>680255.57705388404</v>
      </c>
    </row>
    <row r="119" spans="1:18" x14ac:dyDescent="0.2">
      <c r="A119" s="21" t="s">
        <v>1167</v>
      </c>
      <c r="B119" s="21" t="s">
        <v>3494</v>
      </c>
      <c r="C119" s="21" t="s">
        <v>486</v>
      </c>
      <c r="D119" s="22">
        <v>222318</v>
      </c>
      <c r="E119" s="23" t="s">
        <v>377</v>
      </c>
      <c r="F119" s="23"/>
      <c r="G119" s="23">
        <v>119.96</v>
      </c>
      <c r="H119" s="24">
        <f t="shared" si="16"/>
        <v>1.1668010782316121</v>
      </c>
      <c r="I119" s="25">
        <f t="shared" si="17"/>
        <v>259400.88211029553</v>
      </c>
      <c r="J119" s="26">
        <v>1.1200000000000001</v>
      </c>
      <c r="K119" s="24">
        <f t="shared" si="18"/>
        <v>1.1145223468984178</v>
      </c>
      <c r="L119" s="25">
        <f t="shared" si="19"/>
        <v>247778.37911776244</v>
      </c>
      <c r="M119" s="26">
        <v>4.5999999999999996</v>
      </c>
      <c r="N119" s="27">
        <v>4980</v>
      </c>
      <c r="O119" s="28">
        <f t="shared" si="14"/>
        <v>1082.608695652174</v>
      </c>
      <c r="P119" s="153" t="s">
        <v>3792</v>
      </c>
      <c r="Q119" s="24">
        <f>IF(ISERR(O119),VLOOKUP(P119,'Other corrections needed'!$A$3:$E$6,5,FALSE),IF(O119=0,VLOOKUP(P119,'Other corrections needed'!$A$3:$E$6,5,FALSE),O119/O$156))</f>
        <v>0.95439396721154757</v>
      </c>
      <c r="R119" s="169">
        <f t="shared" si="15"/>
        <v>212178.95800253682</v>
      </c>
    </row>
    <row r="120" spans="1:18" x14ac:dyDescent="0.2">
      <c r="A120" s="21" t="s">
        <v>1167</v>
      </c>
      <c r="B120" s="21" t="s">
        <v>3476</v>
      </c>
      <c r="C120" s="21" t="s">
        <v>487</v>
      </c>
      <c r="D120" s="22">
        <v>287968</v>
      </c>
      <c r="E120" s="23" t="s">
        <v>377</v>
      </c>
      <c r="F120" s="23"/>
      <c r="G120" s="23">
        <v>123.28</v>
      </c>
      <c r="H120" s="24">
        <f t="shared" si="16"/>
        <v>1.1990933388162148</v>
      </c>
      <c r="I120" s="25">
        <f t="shared" si="17"/>
        <v>345300.51059222774</v>
      </c>
      <c r="J120" s="26">
        <v>1.21</v>
      </c>
      <c r="K120" s="24">
        <f t="shared" si="18"/>
        <v>1.2040821783456119</v>
      </c>
      <c r="L120" s="25">
        <f t="shared" si="19"/>
        <v>346737.13673382916</v>
      </c>
      <c r="M120" s="26">
        <v>9.0306999999999995</v>
      </c>
      <c r="N120" s="27">
        <v>36143</v>
      </c>
      <c r="O120" s="28">
        <f t="shared" si="14"/>
        <v>4002.2368144219167</v>
      </c>
      <c r="P120" s="153" t="s">
        <v>3793</v>
      </c>
      <c r="Q120" s="24">
        <f>IF(ISERR(O120),VLOOKUP(P120,'Other corrections needed'!$A$3:$E$6,5,FALSE),IF(O120=0,VLOOKUP(P120,'Other corrections needed'!$A$3:$E$6,5,FALSE),O120/O$156))</f>
        <v>3.5282468045716264</v>
      </c>
      <c r="R120" s="169">
        <f t="shared" si="15"/>
        <v>1016022.1758188821</v>
      </c>
    </row>
    <row r="121" spans="1:18" x14ac:dyDescent="0.2">
      <c r="A121" s="21" t="s">
        <v>1167</v>
      </c>
      <c r="B121" s="21" t="s">
        <v>3451</v>
      </c>
      <c r="C121" s="21" t="s">
        <v>488</v>
      </c>
      <c r="D121" s="22">
        <v>250662</v>
      </c>
      <c r="E121" s="23" t="s">
        <v>377</v>
      </c>
      <c r="F121" s="23" t="s">
        <v>2312</v>
      </c>
      <c r="G121" s="23">
        <v>126.2</v>
      </c>
      <c r="H121" s="24">
        <f t="shared" si="16"/>
        <v>1.2274949655954439</v>
      </c>
      <c r="I121" s="25">
        <f t="shared" si="17"/>
        <v>307686.34306608519</v>
      </c>
      <c r="J121" s="26">
        <v>1.28</v>
      </c>
      <c r="K121" s="24">
        <f t="shared" si="18"/>
        <v>1.2737398250267631</v>
      </c>
      <c r="L121" s="25">
        <f t="shared" si="19"/>
        <v>319278.1720208585</v>
      </c>
      <c r="M121" s="26">
        <v>1.3219999999999998</v>
      </c>
      <c r="N121" s="27">
        <v>16129</v>
      </c>
      <c r="O121" s="28">
        <f t="shared" si="14"/>
        <v>12200.453857791226</v>
      </c>
      <c r="P121" s="153" t="s">
        <v>3794</v>
      </c>
      <c r="Q121" s="24">
        <f>IF(ISERR(O121),VLOOKUP(P121,'Other corrections needed'!$A$3:$E$6,5,FALSE),IF(O121=0,VLOOKUP(P121,'Other corrections needed'!$A$3:$E$6,5,FALSE),O121/O$156))</f>
        <v>10.755538548583628</v>
      </c>
      <c r="R121" s="169">
        <f t="shared" si="15"/>
        <v>2696004.8036650694</v>
      </c>
    </row>
    <row r="122" spans="1:18" s="38" customFormat="1" x14ac:dyDescent="0.2">
      <c r="A122" s="30" t="s">
        <v>3496</v>
      </c>
      <c r="B122" s="30" t="s">
        <v>3500</v>
      </c>
      <c r="C122" s="30" t="s">
        <v>489</v>
      </c>
      <c r="D122" s="31">
        <v>254545</v>
      </c>
      <c r="E122" s="32" t="s">
        <v>547</v>
      </c>
      <c r="F122" s="32"/>
      <c r="G122" s="32">
        <v>100.23</v>
      </c>
      <c r="H122" s="33">
        <f t="shared" si="16"/>
        <v>0.97489556578154779</v>
      </c>
      <c r="I122" s="34">
        <f t="shared" si="17"/>
        <v>248154.79179186409</v>
      </c>
      <c r="J122" s="35">
        <v>1.08</v>
      </c>
      <c r="K122" s="33">
        <f t="shared" si="18"/>
        <v>1.0747179773663313</v>
      </c>
      <c r="L122" s="25">
        <f t="shared" si="19"/>
        <v>273564.08754871279</v>
      </c>
      <c r="M122" s="35">
        <v>0</v>
      </c>
      <c r="N122" s="36">
        <v>133</v>
      </c>
      <c r="O122" s="37" t="e">
        <f t="shared" si="14"/>
        <v>#DIV/0!</v>
      </c>
      <c r="P122" s="154" t="s">
        <v>3795</v>
      </c>
      <c r="Q122" s="33">
        <f ca="1">IF(ISERR(O122),VLOOKUP(P122,'Other corrections needed'!$A$3:$E$6,5,FALSE),IF(O122=0,VLOOKUP(P122,'Other corrections needed'!$A$3:$E$6,5,FALSE),O122/O$156))</f>
        <v>1.2135119128782981</v>
      </c>
      <c r="R122" s="169">
        <f t="shared" ca="1" si="15"/>
        <v>308893.38986360637</v>
      </c>
    </row>
    <row r="123" spans="1:18" x14ac:dyDescent="0.2">
      <c r="A123" s="21" t="s">
        <v>3496</v>
      </c>
      <c r="B123" s="21" t="s">
        <v>187</v>
      </c>
      <c r="C123" s="21" t="s">
        <v>490</v>
      </c>
      <c r="D123" s="22">
        <v>337897</v>
      </c>
      <c r="E123" s="23" t="s">
        <v>547</v>
      </c>
      <c r="F123" s="23"/>
      <c r="G123" s="23">
        <v>97.91</v>
      </c>
      <c r="H123" s="24">
        <f t="shared" si="16"/>
        <v>0.95232988971037957</v>
      </c>
      <c r="I123" s="25">
        <f t="shared" si="17"/>
        <v>321789.41274346813</v>
      </c>
      <c r="J123" s="26">
        <v>1.05</v>
      </c>
      <c r="K123" s="24">
        <f t="shared" si="18"/>
        <v>1.0448647002172666</v>
      </c>
      <c r="L123" s="25">
        <f t="shared" si="19"/>
        <v>353056.64760931372</v>
      </c>
      <c r="M123" s="26">
        <v>8.1509999999999998</v>
      </c>
      <c r="N123" s="27">
        <v>18655</v>
      </c>
      <c r="O123" s="28">
        <f t="shared" si="14"/>
        <v>2288.6762360446573</v>
      </c>
      <c r="P123" s="153" t="s">
        <v>3795</v>
      </c>
      <c r="Q123" s="24">
        <f>IF(ISERR(O123),VLOOKUP(P123,'Other corrections needed'!$A$3:$E$6,5,FALSE),IF(O123=0,VLOOKUP(P123,'Other corrections needed'!$A$3:$E$6,5,FALSE),O123/O$156))</f>
        <v>2.017625390737888</v>
      </c>
      <c r="R123" s="169">
        <f t="shared" si="15"/>
        <v>681749.56665416015</v>
      </c>
    </row>
    <row r="124" spans="1:18" x14ac:dyDescent="0.2">
      <c r="A124" s="21" t="s">
        <v>3496</v>
      </c>
      <c r="B124" s="21" t="s">
        <v>3503</v>
      </c>
      <c r="C124" s="21" t="s">
        <v>491</v>
      </c>
      <c r="D124" s="22">
        <v>742731</v>
      </c>
      <c r="E124" s="23" t="s">
        <v>547</v>
      </c>
      <c r="F124" s="23" t="s">
        <v>1340</v>
      </c>
      <c r="G124" s="23">
        <v>97.43</v>
      </c>
      <c r="H124" s="24">
        <f t="shared" si="16"/>
        <v>0.94766112914393108</v>
      </c>
      <c r="I124" s="25">
        <f t="shared" si="17"/>
        <v>703857.29811020102</v>
      </c>
      <c r="J124" s="26">
        <v>1.05</v>
      </c>
      <c r="K124" s="24">
        <f t="shared" si="18"/>
        <v>1.0448647002172666</v>
      </c>
      <c r="L124" s="25">
        <f t="shared" si="19"/>
        <v>776053.40365707071</v>
      </c>
      <c r="M124" s="26">
        <v>19.010000000000002</v>
      </c>
      <c r="N124" s="27">
        <v>11086</v>
      </c>
      <c r="O124" s="28">
        <f t="shared" si="14"/>
        <v>583.16675433982107</v>
      </c>
      <c r="P124" s="153" t="s">
        <v>3796</v>
      </c>
      <c r="Q124" s="24">
        <f>IF(ISERR(O124),VLOOKUP(P124,'Other corrections needed'!$A$3:$E$6,5,FALSE),IF(O124=0,VLOOKUP(P124,'Other corrections needed'!$A$3:$E$6,5,FALSE),O124/O$156))</f>
        <v>0.5141015719303641</v>
      </c>
      <c r="R124" s="169">
        <f t="shared" si="15"/>
        <v>381839.17462141125</v>
      </c>
    </row>
    <row r="125" spans="1:18" x14ac:dyDescent="0.2">
      <c r="A125" s="21" t="s">
        <v>3496</v>
      </c>
      <c r="B125" s="21" t="s">
        <v>3505</v>
      </c>
      <c r="C125" s="21" t="s">
        <v>492</v>
      </c>
      <c r="D125" s="22">
        <v>178334</v>
      </c>
      <c r="E125" s="23" t="s">
        <v>547</v>
      </c>
      <c r="F125" s="23"/>
      <c r="G125" s="23">
        <v>93.48</v>
      </c>
      <c r="H125" s="24">
        <f t="shared" si="16"/>
        <v>0.90924112031586446</v>
      </c>
      <c r="I125" s="25">
        <f t="shared" si="17"/>
        <v>162148.60595040937</v>
      </c>
      <c r="J125" s="26">
        <v>1.08</v>
      </c>
      <c r="K125" s="24">
        <f t="shared" si="18"/>
        <v>1.0747179773663313</v>
      </c>
      <c r="L125" s="25">
        <f t="shared" si="19"/>
        <v>191658.75577564733</v>
      </c>
      <c r="M125" s="26">
        <v>3.12</v>
      </c>
      <c r="N125" s="27">
        <v>7269</v>
      </c>
      <c r="O125" s="28">
        <f t="shared" si="14"/>
        <v>2329.8076923076924</v>
      </c>
      <c r="P125" s="153" t="s">
        <v>3795</v>
      </c>
      <c r="Q125" s="24">
        <f>IF(ISERR(O125),VLOOKUP(P125,'Other corrections needed'!$A$3:$E$6,5,FALSE),IF(O125=0,VLOOKUP(P125,'Other corrections needed'!$A$3:$E$6,5,FALSE),O125/O$156))</f>
        <v>2.0538855961821261</v>
      </c>
      <c r="R125" s="169">
        <f t="shared" si="15"/>
        <v>366277.63390954328</v>
      </c>
    </row>
    <row r="126" spans="1:18" x14ac:dyDescent="0.2">
      <c r="A126" s="21" t="s">
        <v>3496</v>
      </c>
      <c r="B126" s="21" t="s">
        <v>3510</v>
      </c>
      <c r="C126" s="21" t="s">
        <v>493</v>
      </c>
      <c r="D126" s="22">
        <v>254109</v>
      </c>
      <c r="E126" s="23" t="s">
        <v>547</v>
      </c>
      <c r="F126" s="23"/>
      <c r="G126" s="23">
        <v>103.48</v>
      </c>
      <c r="H126" s="24">
        <f t="shared" si="16"/>
        <v>1.0065069654502101</v>
      </c>
      <c r="I126" s="25">
        <f t="shared" si="17"/>
        <v>255762.47848358745</v>
      </c>
      <c r="J126" s="26">
        <v>1.07</v>
      </c>
      <c r="K126" s="24">
        <f t="shared" si="18"/>
        <v>1.0647668849833098</v>
      </c>
      <c r="L126" s="25">
        <f t="shared" si="19"/>
        <v>270566.84837622388</v>
      </c>
      <c r="M126" s="26">
        <v>4.8499999999999996</v>
      </c>
      <c r="N126" s="27">
        <v>7752</v>
      </c>
      <c r="O126" s="28">
        <f t="shared" si="14"/>
        <v>1598.3505154639176</v>
      </c>
      <c r="P126" s="153" t="s">
        <v>3796</v>
      </c>
      <c r="Q126" s="24">
        <f>IF(ISERR(O126),VLOOKUP(P126,'Other corrections needed'!$A$3:$E$6,5,FALSE),IF(O126=0,VLOOKUP(P126,'Other corrections needed'!$A$3:$E$6,5,FALSE),O126/O$156))</f>
        <v>1.409055825594751</v>
      </c>
      <c r="R126" s="169">
        <f t="shared" si="15"/>
        <v>358053.76678605657</v>
      </c>
    </row>
    <row r="127" spans="1:18" x14ac:dyDescent="0.2">
      <c r="A127" s="21" t="s">
        <v>3496</v>
      </c>
      <c r="B127" s="21" t="s">
        <v>3498</v>
      </c>
      <c r="C127" s="21" t="s">
        <v>494</v>
      </c>
      <c r="D127" s="22">
        <v>1098689</v>
      </c>
      <c r="E127" s="23" t="s">
        <v>547</v>
      </c>
      <c r="F127" s="23"/>
      <c r="G127" s="23">
        <v>115.72</v>
      </c>
      <c r="H127" s="24">
        <f t="shared" si="16"/>
        <v>1.1255603598946493</v>
      </c>
      <c r="I127" s="25">
        <f t="shared" si="17"/>
        <v>1236640.7862522923</v>
      </c>
      <c r="J127" s="26">
        <v>1.1100000000000001</v>
      </c>
      <c r="K127" s="24">
        <f t="shared" si="18"/>
        <v>1.1045712545153963</v>
      </c>
      <c r="L127" s="25">
        <f t="shared" si="19"/>
        <v>1213580.2870522663</v>
      </c>
      <c r="M127" s="26">
        <v>20.891399999999997</v>
      </c>
      <c r="N127" s="27">
        <v>71879</v>
      </c>
      <c r="O127" s="28">
        <f t="shared" si="14"/>
        <v>3440.6023531213805</v>
      </c>
      <c r="P127" s="153" t="s">
        <v>3797</v>
      </c>
      <c r="Q127" s="24">
        <f>IF(ISERR(O127),VLOOKUP(P127,'Other corrections needed'!$A$3:$E$6,5,FALSE),IF(O127=0,VLOOKUP(P127,'Other corrections needed'!$A$3:$E$6,5,FALSE),O127/O$156))</f>
        <v>3.0331274287564942</v>
      </c>
      <c r="R127" s="169">
        <f t="shared" si="15"/>
        <v>3332463.7415730441</v>
      </c>
    </row>
    <row r="128" spans="1:18" x14ac:dyDescent="0.2">
      <c r="A128" s="21" t="s">
        <v>3496</v>
      </c>
      <c r="B128" s="21" t="s">
        <v>3470</v>
      </c>
      <c r="C128" s="21" t="s">
        <v>495</v>
      </c>
      <c r="D128" s="22">
        <v>677256</v>
      </c>
      <c r="E128" s="23" t="s">
        <v>547</v>
      </c>
      <c r="F128" s="23" t="s">
        <v>1340</v>
      </c>
      <c r="G128" s="23">
        <v>106.65</v>
      </c>
      <c r="H128" s="24">
        <f t="shared" si="16"/>
        <v>1.0373402383577979</v>
      </c>
      <c r="I128" s="25">
        <f t="shared" si="17"/>
        <v>702544.90046924877</v>
      </c>
      <c r="J128" s="26">
        <v>1.08</v>
      </c>
      <c r="K128" s="24">
        <f t="shared" si="18"/>
        <v>1.0747179773663313</v>
      </c>
      <c r="L128" s="25">
        <f t="shared" si="19"/>
        <v>727859.19847921212</v>
      </c>
      <c r="M128" s="26">
        <v>12.48</v>
      </c>
      <c r="N128" s="27">
        <v>11430</v>
      </c>
      <c r="O128" s="28">
        <f t="shared" si="14"/>
        <v>915.86538461538453</v>
      </c>
      <c r="P128" s="153" t="s">
        <v>3796</v>
      </c>
      <c r="Q128" s="24">
        <f>IF(ISERR(O128),VLOOKUP(P128,'Other corrections needed'!$A$3:$E$6,5,FALSE),IF(O128=0,VLOOKUP(P128,'Other corrections needed'!$A$3:$E$6,5,FALSE),O128/O$156))</f>
        <v>0.80739827914299411</v>
      </c>
      <c r="R128" s="169">
        <f t="shared" si="15"/>
        <v>546815.32893926767</v>
      </c>
    </row>
    <row r="129" spans="1:18" x14ac:dyDescent="0.2">
      <c r="A129" s="21" t="s">
        <v>3496</v>
      </c>
      <c r="B129" s="21" t="s">
        <v>3512</v>
      </c>
      <c r="C129" s="21" t="s">
        <v>496</v>
      </c>
      <c r="D129" s="22">
        <v>785243</v>
      </c>
      <c r="E129" s="23" t="s">
        <v>547</v>
      </c>
      <c r="F129" s="23"/>
      <c r="G129" s="23">
        <v>102.44</v>
      </c>
      <c r="H129" s="24">
        <f t="shared" si="16"/>
        <v>0.99639131755623822</v>
      </c>
      <c r="I129" s="25">
        <f t="shared" si="17"/>
        <v>782409.30737181322</v>
      </c>
      <c r="J129" s="26">
        <v>1.06</v>
      </c>
      <c r="K129" s="24">
        <f t="shared" si="18"/>
        <v>1.0548157926002883</v>
      </c>
      <c r="L129" s="25">
        <f t="shared" si="19"/>
        <v>828286.71742882824</v>
      </c>
      <c r="M129" s="26">
        <v>17.332999999999998</v>
      </c>
      <c r="N129" s="27">
        <v>19919</v>
      </c>
      <c r="O129" s="28">
        <f t="shared" si="14"/>
        <v>1149.1951768303238</v>
      </c>
      <c r="P129" s="153" t="s">
        <v>3798</v>
      </c>
      <c r="Q129" s="24">
        <f>IF(ISERR(O129),VLOOKUP(P129,'Other corrections needed'!$A$3:$E$6,5,FALSE),IF(O129=0,VLOOKUP(P129,'Other corrections needed'!$A$3:$E$6,5,FALSE),O129/O$156))</f>
        <v>1.0130945265082643</v>
      </c>
      <c r="R129" s="169">
        <f t="shared" si="15"/>
        <v>795525.38527892891</v>
      </c>
    </row>
    <row r="130" spans="1:18" x14ac:dyDescent="0.2">
      <c r="A130" s="21" t="s">
        <v>191</v>
      </c>
      <c r="B130" s="21" t="s">
        <v>194</v>
      </c>
      <c r="C130" s="21" t="s">
        <v>497</v>
      </c>
      <c r="D130" s="22">
        <v>389854</v>
      </c>
      <c r="E130" s="23" t="s">
        <v>2789</v>
      </c>
      <c r="F130" s="23"/>
      <c r="G130" s="23">
        <v>119.98</v>
      </c>
      <c r="H130" s="24">
        <f t="shared" si="16"/>
        <v>1.1669956099218808</v>
      </c>
      <c r="I130" s="25">
        <f t="shared" si="17"/>
        <v>454957.90651048493</v>
      </c>
      <c r="J130" s="26">
        <v>1.08</v>
      </c>
      <c r="K130" s="24">
        <f t="shared" si="18"/>
        <v>1.0747179773663313</v>
      </c>
      <c r="L130" s="25">
        <f t="shared" si="19"/>
        <v>418983.10234817374</v>
      </c>
      <c r="M130" s="26">
        <v>4.9339000000000004</v>
      </c>
      <c r="N130" s="27">
        <v>25566</v>
      </c>
      <c r="O130" s="28">
        <f t="shared" si="14"/>
        <v>5181.702101785605</v>
      </c>
      <c r="P130" s="153" t="s">
        <v>3799</v>
      </c>
      <c r="Q130" s="24">
        <f>IF(ISERR(O130),VLOOKUP(P130,'Other corrections needed'!$A$3:$E$6,5,FALSE),IF(O130=0,VLOOKUP(P130,'Other corrections needed'!$A$3:$E$6,5,FALSE),O130/O$156))</f>
        <v>4.5680265138203326</v>
      </c>
      <c r="R130" s="169">
        <f t="shared" si="15"/>
        <v>1780863.408518912</v>
      </c>
    </row>
    <row r="131" spans="1:18" x14ac:dyDescent="0.2">
      <c r="A131" s="21" t="s">
        <v>191</v>
      </c>
      <c r="B131" s="21" t="s">
        <v>3524</v>
      </c>
      <c r="C131" s="21" t="s">
        <v>498</v>
      </c>
      <c r="D131" s="22">
        <v>452548</v>
      </c>
      <c r="E131" s="23" t="s">
        <v>2789</v>
      </c>
      <c r="F131" s="23"/>
      <c r="G131" s="23">
        <v>113.33</v>
      </c>
      <c r="H131" s="24">
        <f t="shared" ref="H131:H154" si="20">G131/H$156</f>
        <v>1.1023138229075409</v>
      </c>
      <c r="I131" s="25">
        <f t="shared" ref="I131:I154" si="21">H131*D131</f>
        <v>498849.91592916183</v>
      </c>
      <c r="J131" s="26">
        <v>1.04</v>
      </c>
      <c r="K131" s="24">
        <f t="shared" ref="K131:K152" si="22">J131/K$156</f>
        <v>1.0349136078342451</v>
      </c>
      <c r="L131" s="25">
        <f t="shared" ref="L131:L154" si="23">K131*D131</f>
        <v>468348.08339817199</v>
      </c>
      <c r="M131" s="26">
        <v>11.146799999999999</v>
      </c>
      <c r="N131" s="27">
        <v>16479</v>
      </c>
      <c r="O131" s="28">
        <f t="shared" si="14"/>
        <v>1478.3615028528368</v>
      </c>
      <c r="P131" s="153" t="s">
        <v>3799</v>
      </c>
      <c r="Q131" s="24">
        <f>IF(ISERR(O131),VLOOKUP(P131,'Other corrections needed'!$A$3:$E$6,5,FALSE),IF(O131=0,VLOOKUP(P131,'Other corrections needed'!$A$3:$E$6,5,FALSE),O131/O$156))</f>
        <v>1.3032772647651616</v>
      </c>
      <c r="R131" s="169">
        <f t="shared" si="15"/>
        <v>589795.51961494435</v>
      </c>
    </row>
    <row r="132" spans="1:18" x14ac:dyDescent="0.2">
      <c r="A132" s="21" t="s">
        <v>191</v>
      </c>
      <c r="B132" s="21" t="s">
        <v>196</v>
      </c>
      <c r="C132" s="21" t="s">
        <v>499</v>
      </c>
      <c r="D132" s="22">
        <v>508930</v>
      </c>
      <c r="E132" s="23" t="s">
        <v>2789</v>
      </c>
      <c r="F132" s="23"/>
      <c r="G132" s="23">
        <v>113.97</v>
      </c>
      <c r="H132" s="24">
        <f t="shared" si="20"/>
        <v>1.1085388369961389</v>
      </c>
      <c r="I132" s="25">
        <f t="shared" si="21"/>
        <v>564168.67031244491</v>
      </c>
      <c r="J132" s="26">
        <v>1.08</v>
      </c>
      <c r="K132" s="24">
        <f t="shared" si="22"/>
        <v>1.0747179773663313</v>
      </c>
      <c r="L132" s="25">
        <f t="shared" si="23"/>
        <v>546956.22022104706</v>
      </c>
      <c r="M132" s="26">
        <v>1.9554999999999998</v>
      </c>
      <c r="N132" s="27">
        <v>9399</v>
      </c>
      <c r="O132" s="28">
        <f t="shared" ref="O132:O152" si="24">N132/M132</f>
        <v>4806.4433648683207</v>
      </c>
      <c r="P132" s="153" t="s">
        <v>3800</v>
      </c>
      <c r="Q132" s="24">
        <f>IF(ISERR(O132),VLOOKUP(P132,'Other corrections needed'!$A$3:$E$6,5,FALSE),IF(O132=0,VLOOKUP(P132,'Other corrections needed'!$A$3:$E$6,5,FALSE),O132/O$156))</f>
        <v>4.2372101476710364</v>
      </c>
      <c r="R132" s="169">
        <f t="shared" ref="R132:R154" si="25">Q132*D132</f>
        <v>2156443.3604542208</v>
      </c>
    </row>
    <row r="133" spans="1:18" x14ac:dyDescent="0.2">
      <c r="A133" s="21" t="s">
        <v>191</v>
      </c>
      <c r="B133" s="21" t="s">
        <v>192</v>
      </c>
      <c r="C133" s="21" t="s">
        <v>500</v>
      </c>
      <c r="D133" s="22">
        <v>1288987</v>
      </c>
      <c r="E133" s="23" t="s">
        <v>2789</v>
      </c>
      <c r="F133" s="23"/>
      <c r="G133" s="23">
        <v>105.96</v>
      </c>
      <c r="H133" s="24">
        <f t="shared" si="20"/>
        <v>1.0306288950435278</v>
      </c>
      <c r="I133" s="25">
        <f t="shared" si="21"/>
        <v>1328467.2475354718</v>
      </c>
      <c r="J133" s="26">
        <v>1.03</v>
      </c>
      <c r="K133" s="24">
        <f t="shared" si="22"/>
        <v>1.0249625154512234</v>
      </c>
      <c r="L133" s="25">
        <f t="shared" si="23"/>
        <v>1321163.3579039262</v>
      </c>
      <c r="M133" s="26">
        <v>28.256999999999998</v>
      </c>
      <c r="N133" s="27">
        <v>49568</v>
      </c>
      <c r="O133" s="28">
        <f t="shared" si="24"/>
        <v>1754.1848037654388</v>
      </c>
      <c r="P133" s="153" t="s">
        <v>3801</v>
      </c>
      <c r="Q133" s="24">
        <f>IF(ISERR(O133),VLOOKUP(P133,'Other corrections needed'!$A$3:$E$6,5,FALSE),IF(O133=0,VLOOKUP(P133,'Other corrections needed'!$A$3:$E$6,5,FALSE),O133/O$156))</f>
        <v>1.5464344604024844</v>
      </c>
      <c r="R133" s="169">
        <f t="shared" si="25"/>
        <v>1993333.9158108172</v>
      </c>
    </row>
    <row r="134" spans="1:18" x14ac:dyDescent="0.2">
      <c r="A134" s="21" t="s">
        <v>191</v>
      </c>
      <c r="B134" s="21" t="s">
        <v>501</v>
      </c>
      <c r="C134" s="21" t="s">
        <v>502</v>
      </c>
      <c r="D134" s="22">
        <v>142413</v>
      </c>
      <c r="E134" s="23" t="s">
        <v>2789</v>
      </c>
      <c r="F134" s="23" t="s">
        <v>3374</v>
      </c>
      <c r="G134" s="23">
        <v>98.43</v>
      </c>
      <c r="H134" s="24">
        <f t="shared" si="20"/>
        <v>0.95738771365736564</v>
      </c>
      <c r="I134" s="25">
        <f t="shared" si="21"/>
        <v>136344.4564650864</v>
      </c>
      <c r="J134" s="26">
        <v>1.03</v>
      </c>
      <c r="K134" s="24">
        <f t="shared" si="22"/>
        <v>1.0249625154512234</v>
      </c>
      <c r="L134" s="25">
        <f t="shared" si="23"/>
        <v>145967.98671295508</v>
      </c>
      <c r="M134" s="26">
        <v>30.78</v>
      </c>
      <c r="N134" s="27">
        <v>10756</v>
      </c>
      <c r="O134" s="28">
        <f t="shared" si="24"/>
        <v>349.44769330734243</v>
      </c>
      <c r="P134" s="153" t="s">
        <v>3802</v>
      </c>
      <c r="Q134" s="24">
        <f>IF(ISERR(O134),VLOOKUP(P134,'Other corrections needed'!$A$3:$E$6,5,FALSE),IF(O134=0,VLOOKUP(P134,'Other corrections needed'!$A$3:$E$6,5,FALSE),O134/O$156))</f>
        <v>0.30806215735003734</v>
      </c>
      <c r="R134" s="169">
        <f t="shared" si="25"/>
        <v>43872.056014690868</v>
      </c>
    </row>
    <row r="135" spans="1:18" x14ac:dyDescent="0.2">
      <c r="A135" s="21" t="s">
        <v>191</v>
      </c>
      <c r="B135" s="21" t="s">
        <v>200</v>
      </c>
      <c r="C135" s="21" t="s">
        <v>503</v>
      </c>
      <c r="D135" s="22">
        <v>240080</v>
      </c>
      <c r="E135" s="23" t="s">
        <v>2789</v>
      </c>
      <c r="F135" s="23"/>
      <c r="G135" s="23">
        <v>109.85</v>
      </c>
      <c r="H135" s="24">
        <f t="shared" si="20"/>
        <v>1.0684653088007885</v>
      </c>
      <c r="I135" s="25">
        <f t="shared" si="21"/>
        <v>256517.15133689329</v>
      </c>
      <c r="J135" s="26">
        <v>1.01</v>
      </c>
      <c r="K135" s="24">
        <f t="shared" si="22"/>
        <v>1.0050603306851802</v>
      </c>
      <c r="L135" s="25">
        <f t="shared" si="23"/>
        <v>241294.88419089807</v>
      </c>
      <c r="M135" s="26">
        <v>9.1251999999999995</v>
      </c>
      <c r="N135" s="27">
        <v>11136</v>
      </c>
      <c r="O135" s="28">
        <f t="shared" si="24"/>
        <v>1220.3568140972254</v>
      </c>
      <c r="P135" s="153" t="s">
        <v>3800</v>
      </c>
      <c r="Q135" s="24">
        <f>IF(ISERR(O135),VLOOKUP(P135,'Other corrections needed'!$A$3:$E$6,5,FALSE),IF(O135=0,VLOOKUP(P135,'Other corrections needed'!$A$3:$E$6,5,FALSE),O135/O$156))</f>
        <v>1.0758284003235987</v>
      </c>
      <c r="R135" s="169">
        <f t="shared" si="25"/>
        <v>258284.88234968958</v>
      </c>
    </row>
    <row r="136" spans="1:18" x14ac:dyDescent="0.2">
      <c r="A136" s="21" t="s">
        <v>191</v>
      </c>
      <c r="B136" s="21" t="s">
        <v>201</v>
      </c>
      <c r="C136" s="21" t="s">
        <v>504</v>
      </c>
      <c r="D136" s="22">
        <v>623650</v>
      </c>
      <c r="E136" s="23" t="s">
        <v>2789</v>
      </c>
      <c r="F136" s="23"/>
      <c r="G136" s="23">
        <v>106.64</v>
      </c>
      <c r="H136" s="24">
        <f t="shared" si="20"/>
        <v>1.0372429725126635</v>
      </c>
      <c r="I136" s="25">
        <f t="shared" si="21"/>
        <v>646876.57980752259</v>
      </c>
      <c r="J136" s="26">
        <v>1</v>
      </c>
      <c r="K136" s="24">
        <f t="shared" si="22"/>
        <v>0.99510923830215869</v>
      </c>
      <c r="L136" s="25">
        <f t="shared" si="23"/>
        <v>620599.87646714132</v>
      </c>
      <c r="M136" s="26">
        <v>13.835899999999999</v>
      </c>
      <c r="N136" s="27">
        <v>32277</v>
      </c>
      <c r="O136" s="28">
        <f t="shared" si="24"/>
        <v>2332.8442674491721</v>
      </c>
      <c r="P136" s="153" t="s">
        <v>3803</v>
      </c>
      <c r="Q136" s="24">
        <f>IF(ISERR(O136),VLOOKUP(P136,'Other corrections needed'!$A$3:$E$6,5,FALSE),IF(O136=0,VLOOKUP(P136,'Other corrections needed'!$A$3:$E$6,5,FALSE),O136/O$156))</f>
        <v>2.0565625458571577</v>
      </c>
      <c r="R136" s="169">
        <f t="shared" si="25"/>
        <v>1282575.2317238164</v>
      </c>
    </row>
    <row r="137" spans="1:18" x14ac:dyDescent="0.2">
      <c r="A137" s="21" t="s">
        <v>191</v>
      </c>
      <c r="B137" s="21" t="s">
        <v>205</v>
      </c>
      <c r="C137" s="21" t="s">
        <v>505</v>
      </c>
      <c r="D137" s="22">
        <v>202931</v>
      </c>
      <c r="E137" s="23" t="s">
        <v>2789</v>
      </c>
      <c r="F137" s="23" t="s">
        <v>2785</v>
      </c>
      <c r="G137" s="23">
        <v>105.32</v>
      </c>
      <c r="H137" s="24">
        <f t="shared" si="20"/>
        <v>1.0244038809549298</v>
      </c>
      <c r="I137" s="25">
        <f t="shared" si="21"/>
        <v>207883.30396606488</v>
      </c>
      <c r="J137" s="26">
        <v>0.98999999999999899</v>
      </c>
      <c r="K137" s="24">
        <f t="shared" si="22"/>
        <v>0.98515814591913609</v>
      </c>
      <c r="L137" s="25">
        <f t="shared" si="23"/>
        <v>199919.12770951621</v>
      </c>
      <c r="M137" s="26">
        <v>30.666600000000003</v>
      </c>
      <c r="N137" s="27">
        <v>38765</v>
      </c>
      <c r="O137" s="28">
        <f t="shared" si="24"/>
        <v>1264.0788349539889</v>
      </c>
      <c r="P137" s="153" t="s">
        <v>3801</v>
      </c>
      <c r="Q137" s="24">
        <f>IF(ISERR(O137),VLOOKUP(P137,'Other corrections needed'!$A$3:$E$6,5,FALSE),IF(O137=0,VLOOKUP(P137,'Other corrections needed'!$A$3:$E$6,5,FALSE),O137/O$156))</f>
        <v>1.1143723664930696</v>
      </c>
      <c r="R137" s="169">
        <f t="shared" si="25"/>
        <v>226140.69870480511</v>
      </c>
    </row>
    <row r="138" spans="1:18" x14ac:dyDescent="0.2">
      <c r="A138" s="21" t="s">
        <v>191</v>
      </c>
      <c r="B138" s="21" t="s">
        <v>3527</v>
      </c>
      <c r="C138" s="21" t="s">
        <v>506</v>
      </c>
      <c r="D138" s="22">
        <v>235139</v>
      </c>
      <c r="E138" s="23" t="s">
        <v>2789</v>
      </c>
      <c r="F138" s="23" t="s">
        <v>2785</v>
      </c>
      <c r="G138" s="23">
        <v>104.26</v>
      </c>
      <c r="H138" s="24">
        <f t="shared" si="20"/>
        <v>1.0140937013706892</v>
      </c>
      <c r="I138" s="25">
        <f t="shared" si="21"/>
        <v>238452.97884660249</v>
      </c>
      <c r="J138" s="26">
        <v>1.02</v>
      </c>
      <c r="K138" s="24">
        <f t="shared" si="22"/>
        <v>1.0150114230682019</v>
      </c>
      <c r="L138" s="25">
        <f t="shared" si="23"/>
        <v>238668.77100883392</v>
      </c>
      <c r="M138" s="26">
        <v>23.5</v>
      </c>
      <c r="N138" s="27">
        <v>44349</v>
      </c>
      <c r="O138" s="28">
        <f t="shared" si="24"/>
        <v>1887.1914893617022</v>
      </c>
      <c r="P138" s="153" t="s">
        <v>3801</v>
      </c>
      <c r="Q138" s="24">
        <f>IF(ISERR(O138),VLOOKUP(P138,'Other corrections needed'!$A$3:$E$6,5,FALSE),IF(O138=0,VLOOKUP(P138,'Other corrections needed'!$A$3:$E$6,5,FALSE),O138/O$156))</f>
        <v>1.6636889946046198</v>
      </c>
      <c r="R138" s="169">
        <f t="shared" si="25"/>
        <v>391198.16650233569</v>
      </c>
    </row>
    <row r="139" spans="1:18" x14ac:dyDescent="0.2">
      <c r="A139" s="21" t="s">
        <v>3528</v>
      </c>
      <c r="B139" s="21" t="s">
        <v>3555</v>
      </c>
      <c r="C139" s="21" t="s">
        <v>507</v>
      </c>
      <c r="D139" s="22">
        <v>180866</v>
      </c>
      <c r="E139" s="23" t="s">
        <v>2375</v>
      </c>
      <c r="F139" s="23"/>
      <c r="G139" s="23">
        <v>102.42</v>
      </c>
      <c r="H139" s="24">
        <f t="shared" si="20"/>
        <v>0.99619678586596949</v>
      </c>
      <c r="I139" s="25">
        <f t="shared" si="21"/>
        <v>180178.12787243444</v>
      </c>
      <c r="J139" s="26">
        <v>1.02</v>
      </c>
      <c r="K139" s="24">
        <f t="shared" si="22"/>
        <v>1.0150114230682019</v>
      </c>
      <c r="L139" s="25">
        <f t="shared" si="23"/>
        <v>183581.05604465341</v>
      </c>
      <c r="M139" s="26">
        <v>7.95</v>
      </c>
      <c r="N139" s="27">
        <v>11033</v>
      </c>
      <c r="O139" s="28">
        <f t="shared" si="24"/>
        <v>1387.7987421383648</v>
      </c>
      <c r="P139" s="153" t="s">
        <v>3804</v>
      </c>
      <c r="Q139" s="24">
        <f>IF(ISERR(O139),VLOOKUP(P139,'Other corrections needed'!$A$3:$E$6,5,FALSE),IF(O139=0,VLOOKUP(P139,'Other corrections needed'!$A$3:$E$6,5,FALSE),O139/O$156))</f>
        <v>1.2234399672937541</v>
      </c>
      <c r="R139" s="169">
        <f t="shared" si="25"/>
        <v>221278.69312455214</v>
      </c>
    </row>
    <row r="140" spans="1:18" x14ac:dyDescent="0.2">
      <c r="A140" s="21" t="s">
        <v>3528</v>
      </c>
      <c r="B140" s="21" t="s">
        <v>3540</v>
      </c>
      <c r="C140" s="21" t="s">
        <v>508</v>
      </c>
      <c r="D140" s="22">
        <v>298051</v>
      </c>
      <c r="E140" s="23" t="s">
        <v>566</v>
      </c>
      <c r="F140" s="23"/>
      <c r="G140" s="23">
        <v>101.4</v>
      </c>
      <c r="H140" s="24">
        <f t="shared" si="20"/>
        <v>0.98627566966226632</v>
      </c>
      <c r="I140" s="25">
        <f t="shared" si="21"/>
        <v>293960.44961850817</v>
      </c>
      <c r="J140" s="26">
        <v>1.02</v>
      </c>
      <c r="K140" s="24">
        <f t="shared" si="22"/>
        <v>1.0150114230682019</v>
      </c>
      <c r="L140" s="25">
        <f t="shared" si="23"/>
        <v>302525.16965690063</v>
      </c>
      <c r="M140" s="26">
        <v>1.3140000000000001</v>
      </c>
      <c r="N140" s="27">
        <v>2272</v>
      </c>
      <c r="O140" s="28">
        <f t="shared" si="24"/>
        <v>1729.0715372907152</v>
      </c>
      <c r="P140" s="153" t="s">
        <v>3805</v>
      </c>
      <c r="Q140" s="24">
        <f>IF(ISERR(O140),VLOOKUP(P140,'Other corrections needed'!$A$3:$E$6,5,FALSE),IF(O140=0,VLOOKUP(P140,'Other corrections needed'!$A$3:$E$6,5,FALSE),O140/O$156))</f>
        <v>1.5242953901024685</v>
      </c>
      <c r="R140" s="169">
        <f t="shared" si="25"/>
        <v>454317.76531543082</v>
      </c>
    </row>
    <row r="141" spans="1:18" x14ac:dyDescent="0.2">
      <c r="A141" s="21" t="s">
        <v>3528</v>
      </c>
      <c r="B141" s="21" t="s">
        <v>3565</v>
      </c>
      <c r="C141" s="21" t="s">
        <v>509</v>
      </c>
      <c r="D141" s="22">
        <v>428182</v>
      </c>
      <c r="E141" s="23" t="s">
        <v>2375</v>
      </c>
      <c r="F141" s="23"/>
      <c r="G141" s="23">
        <v>104.22</v>
      </c>
      <c r="H141" s="24">
        <f t="shared" si="20"/>
        <v>1.0137046379901518</v>
      </c>
      <c r="I141" s="25">
        <f t="shared" si="21"/>
        <v>434050.07930389914</v>
      </c>
      <c r="J141" s="26">
        <v>1.01</v>
      </c>
      <c r="K141" s="24">
        <f t="shared" si="22"/>
        <v>1.0050603306851802</v>
      </c>
      <c r="L141" s="25">
        <f t="shared" si="23"/>
        <v>430348.74251344183</v>
      </c>
      <c r="M141" s="26">
        <v>6.7</v>
      </c>
      <c r="N141" s="27">
        <v>7707</v>
      </c>
      <c r="O141" s="28">
        <f t="shared" si="24"/>
        <v>1150.2985074626865</v>
      </c>
      <c r="P141" s="153" t="s">
        <v>3804</v>
      </c>
      <c r="Q141" s="24">
        <f>IF(ISERR(O141),VLOOKUP(P141,'Other corrections needed'!$A$3:$E$6,5,FALSE),IF(O141=0,VLOOKUP(P141,'Other corrections needed'!$A$3:$E$6,5,FALSE),O141/O$156))</f>
        <v>1.0140671882867958</v>
      </c>
      <c r="R141" s="169">
        <f t="shared" si="25"/>
        <v>434205.31681501679</v>
      </c>
    </row>
    <row r="142" spans="1:18" x14ac:dyDescent="0.2">
      <c r="A142" s="21" t="s">
        <v>3528</v>
      </c>
      <c r="B142" s="21" t="s">
        <v>3534</v>
      </c>
      <c r="C142" s="21" t="s">
        <v>510</v>
      </c>
      <c r="D142" s="22">
        <v>544385</v>
      </c>
      <c r="E142" s="23" t="s">
        <v>566</v>
      </c>
      <c r="F142" s="23"/>
      <c r="G142" s="23">
        <v>90.71</v>
      </c>
      <c r="H142" s="24">
        <f t="shared" si="20"/>
        <v>0.88229848121365051</v>
      </c>
      <c r="I142" s="25">
        <f t="shared" si="21"/>
        <v>480310.05869549315</v>
      </c>
      <c r="J142" s="26">
        <v>0.97999999999999898</v>
      </c>
      <c r="K142" s="24">
        <f t="shared" si="22"/>
        <v>0.97520705353611448</v>
      </c>
      <c r="L142" s="25">
        <f t="shared" si="23"/>
        <v>530888.09183925763</v>
      </c>
      <c r="M142" s="26">
        <v>29.344000000000001</v>
      </c>
      <c r="N142" s="27">
        <v>8966</v>
      </c>
      <c r="O142" s="28">
        <f t="shared" si="24"/>
        <v>305.54798255179935</v>
      </c>
      <c r="P142" s="153" t="s">
        <v>3806</v>
      </c>
      <c r="Q142" s="24">
        <f>IF(ISERR(O142),VLOOKUP(P142,'Other corrections needed'!$A$3:$E$6,5,FALSE),IF(O142=0,VLOOKUP(P142,'Other corrections needed'!$A$3:$E$6,5,FALSE),O142/O$156))</f>
        <v>0.26936154532310119</v>
      </c>
      <c r="R142" s="169">
        <f t="shared" si="25"/>
        <v>146636.38485071645</v>
      </c>
    </row>
    <row r="143" spans="1:18" x14ac:dyDescent="0.2">
      <c r="A143" s="21" t="s">
        <v>3528</v>
      </c>
      <c r="B143" s="21" t="s">
        <v>3536</v>
      </c>
      <c r="C143" s="21" t="s">
        <v>511</v>
      </c>
      <c r="D143" s="22">
        <v>767392</v>
      </c>
      <c r="E143" s="23" t="s">
        <v>566</v>
      </c>
      <c r="F143" s="23"/>
      <c r="G143" s="23">
        <v>93.83</v>
      </c>
      <c r="H143" s="24">
        <f t="shared" si="20"/>
        <v>0.91264542489556644</v>
      </c>
      <c r="I143" s="25">
        <f t="shared" si="21"/>
        <v>700356.79790145857</v>
      </c>
      <c r="J143" s="26">
        <v>0.95999999999999897</v>
      </c>
      <c r="K143" s="24">
        <f t="shared" si="22"/>
        <v>0.95530486877007126</v>
      </c>
      <c r="L143" s="25">
        <f t="shared" si="23"/>
        <v>733093.31385520252</v>
      </c>
      <c r="M143" s="26">
        <v>24.823</v>
      </c>
      <c r="N143" s="27">
        <v>33267</v>
      </c>
      <c r="O143" s="28">
        <f t="shared" si="24"/>
        <v>1340.1683922168957</v>
      </c>
      <c r="P143" s="153" t="s">
        <v>3807</v>
      </c>
      <c r="Q143" s="24">
        <f>IF(ISERR(O143),VLOOKUP(P143,'Other corrections needed'!$A$3:$E$6,5,FALSE),IF(O143=0,VLOOKUP(P143,'Other corrections needed'!$A$3:$E$6,5,FALSE),O143/O$156))</f>
        <v>1.1814505404548714</v>
      </c>
      <c r="R143" s="169">
        <f t="shared" si="25"/>
        <v>906635.6931407447</v>
      </c>
    </row>
    <row r="144" spans="1:18" x14ac:dyDescent="0.2">
      <c r="A144" s="21" t="s">
        <v>3528</v>
      </c>
      <c r="B144" s="21" t="s">
        <v>3538</v>
      </c>
      <c r="C144" s="21" t="s">
        <v>512</v>
      </c>
      <c r="D144" s="22">
        <v>410286</v>
      </c>
      <c r="E144" s="23" t="s">
        <v>566</v>
      </c>
      <c r="F144" s="23"/>
      <c r="G144" s="23">
        <v>96.62</v>
      </c>
      <c r="H144" s="24">
        <f t="shared" si="20"/>
        <v>0.93978259568804901</v>
      </c>
      <c r="I144" s="25">
        <f t="shared" si="21"/>
        <v>385579.64205446688</v>
      </c>
      <c r="J144" s="26">
        <v>0.97999999999999898</v>
      </c>
      <c r="K144" s="24">
        <f t="shared" si="22"/>
        <v>0.97520705353611448</v>
      </c>
      <c r="L144" s="25">
        <f t="shared" si="23"/>
        <v>400113.80116711825</v>
      </c>
      <c r="M144" s="26">
        <v>13.393000000000002</v>
      </c>
      <c r="N144" s="27">
        <v>18531</v>
      </c>
      <c r="O144" s="28">
        <f t="shared" si="24"/>
        <v>1383.6332412454265</v>
      </c>
      <c r="P144" s="153" t="s">
        <v>3805</v>
      </c>
      <c r="Q144" s="24">
        <f>IF(ISERR(O144),VLOOKUP(P144,'Other corrections needed'!$A$3:$E$6,5,FALSE),IF(O144=0,VLOOKUP(P144,'Other corrections needed'!$A$3:$E$6,5,FALSE),O144/O$156))</f>
        <v>1.21976779198369</v>
      </c>
      <c r="R144" s="169">
        <f t="shared" si="25"/>
        <v>500453.64830182021</v>
      </c>
    </row>
    <row r="145" spans="1:18" x14ac:dyDescent="0.2">
      <c r="A145" s="21" t="s">
        <v>3528</v>
      </c>
      <c r="B145" s="21" t="s">
        <v>3530</v>
      </c>
      <c r="C145" s="21" t="s">
        <v>513</v>
      </c>
      <c r="D145" s="22">
        <v>590264</v>
      </c>
      <c r="E145" s="23" t="s">
        <v>2375</v>
      </c>
      <c r="F145" s="23" t="s">
        <v>659</v>
      </c>
      <c r="G145" s="23">
        <v>99.85</v>
      </c>
      <c r="H145" s="24">
        <f t="shared" si="20"/>
        <v>0.97119946366644261</v>
      </c>
      <c r="I145" s="25">
        <f t="shared" si="21"/>
        <v>573264.0802216091</v>
      </c>
      <c r="J145" s="26">
        <v>0.97999999999999898</v>
      </c>
      <c r="K145" s="24">
        <f t="shared" si="22"/>
        <v>0.97520705353611448</v>
      </c>
      <c r="L145" s="25">
        <f t="shared" si="23"/>
        <v>575629.61624844105</v>
      </c>
      <c r="M145" s="26">
        <v>17.95</v>
      </c>
      <c r="N145" s="27">
        <v>23656</v>
      </c>
      <c r="O145" s="28">
        <f t="shared" si="24"/>
        <v>1317.883008356546</v>
      </c>
      <c r="P145" s="153" t="s">
        <v>3808</v>
      </c>
      <c r="Q145" s="24">
        <f>IF(ISERR(O145),VLOOKUP(P145,'Other corrections needed'!$A$3:$E$6,5,FALSE),IF(O145=0,VLOOKUP(P145,'Other corrections needed'!$A$3:$E$6,5,FALSE),O145/O$156))</f>
        <v>1.1618044430249053</v>
      </c>
      <c r="R145" s="169">
        <f t="shared" si="25"/>
        <v>685771.33775765263</v>
      </c>
    </row>
    <row r="146" spans="1:18" x14ac:dyDescent="0.2">
      <c r="A146" s="21" t="s">
        <v>3528</v>
      </c>
      <c r="B146" s="21" t="s">
        <v>3567</v>
      </c>
      <c r="C146" s="21" t="s">
        <v>514</v>
      </c>
      <c r="D146" s="22">
        <v>210413</v>
      </c>
      <c r="E146" s="23" t="s">
        <v>2375</v>
      </c>
      <c r="F146" s="23"/>
      <c r="G146" s="23">
        <v>100.3</v>
      </c>
      <c r="H146" s="24">
        <f t="shared" si="20"/>
        <v>0.97557642669748823</v>
      </c>
      <c r="I146" s="25">
        <f t="shared" si="21"/>
        <v>205273.96267069859</v>
      </c>
      <c r="J146" s="26">
        <v>1</v>
      </c>
      <c r="K146" s="24">
        <f t="shared" si="22"/>
        <v>0.99510923830215869</v>
      </c>
      <c r="L146" s="25">
        <f t="shared" si="23"/>
        <v>209383.92015887212</v>
      </c>
      <c r="M146" s="26">
        <v>1.1499999999999999</v>
      </c>
      <c r="N146" s="27">
        <v>1692</v>
      </c>
      <c r="O146" s="28">
        <f t="shared" si="24"/>
        <v>1471.304347826087</v>
      </c>
      <c r="P146" s="153" t="s">
        <v>3804</v>
      </c>
      <c r="Q146" s="24">
        <f>IF(ISERR(O146),VLOOKUP(P146,'Other corrections needed'!$A$3:$E$6,5,FALSE),IF(O146=0,VLOOKUP(P146,'Other corrections needed'!$A$3:$E$6,5,FALSE),O146/O$156))</f>
        <v>1.2970558976079827</v>
      </c>
      <c r="R146" s="169">
        <f t="shared" si="25"/>
        <v>272917.42258338846</v>
      </c>
    </row>
    <row r="147" spans="1:18" x14ac:dyDescent="0.2">
      <c r="A147" s="21" t="s">
        <v>3528</v>
      </c>
      <c r="B147" s="21" t="s">
        <v>3549</v>
      </c>
      <c r="C147" s="21" t="s">
        <v>515</v>
      </c>
      <c r="D147" s="22">
        <v>253922</v>
      </c>
      <c r="E147" s="23" t="s">
        <v>566</v>
      </c>
      <c r="F147" s="23"/>
      <c r="G147" s="23">
        <v>93.3</v>
      </c>
      <c r="H147" s="24">
        <f t="shared" si="20"/>
        <v>0.90749033510344612</v>
      </c>
      <c r="I147" s="25">
        <f t="shared" si="21"/>
        <v>230431.76087013725</v>
      </c>
      <c r="J147" s="26">
        <v>0.94999999999999896</v>
      </c>
      <c r="K147" s="24">
        <f t="shared" si="22"/>
        <v>0.94535377638704965</v>
      </c>
      <c r="L147" s="25">
        <f t="shared" si="23"/>
        <v>240046.12160775243</v>
      </c>
      <c r="M147" s="26">
        <v>22.61</v>
      </c>
      <c r="N147" s="27">
        <v>14225</v>
      </c>
      <c r="O147" s="28">
        <f t="shared" si="24"/>
        <v>629.14639540026542</v>
      </c>
      <c r="P147" s="153" t="s">
        <v>3807</v>
      </c>
      <c r="Q147" s="24">
        <f>IF(ISERR(O147),VLOOKUP(P147,'Other corrections needed'!$A$3:$E$6,5,FALSE),IF(O147=0,VLOOKUP(P147,'Other corrections needed'!$A$3:$E$6,5,FALSE),O147/O$156))</f>
        <v>0.55463578546372683</v>
      </c>
      <c r="R147" s="169">
        <f t="shared" si="25"/>
        <v>140834.22791652044</v>
      </c>
    </row>
    <row r="148" spans="1:18" x14ac:dyDescent="0.2">
      <c r="A148" s="21" t="s">
        <v>3528</v>
      </c>
      <c r="B148" s="21" t="s">
        <v>3559</v>
      </c>
      <c r="C148" s="21" t="s">
        <v>516</v>
      </c>
      <c r="D148" s="22">
        <v>534076</v>
      </c>
      <c r="E148" s="23" t="s">
        <v>566</v>
      </c>
      <c r="F148" s="23"/>
      <c r="G148" s="23">
        <v>94.84</v>
      </c>
      <c r="H148" s="24">
        <f t="shared" si="20"/>
        <v>0.92246927525413547</v>
      </c>
      <c r="I148" s="25">
        <f t="shared" si="21"/>
        <v>492668.70065062767</v>
      </c>
      <c r="J148" s="26">
        <v>0.96999999999999897</v>
      </c>
      <c r="K148" s="24">
        <f t="shared" si="22"/>
        <v>0.96525596115309287</v>
      </c>
      <c r="L148" s="25">
        <f t="shared" si="23"/>
        <v>515520.04270879924</v>
      </c>
      <c r="M148" s="26">
        <v>18.651000000000003</v>
      </c>
      <c r="N148" s="27">
        <v>17874</v>
      </c>
      <c r="O148" s="28">
        <f t="shared" si="24"/>
        <v>958.34003538684237</v>
      </c>
      <c r="P148" s="153" t="s">
        <v>3809</v>
      </c>
      <c r="Q148" s="24">
        <f>IF(ISERR(O148),VLOOKUP(P148,'Other corrections needed'!$A$3:$E$6,5,FALSE),IF(O148=0,VLOOKUP(P148,'Other corrections needed'!$A$3:$E$6,5,FALSE),O148/O$156))</f>
        <v>0.84484260285709145</v>
      </c>
      <c r="R148" s="169">
        <f t="shared" si="25"/>
        <v>451210.15796350397</v>
      </c>
    </row>
    <row r="149" spans="1:18" x14ac:dyDescent="0.2">
      <c r="A149" s="21" t="s">
        <v>3528</v>
      </c>
      <c r="B149" s="21" t="s">
        <v>3546</v>
      </c>
      <c r="C149" s="21" t="s">
        <v>517</v>
      </c>
      <c r="D149" s="22">
        <v>261282</v>
      </c>
      <c r="E149" s="23" t="s">
        <v>2375</v>
      </c>
      <c r="F149" s="23"/>
      <c r="G149" s="23">
        <v>104.23</v>
      </c>
      <c r="H149" s="24">
        <f t="shared" si="20"/>
        <v>1.0138019038352861</v>
      </c>
      <c r="I149" s="25">
        <f t="shared" si="21"/>
        <v>264888.18903789122</v>
      </c>
      <c r="J149" s="26">
        <v>0.95999999999999897</v>
      </c>
      <c r="K149" s="24">
        <f t="shared" si="22"/>
        <v>0.95530486877007126</v>
      </c>
      <c r="L149" s="25">
        <f t="shared" si="23"/>
        <v>249603.96672198176</v>
      </c>
      <c r="M149" s="26">
        <v>3.0975999999999999</v>
      </c>
      <c r="N149" s="27">
        <v>8828</v>
      </c>
      <c r="O149" s="28">
        <f t="shared" si="24"/>
        <v>2849.9483471074382</v>
      </c>
      <c r="P149" s="153" t="s">
        <v>3804</v>
      </c>
      <c r="Q149" s="24">
        <f>IF(ISERR(O149),VLOOKUP(P149,'Other corrections needed'!$A$3:$E$6,5,FALSE),IF(O149=0,VLOOKUP(P149,'Other corrections needed'!$A$3:$E$6,5,FALSE),O149/O$156))</f>
        <v>2.5124253299160157</v>
      </c>
      <c r="R149" s="169">
        <f t="shared" si="25"/>
        <v>656451.51505111647</v>
      </c>
    </row>
    <row r="150" spans="1:18" x14ac:dyDescent="0.2">
      <c r="A150" s="21" t="s">
        <v>3528</v>
      </c>
      <c r="B150" s="21" t="s">
        <v>3544</v>
      </c>
      <c r="C150" s="21" t="s">
        <v>518</v>
      </c>
      <c r="D150" s="22">
        <v>198288</v>
      </c>
      <c r="E150" s="23" t="s">
        <v>2375</v>
      </c>
      <c r="F150" s="23"/>
      <c r="G150" s="23">
        <v>107.34</v>
      </c>
      <c r="H150" s="24">
        <f t="shared" si="20"/>
        <v>1.0440515816720677</v>
      </c>
      <c r="I150" s="25">
        <f t="shared" si="21"/>
        <v>207022.90002659097</v>
      </c>
      <c r="J150" s="26">
        <v>0.97999999999999898</v>
      </c>
      <c r="K150" s="24">
        <f t="shared" si="22"/>
        <v>0.97520705353611448</v>
      </c>
      <c r="L150" s="25">
        <f t="shared" si="23"/>
        <v>193371.85623156908</v>
      </c>
      <c r="M150" s="26">
        <v>1.99</v>
      </c>
      <c r="N150" s="27">
        <v>1904</v>
      </c>
      <c r="O150" s="28">
        <f t="shared" si="24"/>
        <v>956.78391959799001</v>
      </c>
      <c r="P150" s="153" t="s">
        <v>3810</v>
      </c>
      <c r="Q150" s="24">
        <f>IF(ISERR(O150),VLOOKUP(P150,'Other corrections needed'!$A$3:$E$6,5,FALSE),IF(O150=0,VLOOKUP(P150,'Other corrections needed'!$A$3:$E$6,5,FALSE),O150/O$156))</f>
        <v>0.84347077984557506</v>
      </c>
      <c r="R150" s="169">
        <f t="shared" si="25"/>
        <v>167250.13399401939</v>
      </c>
    </row>
    <row r="151" spans="1:18" x14ac:dyDescent="0.2">
      <c r="A151" s="21" t="s">
        <v>3528</v>
      </c>
      <c r="B151" s="21" t="s">
        <v>3561</v>
      </c>
      <c r="C151" s="21" t="s">
        <v>519</v>
      </c>
      <c r="D151" s="22">
        <v>136429</v>
      </c>
      <c r="E151" s="23" t="s">
        <v>566</v>
      </c>
      <c r="F151" s="23" t="s">
        <v>3514</v>
      </c>
      <c r="G151" s="23">
        <v>91.58</v>
      </c>
      <c r="H151" s="24">
        <f t="shared" si="20"/>
        <v>0.89076060974033866</v>
      </c>
      <c r="I151" s="25">
        <f t="shared" si="21"/>
        <v>121525.57922626466</v>
      </c>
      <c r="J151" s="26">
        <v>0.97999999999999898</v>
      </c>
      <c r="K151" s="24">
        <f t="shared" si="22"/>
        <v>0.97520705353611448</v>
      </c>
      <c r="L151" s="25">
        <f t="shared" si="23"/>
        <v>133046.52310687857</v>
      </c>
      <c r="M151" s="26">
        <v>4.4043999999999999</v>
      </c>
      <c r="N151" s="27">
        <v>2821</v>
      </c>
      <c r="O151" s="28">
        <f t="shared" si="24"/>
        <v>640.49586776859508</v>
      </c>
      <c r="P151" s="153" t="s">
        <v>3807</v>
      </c>
      <c r="Q151" s="24">
        <f>IF(ISERR(O151),VLOOKUP(P151,'Other corrections needed'!$A$3:$E$6,5,FALSE),IF(O151=0,VLOOKUP(P151,'Other corrections needed'!$A$3:$E$6,5,FALSE),O151/O$156))</f>
        <v>0.56464112534587396</v>
      </c>
      <c r="R151" s="169">
        <f t="shared" si="25"/>
        <v>77033.424089812237</v>
      </c>
    </row>
    <row r="152" spans="1:18" ht="13.5" thickBot="1" x14ac:dyDescent="0.25">
      <c r="A152" s="21" t="s">
        <v>3528</v>
      </c>
      <c r="B152" s="21" t="s">
        <v>3532</v>
      </c>
      <c r="C152" s="21" t="s">
        <v>520</v>
      </c>
      <c r="D152" s="22">
        <v>459372</v>
      </c>
      <c r="E152" s="23" t="s">
        <v>2375</v>
      </c>
      <c r="F152" s="23"/>
      <c r="G152" s="23">
        <v>99.68</v>
      </c>
      <c r="H152" s="24">
        <f t="shared" si="20"/>
        <v>0.96954594429915886</v>
      </c>
      <c r="I152" s="25">
        <f t="shared" si="21"/>
        <v>445382.25952459319</v>
      </c>
      <c r="J152" s="26">
        <v>1</v>
      </c>
      <c r="K152" s="24">
        <f t="shared" si="22"/>
        <v>0.99510923830215869</v>
      </c>
      <c r="L152" s="25">
        <f t="shared" si="23"/>
        <v>457125.32101733924</v>
      </c>
      <c r="M152" s="26">
        <v>20.565000000000001</v>
      </c>
      <c r="N152" s="27">
        <v>32120</v>
      </c>
      <c r="O152" s="28">
        <f t="shared" si="24"/>
        <v>1561.8769754437149</v>
      </c>
      <c r="P152" s="153" t="s">
        <v>3810</v>
      </c>
      <c r="Q152" s="24">
        <f>IF(ISERR(O152),VLOOKUP(P152,'Other corrections needed'!$A$3:$E$6,5,FALSE),IF(O152=0,VLOOKUP(P152,'Other corrections needed'!$A$3:$E$6,5,FALSE),O152/O$156))</f>
        <v>1.3769018934326223</v>
      </c>
      <c r="R152" s="168">
        <f t="shared" si="25"/>
        <v>632510.17658993055</v>
      </c>
    </row>
    <row r="153" spans="1:18" x14ac:dyDescent="0.2">
      <c r="A153" s="39" t="s">
        <v>1127</v>
      </c>
      <c r="B153" s="39" t="s">
        <v>1138</v>
      </c>
      <c r="C153" s="40" t="s">
        <v>717</v>
      </c>
      <c r="D153" s="41">
        <v>541069</v>
      </c>
      <c r="E153" s="42" t="s">
        <v>2359</v>
      </c>
      <c r="F153" s="162"/>
      <c r="G153" s="43">
        <v>108.51</v>
      </c>
      <c r="H153" s="44">
        <f t="shared" si="20"/>
        <v>1.0554316855527861</v>
      </c>
      <c r="I153" s="45">
        <f t="shared" si="21"/>
        <v>571061.36667036044</v>
      </c>
      <c r="J153" s="46">
        <v>1.08</v>
      </c>
      <c r="K153" s="44">
        <f>J153/K$156</f>
        <v>1.0747179773663313</v>
      </c>
      <c r="L153" s="45">
        <f t="shared" si="23"/>
        <v>581496.58129562356</v>
      </c>
      <c r="M153" s="46">
        <v>7.9378000000000011</v>
      </c>
      <c r="N153" s="47">
        <v>16374</v>
      </c>
      <c r="O153" s="48">
        <f>N153/M153</f>
        <v>2062.7881780846074</v>
      </c>
      <c r="P153" s="155" t="s">
        <v>3760</v>
      </c>
      <c r="Q153" s="44">
        <f>IF(ISERR(O153),VLOOKUP(P153,'Other corrections needed'!$A$3:$E$6,5,FALSE),IF(O153=0,VLOOKUP(P153,'Other corrections needed'!$A$3:$E$6,5,FALSE),O153/O$156))</f>
        <v>1.8184895435495068</v>
      </c>
      <c r="R153" s="167">
        <f t="shared" si="25"/>
        <v>983928.31883878808</v>
      </c>
    </row>
    <row r="154" spans="1:18" ht="13.5" thickBot="1" x14ac:dyDescent="0.25">
      <c r="A154" s="49" t="s">
        <v>1127</v>
      </c>
      <c r="B154" s="49" t="s">
        <v>1142</v>
      </c>
      <c r="C154" s="50" t="s">
        <v>718</v>
      </c>
      <c r="D154" s="51">
        <v>539566</v>
      </c>
      <c r="E154" s="49" t="s">
        <v>2359</v>
      </c>
      <c r="F154" s="52"/>
      <c r="G154" s="52">
        <v>113.81</v>
      </c>
      <c r="H154" s="53">
        <f t="shared" si="20"/>
        <v>1.1069825834739895</v>
      </c>
      <c r="I154" s="54">
        <f t="shared" si="21"/>
        <v>597290.16463472659</v>
      </c>
      <c r="J154" s="55">
        <v>1.0900000000000001</v>
      </c>
      <c r="K154" s="53">
        <f>J154/K$156</f>
        <v>1.0846690697493531</v>
      </c>
      <c r="L154" s="54">
        <f t="shared" si="23"/>
        <v>585250.55128837947</v>
      </c>
      <c r="M154" s="55">
        <v>7.8384000000000018</v>
      </c>
      <c r="N154" s="56">
        <v>22028</v>
      </c>
      <c r="O154" s="57">
        <f>N154/M154</f>
        <v>2810.2674015105117</v>
      </c>
      <c r="P154" s="156" t="s">
        <v>3760</v>
      </c>
      <c r="Q154" s="53">
        <f>IF(ISERR(O154),VLOOKUP(P154,'Other corrections needed'!$A$3:$E$6,5,FALSE),IF(O154=0,VLOOKUP(P154,'Other corrections needed'!$A$3:$E$6,5,FALSE),O154/O$156))</f>
        <v>2.4774438493099114</v>
      </c>
      <c r="R154" s="168">
        <f t="shared" si="25"/>
        <v>1336744.4679967517</v>
      </c>
    </row>
    <row r="155" spans="1:18" s="61" customFormat="1" ht="13.5" thickBot="1" x14ac:dyDescent="0.25">
      <c r="C155" s="80"/>
      <c r="D155" s="27"/>
      <c r="H155" s="24"/>
      <c r="I155" s="62"/>
      <c r="J155" s="152"/>
      <c r="K155" s="24"/>
      <c r="M155" s="81"/>
      <c r="N155" s="56"/>
      <c r="O155" s="57"/>
      <c r="P155" s="156"/>
      <c r="Q155" s="53"/>
      <c r="R155" s="24"/>
    </row>
    <row r="156" spans="1:18" ht="39" thickBot="1" x14ac:dyDescent="0.25">
      <c r="D156" s="58"/>
      <c r="E156" s="61"/>
      <c r="F156" s="29"/>
      <c r="G156" s="79" t="s">
        <v>521</v>
      </c>
      <c r="H156" s="82">
        <f>SUMPRODUCT(D3:D154,G3:G154)/SUM(D3:D154)</f>
        <v>102.81101229509468</v>
      </c>
      <c r="I156" s="70"/>
      <c r="J156" s="76" t="s">
        <v>521</v>
      </c>
      <c r="K156" s="151">
        <f>SUMPRODUCT(D3:D154,J3:J154)/SUM(D3:D154)</f>
        <v>1.0049147988076021</v>
      </c>
      <c r="L156" s="74"/>
      <c r="M156" s="71"/>
      <c r="N156" s="77" t="s">
        <v>528</v>
      </c>
      <c r="O156" s="78">
        <f>'Land data'!F236</f>
        <v>1134.3415118341866</v>
      </c>
      <c r="P156" s="157"/>
      <c r="Q156" s="69"/>
      <c r="R156" s="75"/>
    </row>
    <row r="157" spans="1:18" x14ac:dyDescent="0.2">
      <c r="D157" s="58"/>
      <c r="G157" s="61"/>
      <c r="H157" s="24"/>
      <c r="I157" s="62"/>
      <c r="P157" s="158"/>
      <c r="Q157" s="60"/>
      <c r="R157" s="60"/>
    </row>
    <row r="158" spans="1:18" ht="13.5" thickBot="1" x14ac:dyDescent="0.25">
      <c r="A158" s="20" t="s">
        <v>858</v>
      </c>
      <c r="D158" s="58"/>
      <c r="P158" s="149"/>
      <c r="Q158" s="60"/>
      <c r="R158" s="60"/>
    </row>
    <row r="159" spans="1:18" ht="13.5" thickBot="1" x14ac:dyDescent="0.25">
      <c r="A159" s="65" t="s">
        <v>1127</v>
      </c>
      <c r="B159" s="65" t="s">
        <v>3569</v>
      </c>
      <c r="C159" s="65" t="s">
        <v>3570</v>
      </c>
      <c r="D159" s="66">
        <f>D153+D154</f>
        <v>1080635</v>
      </c>
      <c r="E159" s="67" t="s">
        <v>2359</v>
      </c>
      <c r="F159" s="68" t="s">
        <v>1318</v>
      </c>
      <c r="G159" s="68">
        <f>(G153*D153+G154*D154)/(D153+D154)</f>
        <v>111.15631425041758</v>
      </c>
      <c r="H159" s="69">
        <f>G159/H$156</f>
        <v>1.081171284758579</v>
      </c>
      <c r="I159" s="70">
        <f>H159*D159</f>
        <v>1168351.531305087</v>
      </c>
      <c r="J159" s="71">
        <f>(J153+J154)/2</f>
        <v>1.085</v>
      </c>
      <c r="K159" s="69">
        <f>J159/K$156</f>
        <v>1.0796935235578422</v>
      </c>
      <c r="L159" s="70">
        <f>K159*D159</f>
        <v>1166754.6108299289</v>
      </c>
      <c r="M159" s="71">
        <f>M153+M154</f>
        <v>15.776200000000003</v>
      </c>
      <c r="N159" s="72">
        <f>N153+N154</f>
        <v>38402</v>
      </c>
      <c r="O159" s="73">
        <f>N159/M159</f>
        <v>2434.1729947642648</v>
      </c>
      <c r="P159" s="157" t="s">
        <v>3760</v>
      </c>
      <c r="Q159" s="69">
        <f>IF(ISERR(O159),VLOOKUP(P159,'Other corrections needed'!$A$3:$E$6,5,FALSE),IF(O159=0,VLOOKUP(P159,'Other corrections needed'!$A$3:$E$6,5,FALSE),O159/O$156))</f>
        <v>2.1458907827751985</v>
      </c>
      <c r="R159" s="170">
        <f>Q159*D159</f>
        <v>2318924.6860442767</v>
      </c>
    </row>
  </sheetData>
  <autoFilter ref="A1:R154">
    <filterColumn colId="6" showButton="0"/>
    <filterColumn colId="7" showButton="0"/>
    <filterColumn colId="9" showButton="0"/>
    <filterColumn colId="10" showButton="0"/>
    <filterColumn colId="12" showButton="0"/>
    <filterColumn colId="13" showButton="0"/>
    <filterColumn colId="14" showButton="0"/>
    <filterColumn colId="15" showButton="0"/>
    <filterColumn colId="16" showButton="0"/>
  </autoFilter>
  <mergeCells count="9">
    <mergeCell ref="M1:R1"/>
    <mergeCell ref="A1:A2"/>
    <mergeCell ref="B1:B2"/>
    <mergeCell ref="C1:C2"/>
    <mergeCell ref="D1:D2"/>
    <mergeCell ref="E1:E2"/>
    <mergeCell ref="G1:I1"/>
    <mergeCell ref="J1:L1"/>
    <mergeCell ref="F1:F2"/>
  </mergeCells>
  <phoneticPr fontId="7" type="noConversion"/>
  <pageMargins left="0.75" right="0.75" top="1" bottom="1" header="0.5" footer="0.5"/>
  <pageSetup paperSize="9" orientation="portrait"/>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autoPageBreaks="0"/>
  </sheetPr>
  <dimension ref="A1:O793"/>
  <sheetViews>
    <sheetView workbookViewId="0"/>
  </sheetViews>
  <sheetFormatPr defaultRowHeight="12.75" x14ac:dyDescent="0.2"/>
  <cols>
    <col min="1" max="1" width="10" style="19" customWidth="1"/>
    <col min="2" max="2" width="11.42578125" style="19" customWidth="1"/>
    <col min="3" max="3" width="12.28515625" style="19" customWidth="1"/>
    <col min="4" max="4" width="9.85546875" style="19" customWidth="1"/>
    <col min="5" max="5" width="34.28515625" style="19" customWidth="1"/>
    <col min="6" max="6" width="9.7109375" style="19" customWidth="1"/>
    <col min="7" max="7" width="10" style="19" customWidth="1"/>
    <col min="8" max="8" width="11.42578125" style="19" customWidth="1"/>
    <col min="9" max="9" width="10.42578125" style="19" customWidth="1"/>
    <col min="10" max="10" width="13.140625" style="19" customWidth="1"/>
    <col min="11" max="11" width="19.7109375" style="96" customWidth="1"/>
    <col min="12" max="12" width="22" style="96" customWidth="1"/>
    <col min="13" max="13" width="11.7109375" style="19" customWidth="1"/>
    <col min="14" max="15" width="12.7109375" style="19" customWidth="1"/>
    <col min="16" max="255" width="11.42578125" style="19" customWidth="1"/>
    <col min="256" max="16384" width="9.140625" style="19"/>
  </cols>
  <sheetData>
    <row r="1" spans="1:15" s="97" customFormat="1" ht="27.75" customHeight="1" thickBot="1" x14ac:dyDescent="0.25">
      <c r="A1" s="85" t="s">
        <v>2754</v>
      </c>
      <c r="B1" s="85" t="s">
        <v>3573</v>
      </c>
      <c r="C1" s="85" t="s">
        <v>2755</v>
      </c>
      <c r="D1" s="85" t="s">
        <v>2756</v>
      </c>
      <c r="E1" s="85" t="s">
        <v>2757</v>
      </c>
      <c r="F1" s="85" t="s">
        <v>2758</v>
      </c>
      <c r="G1" s="85" t="s">
        <v>2759</v>
      </c>
      <c r="H1" s="85" t="s">
        <v>2760</v>
      </c>
      <c r="I1" s="85" t="s">
        <v>2761</v>
      </c>
      <c r="J1" s="85" t="s">
        <v>2762</v>
      </c>
      <c r="K1" s="85" t="s">
        <v>2763</v>
      </c>
      <c r="L1" s="85" t="s">
        <v>2764</v>
      </c>
      <c r="M1" s="85" t="s">
        <v>2765</v>
      </c>
      <c r="N1" s="85" t="s">
        <v>2766</v>
      </c>
      <c r="O1" s="85" t="s">
        <v>2767</v>
      </c>
    </row>
    <row r="2" spans="1:15" x14ac:dyDescent="0.2">
      <c r="A2" s="39" t="s">
        <v>3528</v>
      </c>
      <c r="B2" s="39" t="s">
        <v>3561</v>
      </c>
      <c r="C2" s="39" t="s">
        <v>3846</v>
      </c>
      <c r="D2" s="39" t="s">
        <v>3847</v>
      </c>
      <c r="E2" s="39" t="s">
        <v>3848</v>
      </c>
      <c r="F2" s="39" t="s">
        <v>2074</v>
      </c>
      <c r="G2" s="39" t="s">
        <v>2075</v>
      </c>
      <c r="H2" s="39" t="s">
        <v>3561</v>
      </c>
      <c r="I2" s="39">
        <v>20</v>
      </c>
      <c r="J2" s="88">
        <f t="shared" ref="J2:J65" si="0">I2/SUMIF(B:B,B2,I:I)</f>
        <v>0.37037037037037035</v>
      </c>
      <c r="K2" s="93" t="e">
        <v>#N/A</v>
      </c>
      <c r="L2" s="93">
        <v>0.92189218439642895</v>
      </c>
      <c r="M2" s="88">
        <f>IF(ISNA(K2),L2,K2)</f>
        <v>0.92189218439642895</v>
      </c>
      <c r="N2" s="88">
        <f t="shared" ref="N2:N65" si="1">M2/M$757</f>
        <v>0.88871450262875429</v>
      </c>
      <c r="O2" s="88">
        <f>N2*J2</f>
        <v>0.32915351949213117</v>
      </c>
    </row>
    <row r="3" spans="1:15" x14ac:dyDescent="0.2">
      <c r="A3" s="21" t="s">
        <v>3528</v>
      </c>
      <c r="B3" s="21" t="s">
        <v>3561</v>
      </c>
      <c r="C3" s="21" t="s">
        <v>3846</v>
      </c>
      <c r="D3" s="21" t="s">
        <v>3849</v>
      </c>
      <c r="E3" s="21" t="s">
        <v>3850</v>
      </c>
      <c r="F3" s="21" t="s">
        <v>2076</v>
      </c>
      <c r="G3" s="21" t="s">
        <v>2077</v>
      </c>
      <c r="H3" s="21" t="s">
        <v>3561</v>
      </c>
      <c r="I3" s="21">
        <v>34</v>
      </c>
      <c r="J3" s="89">
        <f t="shared" si="0"/>
        <v>0.62962962962962965</v>
      </c>
      <c r="K3" s="94" t="e">
        <v>#N/A</v>
      </c>
      <c r="L3" s="94">
        <v>0.92266454190398495</v>
      </c>
      <c r="M3" s="89">
        <f t="shared" ref="M3:M66" si="2">IF(ISNA(K3),L3,K3)</f>
        <v>0.92266454190398495</v>
      </c>
      <c r="N3" s="89">
        <f t="shared" si="1"/>
        <v>0.88945906401000585</v>
      </c>
      <c r="O3" s="89">
        <f t="shared" ref="O3:O66" si="3">N3*J3</f>
        <v>0.560029781043337</v>
      </c>
    </row>
    <row r="4" spans="1:15" x14ac:dyDescent="0.2">
      <c r="A4" s="21" t="s">
        <v>3496</v>
      </c>
      <c r="B4" s="21" t="s">
        <v>3728</v>
      </c>
      <c r="C4" s="21" t="s">
        <v>3851</v>
      </c>
      <c r="D4" s="21" t="s">
        <v>3852</v>
      </c>
      <c r="E4" s="21" t="s">
        <v>3851</v>
      </c>
      <c r="F4" s="21" t="s">
        <v>2078</v>
      </c>
      <c r="G4" s="21" t="s">
        <v>2079</v>
      </c>
      <c r="H4" s="21" t="s">
        <v>3498</v>
      </c>
      <c r="I4" s="21">
        <v>512</v>
      </c>
      <c r="J4" s="89">
        <f t="shared" si="0"/>
        <v>1</v>
      </c>
      <c r="K4" s="94" t="e">
        <v>#N/A</v>
      </c>
      <c r="L4" s="94">
        <v>1.16585388516833</v>
      </c>
      <c r="M4" s="89">
        <f t="shared" si="2"/>
        <v>1.16585388516833</v>
      </c>
      <c r="N4" s="89">
        <f t="shared" si="1"/>
        <v>1.1238963440974656</v>
      </c>
      <c r="O4" s="89">
        <f t="shared" si="3"/>
        <v>1.1238963440974656</v>
      </c>
    </row>
    <row r="5" spans="1:15" x14ac:dyDescent="0.2">
      <c r="A5" s="21" t="s">
        <v>3528</v>
      </c>
      <c r="B5" s="21" t="s">
        <v>687</v>
      </c>
      <c r="C5" s="21" t="s">
        <v>688</v>
      </c>
      <c r="D5" s="21" t="s">
        <v>3853</v>
      </c>
      <c r="E5" s="21" t="s">
        <v>3854</v>
      </c>
      <c r="F5" s="21" t="s">
        <v>2080</v>
      </c>
      <c r="G5" s="21" t="s">
        <v>2081</v>
      </c>
      <c r="H5" s="21" t="s">
        <v>3567</v>
      </c>
      <c r="I5" s="21">
        <v>325</v>
      </c>
      <c r="J5" s="89">
        <f t="shared" si="0"/>
        <v>1</v>
      </c>
      <c r="K5" s="94">
        <v>0.99248451027343998</v>
      </c>
      <c r="L5" s="94">
        <v>0.99261662870053702</v>
      </c>
      <c r="M5" s="89">
        <f t="shared" si="2"/>
        <v>0.99248451027343998</v>
      </c>
      <c r="N5" s="89">
        <f t="shared" si="1"/>
        <v>0.95676630395980578</v>
      </c>
      <c r="O5" s="89">
        <f t="shared" si="3"/>
        <v>0.95676630395980578</v>
      </c>
    </row>
    <row r="6" spans="1:15" x14ac:dyDescent="0.2">
      <c r="A6" s="21" t="s">
        <v>3528</v>
      </c>
      <c r="B6" s="21" t="s">
        <v>701</v>
      </c>
      <c r="C6" s="21" t="s">
        <v>702</v>
      </c>
      <c r="D6" s="21" t="s">
        <v>3855</v>
      </c>
      <c r="E6" s="21" t="s">
        <v>3856</v>
      </c>
      <c r="F6" s="21" t="s">
        <v>2082</v>
      </c>
      <c r="G6" s="21" t="s">
        <v>2083</v>
      </c>
      <c r="H6" s="21" t="s">
        <v>3559</v>
      </c>
      <c r="I6" s="21">
        <v>370</v>
      </c>
      <c r="J6" s="89">
        <f t="shared" si="0"/>
        <v>1</v>
      </c>
      <c r="K6" s="94">
        <v>0.95696103896068596</v>
      </c>
      <c r="L6" s="94">
        <v>0.95726833970407299</v>
      </c>
      <c r="M6" s="89">
        <f t="shared" si="2"/>
        <v>0.95696103896068596</v>
      </c>
      <c r="N6" s="89">
        <f t="shared" si="1"/>
        <v>0.92252127544811446</v>
      </c>
      <c r="O6" s="89">
        <f t="shared" si="3"/>
        <v>0.92252127544811446</v>
      </c>
    </row>
    <row r="7" spans="1:15" x14ac:dyDescent="0.2">
      <c r="A7" s="21" t="s">
        <v>3528</v>
      </c>
      <c r="B7" s="21" t="s">
        <v>664</v>
      </c>
      <c r="C7" s="21" t="s">
        <v>665</v>
      </c>
      <c r="D7" s="21" t="s">
        <v>3857</v>
      </c>
      <c r="E7" s="21" t="s">
        <v>3858</v>
      </c>
      <c r="F7" s="21" t="s">
        <v>2084</v>
      </c>
      <c r="G7" s="21" t="s">
        <v>2085</v>
      </c>
      <c r="H7" s="21" t="s">
        <v>3565</v>
      </c>
      <c r="I7" s="21">
        <v>11</v>
      </c>
      <c r="J7" s="89">
        <f t="shared" si="0"/>
        <v>1.1591148577449948E-2</v>
      </c>
      <c r="K7" s="94">
        <v>1.03798353468854</v>
      </c>
      <c r="L7" s="94">
        <v>1.0379731696266099</v>
      </c>
      <c r="M7" s="89">
        <f>IF(ISNA(K7),L7,K7)</f>
        <v>1.03798353468854</v>
      </c>
      <c r="N7" s="89">
        <f t="shared" si="1"/>
        <v>1.000627878596793</v>
      </c>
      <c r="O7" s="89">
        <f t="shared" si="3"/>
        <v>1.1598426411553977E-2</v>
      </c>
    </row>
    <row r="8" spans="1:15" x14ac:dyDescent="0.2">
      <c r="A8" s="21" t="s">
        <v>3528</v>
      </c>
      <c r="B8" s="21" t="s">
        <v>664</v>
      </c>
      <c r="C8" s="21" t="s">
        <v>665</v>
      </c>
      <c r="D8" s="21" t="s">
        <v>3859</v>
      </c>
      <c r="E8" s="21" t="s">
        <v>3860</v>
      </c>
      <c r="F8" s="21" t="s">
        <v>2086</v>
      </c>
      <c r="G8" s="21" t="s">
        <v>2087</v>
      </c>
      <c r="H8" s="21" t="s">
        <v>3565</v>
      </c>
      <c r="I8" s="21">
        <v>57</v>
      </c>
      <c r="J8" s="89">
        <f t="shared" si="0"/>
        <v>6.0063224446786093E-2</v>
      </c>
      <c r="K8" s="94">
        <v>1.0379058728738499</v>
      </c>
      <c r="L8" s="94">
        <v>1.03798106614194</v>
      </c>
      <c r="M8" s="89">
        <f t="shared" si="2"/>
        <v>1.0379058728738499</v>
      </c>
      <c r="N8" s="89">
        <f t="shared" si="1"/>
        <v>1.0005530117282115</v>
      </c>
      <c r="O8" s="89">
        <f t="shared" si="3"/>
        <v>6.0096440114339365E-2</v>
      </c>
    </row>
    <row r="9" spans="1:15" x14ac:dyDescent="0.2">
      <c r="A9" s="21" t="s">
        <v>3528</v>
      </c>
      <c r="B9" s="21" t="s">
        <v>664</v>
      </c>
      <c r="C9" s="21" t="s">
        <v>665</v>
      </c>
      <c r="D9" s="21" t="s">
        <v>3861</v>
      </c>
      <c r="E9" s="21" t="s">
        <v>3862</v>
      </c>
      <c r="F9" s="21" t="s">
        <v>2088</v>
      </c>
      <c r="G9" s="21" t="s">
        <v>2089</v>
      </c>
      <c r="H9" s="21" t="s">
        <v>3565</v>
      </c>
      <c r="I9" s="21">
        <v>79</v>
      </c>
      <c r="J9" s="89">
        <f t="shared" si="0"/>
        <v>8.3245521601685982E-2</v>
      </c>
      <c r="K9" s="94">
        <v>1.0374600458146399</v>
      </c>
      <c r="L9" s="94">
        <v>1.03762409834943</v>
      </c>
      <c r="M9" s="89">
        <f t="shared" si="2"/>
        <v>1.0374600458146399</v>
      </c>
      <c r="N9" s="89">
        <f t="shared" si="1"/>
        <v>1.0001232293958624</v>
      </c>
      <c r="O9" s="89">
        <f t="shared" si="3"/>
        <v>8.3255779897021209E-2</v>
      </c>
    </row>
    <row r="10" spans="1:15" x14ac:dyDescent="0.2">
      <c r="A10" s="21" t="s">
        <v>3528</v>
      </c>
      <c r="B10" s="21" t="s">
        <v>664</v>
      </c>
      <c r="C10" s="21" t="s">
        <v>665</v>
      </c>
      <c r="D10" s="21" t="s">
        <v>3863</v>
      </c>
      <c r="E10" s="21" t="s">
        <v>3864</v>
      </c>
      <c r="F10" s="21" t="s">
        <v>2090</v>
      </c>
      <c r="G10" s="21" t="s">
        <v>2087</v>
      </c>
      <c r="H10" s="21" t="s">
        <v>3565</v>
      </c>
      <c r="I10" s="21">
        <v>139</v>
      </c>
      <c r="J10" s="89">
        <f t="shared" si="0"/>
        <v>0.14646996838777659</v>
      </c>
      <c r="K10" s="94">
        <v>1.0379114707764201</v>
      </c>
      <c r="L10" s="94">
        <v>1.03798106614194</v>
      </c>
      <c r="M10" s="89">
        <f t="shared" si="2"/>
        <v>1.0379114707764201</v>
      </c>
      <c r="N10" s="89">
        <f t="shared" si="1"/>
        <v>1.0005584081696637</v>
      </c>
      <c r="O10" s="89">
        <f t="shared" si="3"/>
        <v>0.14655175841473472</v>
      </c>
    </row>
    <row r="11" spans="1:15" x14ac:dyDescent="0.2">
      <c r="A11" s="21" t="s">
        <v>3528</v>
      </c>
      <c r="B11" s="21" t="s">
        <v>664</v>
      </c>
      <c r="C11" s="21" t="s">
        <v>665</v>
      </c>
      <c r="D11" s="21" t="s">
        <v>3865</v>
      </c>
      <c r="E11" s="21" t="s">
        <v>3866</v>
      </c>
      <c r="F11" s="21" t="s">
        <v>2091</v>
      </c>
      <c r="G11" s="21" t="s">
        <v>2087</v>
      </c>
      <c r="H11" s="21" t="s">
        <v>3565</v>
      </c>
      <c r="I11" s="21">
        <v>140</v>
      </c>
      <c r="J11" s="89">
        <f t="shared" si="0"/>
        <v>0.14752370916754479</v>
      </c>
      <c r="K11" s="94">
        <v>1.0378592378693801</v>
      </c>
      <c r="L11" s="94">
        <v>1.03798106614194</v>
      </c>
      <c r="M11" s="89">
        <f t="shared" si="2"/>
        <v>1.0378592378693801</v>
      </c>
      <c r="N11" s="89">
        <f t="shared" si="1"/>
        <v>1.0005080550559411</v>
      </c>
      <c r="O11" s="89">
        <f t="shared" si="3"/>
        <v>0.14759865933385855</v>
      </c>
    </row>
    <row r="12" spans="1:15" x14ac:dyDescent="0.2">
      <c r="A12" s="21" t="s">
        <v>3528</v>
      </c>
      <c r="B12" s="21" t="s">
        <v>664</v>
      </c>
      <c r="C12" s="21" t="s">
        <v>665</v>
      </c>
      <c r="D12" s="21" t="s">
        <v>3867</v>
      </c>
      <c r="E12" s="21" t="s">
        <v>3868</v>
      </c>
      <c r="F12" s="21" t="s">
        <v>2092</v>
      </c>
      <c r="G12" s="21" t="s">
        <v>2087</v>
      </c>
      <c r="H12" s="21" t="s">
        <v>3565</v>
      </c>
      <c r="I12" s="21">
        <v>523</v>
      </c>
      <c r="J12" s="89">
        <f t="shared" si="0"/>
        <v>0.55110642781875663</v>
      </c>
      <c r="K12" s="94">
        <v>1.03794665730278</v>
      </c>
      <c r="L12" s="94">
        <v>1.03798106614194</v>
      </c>
      <c r="M12" s="89">
        <f t="shared" si="2"/>
        <v>1.03794665730278</v>
      </c>
      <c r="N12" s="89">
        <f t="shared" si="1"/>
        <v>1.0005923283794262</v>
      </c>
      <c r="O12" s="89">
        <f t="shared" si="3"/>
        <v>0.55143286379603795</v>
      </c>
    </row>
    <row r="13" spans="1:15" x14ac:dyDescent="0.2">
      <c r="A13" s="21" t="s">
        <v>3528</v>
      </c>
      <c r="B13" s="21" t="s">
        <v>2790</v>
      </c>
      <c r="C13" s="21" t="s">
        <v>1776</v>
      </c>
      <c r="D13" s="21" t="s">
        <v>1777</v>
      </c>
      <c r="E13" s="21" t="s">
        <v>1778</v>
      </c>
      <c r="F13" s="21" t="s">
        <v>2093</v>
      </c>
      <c r="G13" s="21" t="s">
        <v>2094</v>
      </c>
      <c r="H13" s="21" t="s">
        <v>3561</v>
      </c>
      <c r="I13" s="21">
        <v>455</v>
      </c>
      <c r="J13" s="89">
        <f t="shared" si="0"/>
        <v>1</v>
      </c>
      <c r="K13" s="94">
        <v>0.92491463628788195</v>
      </c>
      <c r="L13" s="94">
        <v>0.92509215225291097</v>
      </c>
      <c r="M13" s="89">
        <f t="shared" si="2"/>
        <v>0.92491463628788195</v>
      </c>
      <c r="N13" s="89">
        <f t="shared" si="1"/>
        <v>0.89162818046971637</v>
      </c>
      <c r="O13" s="89">
        <f t="shared" si="3"/>
        <v>0.89162818046971637</v>
      </c>
    </row>
    <row r="14" spans="1:15" x14ac:dyDescent="0.2">
      <c r="A14" s="21" t="s">
        <v>3034</v>
      </c>
      <c r="B14" s="21" t="s">
        <v>2289</v>
      </c>
      <c r="C14" s="21" t="s">
        <v>2290</v>
      </c>
      <c r="D14" s="21" t="s">
        <v>1779</v>
      </c>
      <c r="E14" s="21" t="s">
        <v>1780</v>
      </c>
      <c r="F14" s="21" t="s">
        <v>2095</v>
      </c>
      <c r="G14" s="21" t="s">
        <v>2096</v>
      </c>
      <c r="H14" s="21" t="s">
        <v>3036</v>
      </c>
      <c r="I14" s="21">
        <v>92</v>
      </c>
      <c r="J14" s="89">
        <f t="shared" si="0"/>
        <v>0.10267857142857142</v>
      </c>
      <c r="K14" s="94">
        <v>0.96602729209999005</v>
      </c>
      <c r="L14" s="94">
        <v>0.96607552718159595</v>
      </c>
      <c r="M14" s="89">
        <f t="shared" si="2"/>
        <v>0.96602729209999005</v>
      </c>
      <c r="N14" s="89">
        <f t="shared" si="1"/>
        <v>0.93126124611472583</v>
      </c>
      <c r="O14" s="89">
        <f t="shared" si="3"/>
        <v>9.5620574377851306E-2</v>
      </c>
    </row>
    <row r="15" spans="1:15" x14ac:dyDescent="0.2">
      <c r="A15" s="21" t="s">
        <v>3034</v>
      </c>
      <c r="B15" s="21" t="s">
        <v>2289</v>
      </c>
      <c r="C15" s="21" t="s">
        <v>2290</v>
      </c>
      <c r="D15" s="21" t="s">
        <v>1781</v>
      </c>
      <c r="E15" s="21" t="s">
        <v>1782</v>
      </c>
      <c r="F15" s="21" t="s">
        <v>2097</v>
      </c>
      <c r="G15" s="21" t="s">
        <v>2098</v>
      </c>
      <c r="H15" s="21" t="s">
        <v>3036</v>
      </c>
      <c r="I15" s="21">
        <v>804</v>
      </c>
      <c r="J15" s="89">
        <f t="shared" si="0"/>
        <v>0.8973214285714286</v>
      </c>
      <c r="K15" s="94">
        <v>0.96421266107709402</v>
      </c>
      <c r="L15" s="94">
        <v>0.96409102694232796</v>
      </c>
      <c r="M15" s="89">
        <f t="shared" si="2"/>
        <v>0.96421266107709402</v>
      </c>
      <c r="N15" s="89">
        <f t="shared" si="1"/>
        <v>0.92951192126496196</v>
      </c>
      <c r="O15" s="89">
        <f t="shared" si="3"/>
        <v>0.83407096506364897</v>
      </c>
    </row>
    <row r="16" spans="1:15" x14ac:dyDescent="0.2">
      <c r="A16" s="21" t="s">
        <v>1127</v>
      </c>
      <c r="B16" s="21" t="s">
        <v>569</v>
      </c>
      <c r="C16" s="21" t="s">
        <v>570</v>
      </c>
      <c r="D16" s="21" t="s">
        <v>1783</v>
      </c>
      <c r="E16" s="21" t="s">
        <v>1784</v>
      </c>
      <c r="F16" s="21" t="s">
        <v>2099</v>
      </c>
      <c r="G16" s="21" t="s">
        <v>2100</v>
      </c>
      <c r="H16" s="21" t="s">
        <v>1164</v>
      </c>
      <c r="I16" s="21">
        <v>766</v>
      </c>
      <c r="J16" s="89">
        <f t="shared" si="0"/>
        <v>1</v>
      </c>
      <c r="K16" s="94">
        <v>1.02586119081077</v>
      </c>
      <c r="L16" s="94">
        <v>1.0259732316561101</v>
      </c>
      <c r="M16" s="89">
        <f t="shared" si="2"/>
        <v>1.02586119081077</v>
      </c>
      <c r="N16" s="89">
        <f t="shared" si="1"/>
        <v>0.98894180185986902</v>
      </c>
      <c r="O16" s="89">
        <f t="shared" si="3"/>
        <v>0.98894180185986902</v>
      </c>
    </row>
    <row r="17" spans="1:15" x14ac:dyDescent="0.2">
      <c r="A17" s="21" t="s">
        <v>1167</v>
      </c>
      <c r="B17" s="21" t="s">
        <v>3720</v>
      </c>
      <c r="C17" s="21" t="s">
        <v>3721</v>
      </c>
      <c r="D17" s="21" t="s">
        <v>1785</v>
      </c>
      <c r="E17" s="21" t="s">
        <v>1786</v>
      </c>
      <c r="F17" s="21" t="s">
        <v>2101</v>
      </c>
      <c r="G17" s="21" t="s">
        <v>2102</v>
      </c>
      <c r="H17" s="21" t="s">
        <v>3436</v>
      </c>
      <c r="I17" s="21">
        <v>50</v>
      </c>
      <c r="J17" s="89">
        <f t="shared" si="0"/>
        <v>6.7750677506775062E-2</v>
      </c>
      <c r="K17" s="94">
        <v>1.24241662547693</v>
      </c>
      <c r="L17" s="94">
        <v>1.24271443120917</v>
      </c>
      <c r="M17" s="89">
        <f t="shared" si="2"/>
        <v>1.24241662547693</v>
      </c>
      <c r="N17" s="89">
        <f t="shared" si="1"/>
        <v>1.1977036925324673</v>
      </c>
      <c r="O17" s="89">
        <f t="shared" si="3"/>
        <v>8.1145236621440867E-2</v>
      </c>
    </row>
    <row r="18" spans="1:15" x14ac:dyDescent="0.2">
      <c r="A18" s="21" t="s">
        <v>1167</v>
      </c>
      <c r="B18" s="21" t="s">
        <v>3720</v>
      </c>
      <c r="C18" s="21" t="s">
        <v>3721</v>
      </c>
      <c r="D18" s="21" t="s">
        <v>1787</v>
      </c>
      <c r="E18" s="21" t="s">
        <v>1788</v>
      </c>
      <c r="F18" s="21" t="s">
        <v>2103</v>
      </c>
      <c r="G18" s="21" t="s">
        <v>2104</v>
      </c>
      <c r="H18" s="21" t="s">
        <v>3436</v>
      </c>
      <c r="I18" s="21">
        <v>688</v>
      </c>
      <c r="J18" s="89">
        <f t="shared" si="0"/>
        <v>0.9322493224932249</v>
      </c>
      <c r="K18" s="94">
        <v>1.23933717396342</v>
      </c>
      <c r="L18" s="94">
        <v>1.2396014509884301</v>
      </c>
      <c r="M18" s="89">
        <f t="shared" si="2"/>
        <v>1.23933717396342</v>
      </c>
      <c r="N18" s="89">
        <f t="shared" si="1"/>
        <v>1.1947350664105416</v>
      </c>
      <c r="O18" s="89">
        <f t="shared" si="3"/>
        <v>1.1137909562201256</v>
      </c>
    </row>
    <row r="19" spans="1:15" x14ac:dyDescent="0.2">
      <c r="A19" s="21" t="s">
        <v>1167</v>
      </c>
      <c r="B19" s="21" t="s">
        <v>3726</v>
      </c>
      <c r="C19" s="21" t="s">
        <v>3727</v>
      </c>
      <c r="D19" s="21" t="s">
        <v>1789</v>
      </c>
      <c r="E19" s="21" t="s">
        <v>1790</v>
      </c>
      <c r="F19" s="21" t="s">
        <v>2105</v>
      </c>
      <c r="G19" s="21" t="s">
        <v>2106</v>
      </c>
      <c r="H19" s="21" t="s">
        <v>3393</v>
      </c>
      <c r="I19" s="21">
        <v>167</v>
      </c>
      <c r="J19" s="89">
        <f t="shared" si="0"/>
        <v>1</v>
      </c>
      <c r="K19" s="94">
        <v>1.20974173386925</v>
      </c>
      <c r="L19" s="94">
        <v>1.21348465557736</v>
      </c>
      <c r="M19" s="89">
        <f t="shared" si="2"/>
        <v>1.20974173386925</v>
      </c>
      <c r="N19" s="89">
        <f t="shared" si="1"/>
        <v>1.1662047271056375</v>
      </c>
      <c r="O19" s="89">
        <f t="shared" si="3"/>
        <v>1.1662047271056375</v>
      </c>
    </row>
    <row r="20" spans="1:15" x14ac:dyDescent="0.2">
      <c r="A20" s="21" t="s">
        <v>1167</v>
      </c>
      <c r="B20" s="21" t="s">
        <v>3656</v>
      </c>
      <c r="C20" s="21" t="s">
        <v>3657</v>
      </c>
      <c r="D20" s="21" t="s">
        <v>1791</v>
      </c>
      <c r="E20" s="21" t="s">
        <v>1792</v>
      </c>
      <c r="F20" s="21" t="s">
        <v>2107</v>
      </c>
      <c r="G20" s="21" t="s">
        <v>2108</v>
      </c>
      <c r="H20" s="21" t="s">
        <v>3466</v>
      </c>
      <c r="I20" s="21">
        <v>368</v>
      </c>
      <c r="J20" s="89">
        <f t="shared" si="0"/>
        <v>1</v>
      </c>
      <c r="K20" s="94">
        <v>1.2243595005733501</v>
      </c>
      <c r="L20" s="94">
        <v>1.2244322278852899</v>
      </c>
      <c r="M20" s="89">
        <f t="shared" si="2"/>
        <v>1.2243595005733501</v>
      </c>
      <c r="N20" s="89">
        <f t="shared" si="1"/>
        <v>1.1802964196981751</v>
      </c>
      <c r="O20" s="89">
        <f t="shared" si="3"/>
        <v>1.1802964196981751</v>
      </c>
    </row>
    <row r="21" spans="1:15" x14ac:dyDescent="0.2">
      <c r="A21" s="21" t="s">
        <v>1167</v>
      </c>
      <c r="B21" s="21" t="s">
        <v>598</v>
      </c>
      <c r="C21" s="21" t="s">
        <v>599</v>
      </c>
      <c r="D21" s="21" t="s">
        <v>1793</v>
      </c>
      <c r="E21" s="21" t="s">
        <v>1794</v>
      </c>
      <c r="F21" s="21" t="s">
        <v>2109</v>
      </c>
      <c r="G21" s="21" t="s">
        <v>2110</v>
      </c>
      <c r="H21" s="21" t="s">
        <v>3480</v>
      </c>
      <c r="I21" s="21">
        <v>51</v>
      </c>
      <c r="J21" s="89">
        <f t="shared" si="0"/>
        <v>0.1108695652173913</v>
      </c>
      <c r="K21" s="94">
        <v>1.1990970363355899</v>
      </c>
      <c r="L21" s="94">
        <v>1.20028089142596</v>
      </c>
      <c r="M21" s="89">
        <f t="shared" si="2"/>
        <v>1.1990970363355899</v>
      </c>
      <c r="N21" s="89">
        <f t="shared" si="1"/>
        <v>1.1559431181730768</v>
      </c>
      <c r="O21" s="89">
        <f t="shared" si="3"/>
        <v>0.12815891092788459</v>
      </c>
    </row>
    <row r="22" spans="1:15" x14ac:dyDescent="0.2">
      <c r="A22" s="21" t="s">
        <v>1167</v>
      </c>
      <c r="B22" s="21" t="s">
        <v>598</v>
      </c>
      <c r="C22" s="21" t="s">
        <v>599</v>
      </c>
      <c r="D22" s="21" t="s">
        <v>1795</v>
      </c>
      <c r="E22" s="21" t="s">
        <v>1796</v>
      </c>
      <c r="F22" s="21" t="s">
        <v>2111</v>
      </c>
      <c r="G22" s="21" t="s">
        <v>2112</v>
      </c>
      <c r="H22" s="21" t="s">
        <v>3480</v>
      </c>
      <c r="I22" s="21">
        <v>409</v>
      </c>
      <c r="J22" s="89">
        <f t="shared" si="0"/>
        <v>0.88913043478260867</v>
      </c>
      <c r="K22" s="94">
        <v>1.2077290424317999</v>
      </c>
      <c r="L22" s="94">
        <v>1.20797153172184</v>
      </c>
      <c r="M22" s="89">
        <f t="shared" si="2"/>
        <v>1.2077290424317999</v>
      </c>
      <c r="N22" s="89">
        <f t="shared" si="1"/>
        <v>1.1642644697739737</v>
      </c>
      <c r="O22" s="89">
        <f t="shared" si="3"/>
        <v>1.0351829742120766</v>
      </c>
    </row>
    <row r="23" spans="1:15" x14ac:dyDescent="0.2">
      <c r="A23" s="21" t="s">
        <v>1167</v>
      </c>
      <c r="B23" s="21" t="s">
        <v>355</v>
      </c>
      <c r="C23" s="21" t="s">
        <v>356</v>
      </c>
      <c r="D23" s="21" t="s">
        <v>1797</v>
      </c>
      <c r="E23" s="21" t="s">
        <v>1798</v>
      </c>
      <c r="F23" s="21" t="s">
        <v>2113</v>
      </c>
      <c r="G23" s="21" t="s">
        <v>2114</v>
      </c>
      <c r="H23" s="21" t="s">
        <v>3455</v>
      </c>
      <c r="I23" s="21">
        <v>524</v>
      </c>
      <c r="J23" s="89">
        <f t="shared" si="0"/>
        <v>1</v>
      </c>
      <c r="K23" s="94">
        <v>1.2220272959310099</v>
      </c>
      <c r="L23" s="94">
        <v>1.2235295462453999</v>
      </c>
      <c r="M23" s="89">
        <f t="shared" si="2"/>
        <v>1.2220272959310099</v>
      </c>
      <c r="N23" s="89">
        <f t="shared" si="1"/>
        <v>1.1780481480197436</v>
      </c>
      <c r="O23" s="89">
        <f t="shared" si="3"/>
        <v>1.1780481480197436</v>
      </c>
    </row>
    <row r="24" spans="1:15" x14ac:dyDescent="0.2">
      <c r="A24" s="21" t="s">
        <v>3528</v>
      </c>
      <c r="B24" s="21" t="s">
        <v>588</v>
      </c>
      <c r="C24" s="21" t="s">
        <v>589</v>
      </c>
      <c r="D24" s="21" t="s">
        <v>1799</v>
      </c>
      <c r="E24" s="21" t="s">
        <v>1800</v>
      </c>
      <c r="F24" s="21" t="s">
        <v>2115</v>
      </c>
      <c r="G24" s="21" t="s">
        <v>1059</v>
      </c>
      <c r="H24" s="21" t="s">
        <v>3559</v>
      </c>
      <c r="I24" s="21">
        <v>620</v>
      </c>
      <c r="J24" s="89">
        <f t="shared" si="0"/>
        <v>1</v>
      </c>
      <c r="K24" s="94">
        <v>0.95197112321056399</v>
      </c>
      <c r="L24" s="94">
        <v>0.952002856829952</v>
      </c>
      <c r="M24" s="89">
        <f t="shared" si="2"/>
        <v>0.95197112321056399</v>
      </c>
      <c r="N24" s="89">
        <f t="shared" si="1"/>
        <v>0.91771094017346155</v>
      </c>
      <c r="O24" s="89">
        <f t="shared" si="3"/>
        <v>0.91771094017346155</v>
      </c>
    </row>
    <row r="25" spans="1:15" x14ac:dyDescent="0.2">
      <c r="A25" s="21" t="s">
        <v>3528</v>
      </c>
      <c r="B25" s="21" t="s">
        <v>3724</v>
      </c>
      <c r="C25" s="21" t="s">
        <v>3725</v>
      </c>
      <c r="D25" s="21" t="s">
        <v>1801</v>
      </c>
      <c r="E25" s="21" t="s">
        <v>1802</v>
      </c>
      <c r="F25" s="21" t="s">
        <v>1060</v>
      </c>
      <c r="G25" s="21" t="s">
        <v>1061</v>
      </c>
      <c r="H25" s="21" t="s">
        <v>3555</v>
      </c>
      <c r="I25" s="21">
        <v>63</v>
      </c>
      <c r="J25" s="89">
        <f t="shared" si="0"/>
        <v>1</v>
      </c>
      <c r="K25" s="94">
        <v>1.0273747422177499</v>
      </c>
      <c r="L25" s="94">
        <v>1.02725286210041</v>
      </c>
      <c r="M25" s="89">
        <f t="shared" si="2"/>
        <v>1.0273747422177499</v>
      </c>
      <c r="N25" s="89">
        <f t="shared" si="1"/>
        <v>0.9904008825513253</v>
      </c>
      <c r="O25" s="89">
        <f t="shared" si="3"/>
        <v>0.9904008825513253</v>
      </c>
    </row>
    <row r="26" spans="1:15" x14ac:dyDescent="0.2">
      <c r="A26" s="21" t="s">
        <v>3528</v>
      </c>
      <c r="B26" s="21" t="s">
        <v>2339</v>
      </c>
      <c r="C26" s="21" t="s">
        <v>2340</v>
      </c>
      <c r="D26" s="21" t="s">
        <v>1803</v>
      </c>
      <c r="E26" s="21" t="s">
        <v>1804</v>
      </c>
      <c r="F26" s="21" t="s">
        <v>1062</v>
      </c>
      <c r="G26" s="21" t="s">
        <v>1063</v>
      </c>
      <c r="H26" s="21" t="s">
        <v>3538</v>
      </c>
      <c r="I26" s="21">
        <v>400</v>
      </c>
      <c r="J26" s="89">
        <f t="shared" si="0"/>
        <v>1</v>
      </c>
      <c r="K26" s="94">
        <v>0.97423283142672001</v>
      </c>
      <c r="L26" s="94">
        <v>0.97447943405380699</v>
      </c>
      <c r="M26" s="89">
        <f t="shared" si="2"/>
        <v>0.97423283142672001</v>
      </c>
      <c r="N26" s="89">
        <f t="shared" si="1"/>
        <v>0.93917147892175401</v>
      </c>
      <c r="O26" s="89">
        <f t="shared" si="3"/>
        <v>0.93917147892175401</v>
      </c>
    </row>
    <row r="27" spans="1:15" x14ac:dyDescent="0.2">
      <c r="A27" s="21" t="s">
        <v>191</v>
      </c>
      <c r="B27" s="21" t="s">
        <v>3682</v>
      </c>
      <c r="C27" s="21" t="s">
        <v>1805</v>
      </c>
      <c r="D27" s="21" t="s">
        <v>1806</v>
      </c>
      <c r="E27" s="21" t="s">
        <v>1807</v>
      </c>
      <c r="F27" s="21" t="s">
        <v>1064</v>
      </c>
      <c r="G27" s="21" t="s">
        <v>1065</v>
      </c>
      <c r="H27" s="21" t="s">
        <v>201</v>
      </c>
      <c r="I27" s="21">
        <v>139</v>
      </c>
      <c r="J27" s="89">
        <f t="shared" si="0"/>
        <v>0.10109090909090909</v>
      </c>
      <c r="K27" s="94">
        <v>1.0772340259273101</v>
      </c>
      <c r="L27" s="94">
        <v>1.0768447113383199</v>
      </c>
      <c r="M27" s="89">
        <f t="shared" si="2"/>
        <v>1.0772340259273101</v>
      </c>
      <c r="N27" s="89">
        <f t="shared" si="1"/>
        <v>1.0384657965112785</v>
      </c>
      <c r="O27" s="89">
        <f t="shared" si="3"/>
        <v>0.10497945142914016</v>
      </c>
    </row>
    <row r="28" spans="1:15" x14ac:dyDescent="0.2">
      <c r="A28" s="21" t="s">
        <v>2133</v>
      </c>
      <c r="B28" s="21" t="s">
        <v>672</v>
      </c>
      <c r="C28" s="21" t="s">
        <v>673</v>
      </c>
      <c r="D28" s="21" t="s">
        <v>1808</v>
      </c>
      <c r="E28" s="21" t="s">
        <v>1809</v>
      </c>
      <c r="F28" s="21" t="s">
        <v>1066</v>
      </c>
      <c r="G28" s="21" t="s">
        <v>1067</v>
      </c>
      <c r="H28" s="21" t="s">
        <v>1122</v>
      </c>
      <c r="I28" s="21">
        <v>550</v>
      </c>
      <c r="J28" s="89">
        <f t="shared" si="0"/>
        <v>1</v>
      </c>
      <c r="K28" s="94">
        <v>0.96845021473648196</v>
      </c>
      <c r="L28" s="94">
        <v>0.96865615696456797</v>
      </c>
      <c r="M28" s="89">
        <f t="shared" si="2"/>
        <v>0.96845021473648196</v>
      </c>
      <c r="N28" s="89">
        <f t="shared" si="1"/>
        <v>0.9335969709665507</v>
      </c>
      <c r="O28" s="89">
        <f t="shared" si="3"/>
        <v>0.9335969709665507</v>
      </c>
    </row>
    <row r="29" spans="1:15" x14ac:dyDescent="0.2">
      <c r="A29" s="21" t="s">
        <v>2975</v>
      </c>
      <c r="B29" s="21" t="s">
        <v>693</v>
      </c>
      <c r="C29" s="21" t="s">
        <v>694</v>
      </c>
      <c r="D29" s="21" t="s">
        <v>1810</v>
      </c>
      <c r="E29" s="21" t="s">
        <v>1811</v>
      </c>
      <c r="F29" s="21" t="s">
        <v>1068</v>
      </c>
      <c r="G29" s="21" t="s">
        <v>1069</v>
      </c>
      <c r="H29" s="21" t="s">
        <v>2991</v>
      </c>
      <c r="I29" s="21">
        <v>92</v>
      </c>
      <c r="J29" s="89">
        <f t="shared" si="0"/>
        <v>9.8712446351931327E-2</v>
      </c>
      <c r="K29" s="94">
        <v>0.97521705227007904</v>
      </c>
      <c r="L29" s="94">
        <v>0.97528516111813901</v>
      </c>
      <c r="M29" s="89">
        <f t="shared" si="2"/>
        <v>0.97521705227007904</v>
      </c>
      <c r="N29" s="89">
        <f t="shared" si="1"/>
        <v>0.94012027895725414</v>
      </c>
      <c r="O29" s="89">
        <f t="shared" si="3"/>
        <v>9.2801572600930665E-2</v>
      </c>
    </row>
    <row r="30" spans="1:15" x14ac:dyDescent="0.2">
      <c r="A30" s="21" t="s">
        <v>2975</v>
      </c>
      <c r="B30" s="21" t="s">
        <v>693</v>
      </c>
      <c r="C30" s="21" t="s">
        <v>694</v>
      </c>
      <c r="D30" s="21" t="s">
        <v>1812</v>
      </c>
      <c r="E30" s="21" t="s">
        <v>1813</v>
      </c>
      <c r="F30" s="21" t="s">
        <v>1070</v>
      </c>
      <c r="G30" s="21" t="s">
        <v>1071</v>
      </c>
      <c r="H30" s="21" t="s">
        <v>2991</v>
      </c>
      <c r="I30" s="21">
        <v>840</v>
      </c>
      <c r="J30" s="89">
        <f t="shared" si="0"/>
        <v>0.90128755364806867</v>
      </c>
      <c r="K30" s="94">
        <v>0.97352576080027198</v>
      </c>
      <c r="L30" s="94">
        <v>0.97360118201371904</v>
      </c>
      <c r="M30" s="89">
        <f t="shared" si="2"/>
        <v>0.97352576080027198</v>
      </c>
      <c r="N30" s="89">
        <f t="shared" si="1"/>
        <v>0.9384898548330125</v>
      </c>
      <c r="O30" s="89">
        <f t="shared" si="3"/>
        <v>0.84584922538597695</v>
      </c>
    </row>
    <row r="31" spans="1:15" x14ac:dyDescent="0.2">
      <c r="A31" s="21" t="s">
        <v>2975</v>
      </c>
      <c r="B31" s="21" t="s">
        <v>575</v>
      </c>
      <c r="C31" s="21" t="s">
        <v>576</v>
      </c>
      <c r="D31" s="21" t="s">
        <v>1814</v>
      </c>
      <c r="E31" s="21" t="s">
        <v>1815</v>
      </c>
      <c r="F31" s="21" t="s">
        <v>1072</v>
      </c>
      <c r="G31" s="21" t="s">
        <v>1073</v>
      </c>
      <c r="H31" s="21" t="s">
        <v>3021</v>
      </c>
      <c r="I31" s="21">
        <v>102</v>
      </c>
      <c r="J31" s="89">
        <f t="shared" si="0"/>
        <v>0.12561576354679804</v>
      </c>
      <c r="K31" s="94">
        <v>0.98562187284478397</v>
      </c>
      <c r="L31" s="94">
        <v>0.986074179221614</v>
      </c>
      <c r="M31" s="89">
        <f t="shared" si="2"/>
        <v>0.98562187284478397</v>
      </c>
      <c r="N31" s="89">
        <f t="shared" si="1"/>
        <v>0.95015064378570135</v>
      </c>
      <c r="O31" s="89">
        <f t="shared" si="3"/>
        <v>0.1193538986036226</v>
      </c>
    </row>
    <row r="32" spans="1:15" x14ac:dyDescent="0.2">
      <c r="A32" s="21" t="s">
        <v>2975</v>
      </c>
      <c r="B32" s="21" t="s">
        <v>575</v>
      </c>
      <c r="C32" s="21" t="s">
        <v>576</v>
      </c>
      <c r="D32" s="21" t="s">
        <v>1816</v>
      </c>
      <c r="E32" s="21" t="s">
        <v>1817</v>
      </c>
      <c r="F32" s="21" t="s">
        <v>1074</v>
      </c>
      <c r="G32" s="21" t="s">
        <v>1075</v>
      </c>
      <c r="H32" s="21" t="s">
        <v>3021</v>
      </c>
      <c r="I32" s="21">
        <v>710</v>
      </c>
      <c r="J32" s="89">
        <f t="shared" si="0"/>
        <v>0.87438423645320196</v>
      </c>
      <c r="K32" s="94">
        <v>0.98376189198886599</v>
      </c>
      <c r="L32" s="94">
        <v>0.98328662271946599</v>
      </c>
      <c r="M32" s="89">
        <f t="shared" si="2"/>
        <v>0.98376189198886599</v>
      </c>
      <c r="N32" s="89">
        <f t="shared" si="1"/>
        <v>0.94835760118349255</v>
      </c>
      <c r="O32" s="89">
        <f t="shared" si="3"/>
        <v>0.82922893699541833</v>
      </c>
    </row>
    <row r="33" spans="1:15" x14ac:dyDescent="0.2">
      <c r="A33" s="21" t="s">
        <v>2975</v>
      </c>
      <c r="B33" s="21" t="s">
        <v>373</v>
      </c>
      <c r="C33" s="21" t="s">
        <v>1818</v>
      </c>
      <c r="D33" s="21" t="s">
        <v>1819</v>
      </c>
      <c r="E33" s="21" t="s">
        <v>1820</v>
      </c>
      <c r="F33" s="21" t="s">
        <v>1076</v>
      </c>
      <c r="G33" s="21" t="s">
        <v>1077</v>
      </c>
      <c r="H33" s="21" t="s">
        <v>2979</v>
      </c>
      <c r="I33" s="21">
        <v>185</v>
      </c>
      <c r="J33" s="89">
        <f t="shared" si="0"/>
        <v>1</v>
      </c>
      <c r="K33" s="94">
        <v>0.97888965296847397</v>
      </c>
      <c r="L33" s="94">
        <v>0.97913159574725595</v>
      </c>
      <c r="M33" s="89">
        <f t="shared" si="2"/>
        <v>0.97888965296847397</v>
      </c>
      <c r="N33" s="89">
        <f t="shared" si="1"/>
        <v>0.94366070760853404</v>
      </c>
      <c r="O33" s="89">
        <f t="shared" si="3"/>
        <v>0.94366070760853404</v>
      </c>
    </row>
    <row r="34" spans="1:15" x14ac:dyDescent="0.2">
      <c r="A34" s="21" t="s">
        <v>2975</v>
      </c>
      <c r="B34" s="21" t="s">
        <v>3382</v>
      </c>
      <c r="C34" s="21" t="s">
        <v>1821</v>
      </c>
      <c r="D34" s="21" t="s">
        <v>1822</v>
      </c>
      <c r="E34" s="21" t="s">
        <v>1823</v>
      </c>
      <c r="F34" s="21" t="s">
        <v>1078</v>
      </c>
      <c r="G34" s="21" t="s">
        <v>1079</v>
      </c>
      <c r="H34" s="21" t="s">
        <v>2979</v>
      </c>
      <c r="I34" s="21">
        <v>292</v>
      </c>
      <c r="J34" s="89">
        <f t="shared" si="0"/>
        <v>1</v>
      </c>
      <c r="K34" s="94">
        <v>0.97904110836534797</v>
      </c>
      <c r="L34" s="94">
        <v>0.97888305121298202</v>
      </c>
      <c r="M34" s="89">
        <f t="shared" si="2"/>
        <v>0.97904110836534797</v>
      </c>
      <c r="N34" s="89">
        <f t="shared" si="1"/>
        <v>0.94380671232576829</v>
      </c>
      <c r="O34" s="89">
        <f t="shared" si="3"/>
        <v>0.94380671232576829</v>
      </c>
    </row>
    <row r="35" spans="1:15" x14ac:dyDescent="0.2">
      <c r="A35" s="21" t="s">
        <v>2975</v>
      </c>
      <c r="B35" s="21" t="s">
        <v>391</v>
      </c>
      <c r="C35" s="21" t="s">
        <v>1824</v>
      </c>
      <c r="D35" s="21" t="s">
        <v>1825</v>
      </c>
      <c r="E35" s="21" t="s">
        <v>1826</v>
      </c>
      <c r="F35" s="21" t="s">
        <v>1080</v>
      </c>
      <c r="G35" s="21" t="s">
        <v>1081</v>
      </c>
      <c r="H35" s="21" t="s">
        <v>2996</v>
      </c>
      <c r="I35" s="21">
        <v>21</v>
      </c>
      <c r="J35" s="89">
        <f t="shared" si="0"/>
        <v>3.7168141592920353E-2</v>
      </c>
      <c r="K35" s="94">
        <v>0.99331384517355603</v>
      </c>
      <c r="L35" s="94">
        <v>0.99263402536689405</v>
      </c>
      <c r="M35" s="89">
        <f t="shared" si="2"/>
        <v>0.99331384517355603</v>
      </c>
      <c r="N35" s="89">
        <f t="shared" si="1"/>
        <v>0.95756579219253424</v>
      </c>
      <c r="O35" s="89">
        <f t="shared" si="3"/>
        <v>3.559094094874906E-2</v>
      </c>
    </row>
    <row r="36" spans="1:15" x14ac:dyDescent="0.2">
      <c r="A36" s="21" t="s">
        <v>2975</v>
      </c>
      <c r="B36" s="21" t="s">
        <v>391</v>
      </c>
      <c r="C36" s="21" t="s">
        <v>1824</v>
      </c>
      <c r="D36" s="21" t="s">
        <v>1827</v>
      </c>
      <c r="E36" s="21" t="s">
        <v>1828</v>
      </c>
      <c r="F36" s="21" t="s">
        <v>1082</v>
      </c>
      <c r="G36" s="21" t="s">
        <v>1083</v>
      </c>
      <c r="H36" s="21" t="s">
        <v>2996</v>
      </c>
      <c r="I36" s="21">
        <v>544</v>
      </c>
      <c r="J36" s="89">
        <f t="shared" si="0"/>
        <v>0.96283185840707963</v>
      </c>
      <c r="K36" s="94">
        <v>0.98482772499603499</v>
      </c>
      <c r="L36" s="94">
        <v>0.983568311747409</v>
      </c>
      <c r="M36" s="89">
        <f t="shared" si="2"/>
        <v>0.98482772499603499</v>
      </c>
      <c r="N36" s="89">
        <f t="shared" si="1"/>
        <v>0.94938507626884827</v>
      </c>
      <c r="O36" s="89">
        <f t="shared" si="3"/>
        <v>0.91409819732788222</v>
      </c>
    </row>
    <row r="37" spans="1:15" x14ac:dyDescent="0.2">
      <c r="A37" s="21" t="s">
        <v>2975</v>
      </c>
      <c r="B37" s="21" t="s">
        <v>594</v>
      </c>
      <c r="C37" s="21" t="s">
        <v>1829</v>
      </c>
      <c r="D37" s="21" t="s">
        <v>1830</v>
      </c>
      <c r="E37" s="21" t="s">
        <v>1831</v>
      </c>
      <c r="F37" s="21" t="s">
        <v>1084</v>
      </c>
      <c r="G37" s="21" t="s">
        <v>1085</v>
      </c>
      <c r="H37" s="21" t="s">
        <v>2986</v>
      </c>
      <c r="I37" s="21">
        <v>167</v>
      </c>
      <c r="J37" s="89">
        <f t="shared" si="0"/>
        <v>1</v>
      </c>
      <c r="K37" s="94">
        <v>1.00553834916758</v>
      </c>
      <c r="L37" s="94">
        <v>1.00536310414915</v>
      </c>
      <c r="M37" s="89">
        <f t="shared" si="2"/>
        <v>1.00553834916758</v>
      </c>
      <c r="N37" s="89">
        <f t="shared" si="1"/>
        <v>0.96935035243809597</v>
      </c>
      <c r="O37" s="89">
        <f t="shared" si="3"/>
        <v>0.96935035243809597</v>
      </c>
    </row>
    <row r="38" spans="1:15" x14ac:dyDescent="0.2">
      <c r="A38" s="21" t="s">
        <v>3528</v>
      </c>
      <c r="B38" s="21" t="s">
        <v>3670</v>
      </c>
      <c r="C38" s="21" t="s">
        <v>3671</v>
      </c>
      <c r="D38" s="21" t="s">
        <v>1832</v>
      </c>
      <c r="E38" s="21" t="s">
        <v>1833</v>
      </c>
      <c r="F38" s="21" t="s">
        <v>1086</v>
      </c>
      <c r="G38" s="21" t="s">
        <v>1087</v>
      </c>
      <c r="H38" s="21" t="s">
        <v>3536</v>
      </c>
      <c r="I38" s="21">
        <v>10</v>
      </c>
      <c r="J38" s="89">
        <f t="shared" si="0"/>
        <v>2.4630541871921183E-2</v>
      </c>
      <c r="K38" s="94">
        <v>0.93577955113600897</v>
      </c>
      <c r="L38" s="94">
        <v>0.936044415663568</v>
      </c>
      <c r="M38" s="89">
        <f t="shared" si="2"/>
        <v>0.93577955113600897</v>
      </c>
      <c r="N38" s="89">
        <f t="shared" si="1"/>
        <v>0.90210208138653425</v>
      </c>
      <c r="O38" s="89">
        <f t="shared" si="3"/>
        <v>2.2219263088338284E-2</v>
      </c>
    </row>
    <row r="39" spans="1:15" x14ac:dyDescent="0.2">
      <c r="A39" s="21" t="s">
        <v>3528</v>
      </c>
      <c r="B39" s="21" t="s">
        <v>3670</v>
      </c>
      <c r="C39" s="21" t="s">
        <v>3671</v>
      </c>
      <c r="D39" s="21" t="s">
        <v>1834</v>
      </c>
      <c r="E39" s="21" t="s">
        <v>1835</v>
      </c>
      <c r="F39" s="21" t="s">
        <v>1088</v>
      </c>
      <c r="G39" s="21" t="s">
        <v>1089</v>
      </c>
      <c r="H39" s="21" t="s">
        <v>3536</v>
      </c>
      <c r="I39" s="21">
        <v>12</v>
      </c>
      <c r="J39" s="89">
        <f t="shared" si="0"/>
        <v>2.9556650246305417E-2</v>
      </c>
      <c r="K39" s="94">
        <v>0.93812659406228105</v>
      </c>
      <c r="L39" s="94">
        <v>0.93817982584632198</v>
      </c>
      <c r="M39" s="89">
        <f t="shared" si="2"/>
        <v>0.93812659406228105</v>
      </c>
      <c r="N39" s="89">
        <f t="shared" si="1"/>
        <v>0.90436465733866234</v>
      </c>
      <c r="O39" s="89">
        <f t="shared" si="3"/>
        <v>2.672998987207869E-2</v>
      </c>
    </row>
    <row r="40" spans="1:15" x14ac:dyDescent="0.2">
      <c r="A40" s="21" t="s">
        <v>3528</v>
      </c>
      <c r="B40" s="21" t="s">
        <v>3670</v>
      </c>
      <c r="C40" s="21" t="s">
        <v>3671</v>
      </c>
      <c r="D40" s="21" t="s">
        <v>1836</v>
      </c>
      <c r="E40" s="21" t="s">
        <v>1837</v>
      </c>
      <c r="F40" s="21" t="s">
        <v>1090</v>
      </c>
      <c r="G40" s="21" t="s">
        <v>1091</v>
      </c>
      <c r="H40" s="21" t="s">
        <v>3536</v>
      </c>
      <c r="I40" s="21">
        <v>20</v>
      </c>
      <c r="J40" s="89">
        <f t="shared" si="0"/>
        <v>4.9261083743842367E-2</v>
      </c>
      <c r="K40" s="94">
        <v>0.93541667653625105</v>
      </c>
      <c r="L40" s="94">
        <v>0.93408199738737596</v>
      </c>
      <c r="M40" s="89">
        <f t="shared" si="2"/>
        <v>0.93541667653625105</v>
      </c>
      <c r="N40" s="89">
        <f t="shared" si="1"/>
        <v>0.90175226616421345</v>
      </c>
      <c r="O40" s="89">
        <f t="shared" si="3"/>
        <v>4.4421293899714949E-2</v>
      </c>
    </row>
    <row r="41" spans="1:15" x14ac:dyDescent="0.2">
      <c r="A41" s="21" t="s">
        <v>3528</v>
      </c>
      <c r="B41" s="21" t="s">
        <v>3670</v>
      </c>
      <c r="C41" s="21" t="s">
        <v>3671</v>
      </c>
      <c r="D41" s="21" t="s">
        <v>1838</v>
      </c>
      <c r="E41" s="21" t="s">
        <v>1839</v>
      </c>
      <c r="F41" s="21" t="s">
        <v>1092</v>
      </c>
      <c r="G41" s="21" t="s">
        <v>1093</v>
      </c>
      <c r="H41" s="21" t="s">
        <v>3536</v>
      </c>
      <c r="I41" s="21">
        <v>25</v>
      </c>
      <c r="J41" s="89">
        <f t="shared" si="0"/>
        <v>6.1576354679802957E-2</v>
      </c>
      <c r="K41" s="94">
        <v>0.93957233416029695</v>
      </c>
      <c r="L41" s="94">
        <v>0.93939696499097503</v>
      </c>
      <c r="M41" s="89">
        <f t="shared" si="2"/>
        <v>0.93957233416029695</v>
      </c>
      <c r="N41" s="89">
        <f t="shared" si="1"/>
        <v>0.90575836716057589</v>
      </c>
      <c r="O41" s="89">
        <f t="shared" si="3"/>
        <v>5.5773298470478815E-2</v>
      </c>
    </row>
    <row r="42" spans="1:15" x14ac:dyDescent="0.2">
      <c r="A42" s="21" t="s">
        <v>3528</v>
      </c>
      <c r="B42" s="21" t="s">
        <v>3670</v>
      </c>
      <c r="C42" s="21" t="s">
        <v>3671</v>
      </c>
      <c r="D42" s="21" t="s">
        <v>1840</v>
      </c>
      <c r="E42" s="21" t="s">
        <v>1841</v>
      </c>
      <c r="F42" s="21" t="s">
        <v>1094</v>
      </c>
      <c r="G42" s="21" t="s">
        <v>1095</v>
      </c>
      <c r="H42" s="21" t="s">
        <v>3536</v>
      </c>
      <c r="I42" s="21">
        <v>50</v>
      </c>
      <c r="J42" s="89">
        <f t="shared" si="0"/>
        <v>0.12315270935960591</v>
      </c>
      <c r="K42" s="94">
        <v>0.93796979641463696</v>
      </c>
      <c r="L42" s="94">
        <v>0.93792994883876202</v>
      </c>
      <c r="M42" s="89">
        <f t="shared" si="2"/>
        <v>0.93796979641463696</v>
      </c>
      <c r="N42" s="89">
        <f t="shared" si="1"/>
        <v>0.90421350263120537</v>
      </c>
      <c r="O42" s="89">
        <f t="shared" si="3"/>
        <v>0.11135634268857209</v>
      </c>
    </row>
    <row r="43" spans="1:15" x14ac:dyDescent="0.2">
      <c r="A43" s="21" t="s">
        <v>3528</v>
      </c>
      <c r="B43" s="21" t="s">
        <v>3670</v>
      </c>
      <c r="C43" s="21" t="s">
        <v>3671</v>
      </c>
      <c r="D43" s="21" t="s">
        <v>1842</v>
      </c>
      <c r="E43" s="21" t="s">
        <v>1843</v>
      </c>
      <c r="F43" s="21" t="s">
        <v>1096</v>
      </c>
      <c r="G43" s="21" t="s">
        <v>1097</v>
      </c>
      <c r="H43" s="21" t="s">
        <v>3536</v>
      </c>
      <c r="I43" s="21">
        <v>289</v>
      </c>
      <c r="J43" s="89">
        <f t="shared" si="0"/>
        <v>0.71182266009852213</v>
      </c>
      <c r="K43" s="94">
        <v>0.93943204605831399</v>
      </c>
      <c r="L43" s="94">
        <v>0.94040143746909999</v>
      </c>
      <c r="M43" s="89">
        <f t="shared" si="2"/>
        <v>0.93943204605831399</v>
      </c>
      <c r="N43" s="89">
        <f t="shared" si="1"/>
        <v>0.90562312784204313</v>
      </c>
      <c r="O43" s="89">
        <f t="shared" si="3"/>
        <v>0.64464306390726711</v>
      </c>
    </row>
    <row r="44" spans="1:15" x14ac:dyDescent="0.2">
      <c r="A44" s="21" t="s">
        <v>1127</v>
      </c>
      <c r="B44" s="21" t="s">
        <v>2271</v>
      </c>
      <c r="C44" s="21" t="s">
        <v>2272</v>
      </c>
      <c r="D44" s="21" t="s">
        <v>1844</v>
      </c>
      <c r="E44" s="21" t="s">
        <v>1845</v>
      </c>
      <c r="F44" s="21" t="s">
        <v>1098</v>
      </c>
      <c r="G44" s="21" t="s">
        <v>1099</v>
      </c>
      <c r="H44" s="21" t="s">
        <v>1131</v>
      </c>
      <c r="I44" s="21">
        <v>427</v>
      </c>
      <c r="J44" s="89">
        <f t="shared" si="0"/>
        <v>1</v>
      </c>
      <c r="K44" s="94">
        <v>1.0505366743514599</v>
      </c>
      <c r="L44" s="94">
        <v>1.0512314996151999</v>
      </c>
      <c r="M44" s="89">
        <f t="shared" si="2"/>
        <v>1.0505366743514599</v>
      </c>
      <c r="N44" s="89">
        <f t="shared" si="1"/>
        <v>1.0127292473477008</v>
      </c>
      <c r="O44" s="89">
        <f t="shared" si="3"/>
        <v>1.0127292473477008</v>
      </c>
    </row>
    <row r="45" spans="1:15" x14ac:dyDescent="0.2">
      <c r="A45" s="21" t="s">
        <v>1167</v>
      </c>
      <c r="B45" s="21" t="s">
        <v>2345</v>
      </c>
      <c r="C45" s="21" t="s">
        <v>2346</v>
      </c>
      <c r="D45" s="21" t="s">
        <v>1846</v>
      </c>
      <c r="E45" s="21" t="s">
        <v>2346</v>
      </c>
      <c r="F45" s="21" t="s">
        <v>1100</v>
      </c>
      <c r="G45" s="21" t="s">
        <v>1101</v>
      </c>
      <c r="H45" s="21" t="s">
        <v>3441</v>
      </c>
      <c r="I45" s="21">
        <v>397</v>
      </c>
      <c r="J45" s="89">
        <f t="shared" si="0"/>
        <v>1</v>
      </c>
      <c r="K45" s="94" t="e">
        <v>#N/A</v>
      </c>
      <c r="L45" s="94">
        <v>1.2199475688233601</v>
      </c>
      <c r="M45" s="89">
        <f t="shared" si="2"/>
        <v>1.2199475688233601</v>
      </c>
      <c r="N45" s="89">
        <f t="shared" si="1"/>
        <v>1.1760432675430872</v>
      </c>
      <c r="O45" s="89">
        <f t="shared" si="3"/>
        <v>1.1760432675430872</v>
      </c>
    </row>
    <row r="46" spans="1:15" x14ac:dyDescent="0.2">
      <c r="A46" s="21" t="s">
        <v>1127</v>
      </c>
      <c r="B46" s="21" t="s">
        <v>379</v>
      </c>
      <c r="C46" s="21" t="s">
        <v>380</v>
      </c>
      <c r="D46" s="21" t="s">
        <v>1847</v>
      </c>
      <c r="E46" s="21" t="s">
        <v>1848</v>
      </c>
      <c r="F46" s="21" t="s">
        <v>1102</v>
      </c>
      <c r="G46" s="21" t="s">
        <v>863</v>
      </c>
      <c r="H46" s="21" t="s">
        <v>1149</v>
      </c>
      <c r="I46" s="21">
        <v>601</v>
      </c>
      <c r="J46" s="89">
        <f t="shared" si="0"/>
        <v>1</v>
      </c>
      <c r="K46" s="94">
        <v>1.1051307041196099</v>
      </c>
      <c r="L46" s="94">
        <v>1.104206176063</v>
      </c>
      <c r="M46" s="89">
        <f t="shared" si="2"/>
        <v>1.1051307041196099</v>
      </c>
      <c r="N46" s="89">
        <f t="shared" si="1"/>
        <v>1.0653585101108582</v>
      </c>
      <c r="O46" s="89">
        <f t="shared" si="3"/>
        <v>1.0653585101108582</v>
      </c>
    </row>
    <row r="47" spans="1:15" x14ac:dyDescent="0.2">
      <c r="A47" s="21" t="s">
        <v>3034</v>
      </c>
      <c r="B47" s="21" t="s">
        <v>703</v>
      </c>
      <c r="C47" s="21" t="s">
        <v>704</v>
      </c>
      <c r="D47" s="21" t="s">
        <v>1849</v>
      </c>
      <c r="E47" s="21" t="s">
        <v>1850</v>
      </c>
      <c r="F47" s="21" t="s">
        <v>864</v>
      </c>
      <c r="G47" s="21" t="s">
        <v>865</v>
      </c>
      <c r="H47" s="21" t="s">
        <v>3046</v>
      </c>
      <c r="I47" s="21">
        <v>20</v>
      </c>
      <c r="J47" s="89">
        <f t="shared" si="0"/>
        <v>2.9542097488921712E-2</v>
      </c>
      <c r="K47" s="94">
        <v>0.97233085913150297</v>
      </c>
      <c r="L47" s="94">
        <v>0.97229650069807305</v>
      </c>
      <c r="M47" s="89">
        <f t="shared" si="2"/>
        <v>0.97233085913150297</v>
      </c>
      <c r="N47" s="89">
        <f>M47/M$757</f>
        <v>0.93733795609666992</v>
      </c>
      <c r="O47" s="89">
        <f>N47*J47</f>
        <v>2.7690929279074444E-2</v>
      </c>
    </row>
    <row r="48" spans="1:15" x14ac:dyDescent="0.2">
      <c r="A48" s="21" t="s">
        <v>3034</v>
      </c>
      <c r="B48" s="21" t="s">
        <v>703</v>
      </c>
      <c r="C48" s="21" t="s">
        <v>704</v>
      </c>
      <c r="D48" s="21" t="s">
        <v>1851</v>
      </c>
      <c r="E48" s="21" t="s">
        <v>1852</v>
      </c>
      <c r="F48" s="21" t="s">
        <v>866</v>
      </c>
      <c r="G48" s="21" t="s">
        <v>867</v>
      </c>
      <c r="H48" s="21" t="s">
        <v>3046</v>
      </c>
      <c r="I48" s="21">
        <v>23</v>
      </c>
      <c r="J48" s="89">
        <f t="shared" si="0"/>
        <v>3.3973412112259974E-2</v>
      </c>
      <c r="K48" s="94">
        <v>0.97198356593852397</v>
      </c>
      <c r="L48" s="94">
        <v>0.97197459767493199</v>
      </c>
      <c r="M48" s="89">
        <f t="shared" si="2"/>
        <v>0.97198356593852397</v>
      </c>
      <c r="N48" s="89">
        <f t="shared" si="1"/>
        <v>0.93700316152688323</v>
      </c>
      <c r="O48" s="89">
        <f t="shared" si="3"/>
        <v>3.1833194557043303E-2</v>
      </c>
    </row>
    <row r="49" spans="1:15" x14ac:dyDescent="0.2">
      <c r="A49" s="21" t="s">
        <v>3034</v>
      </c>
      <c r="B49" s="21" t="s">
        <v>703</v>
      </c>
      <c r="C49" s="21" t="s">
        <v>704</v>
      </c>
      <c r="D49" s="21" t="s">
        <v>1853</v>
      </c>
      <c r="E49" s="21" t="s">
        <v>1854</v>
      </c>
      <c r="F49" s="21" t="s">
        <v>868</v>
      </c>
      <c r="G49" s="21" t="s">
        <v>867</v>
      </c>
      <c r="H49" s="21" t="s">
        <v>3046</v>
      </c>
      <c r="I49" s="21">
        <v>634</v>
      </c>
      <c r="J49" s="89">
        <f t="shared" si="0"/>
        <v>0.93648449039881831</v>
      </c>
      <c r="K49" s="94">
        <v>0.97206078054444001</v>
      </c>
      <c r="L49" s="94">
        <v>0.97197459767493199</v>
      </c>
      <c r="M49" s="89">
        <f t="shared" si="2"/>
        <v>0.97206078054444001</v>
      </c>
      <c r="N49" s="89">
        <f t="shared" si="1"/>
        <v>0.9370775972811437</v>
      </c>
      <c r="O49" s="89">
        <f t="shared" si="3"/>
        <v>0.877558636153981</v>
      </c>
    </row>
    <row r="50" spans="1:15" x14ac:dyDescent="0.2">
      <c r="A50" s="21" t="s">
        <v>3034</v>
      </c>
      <c r="B50" s="21" t="s">
        <v>2772</v>
      </c>
      <c r="C50" s="21" t="s">
        <v>2773</v>
      </c>
      <c r="D50" s="21" t="s">
        <v>1855</v>
      </c>
      <c r="E50" s="21" t="s">
        <v>1856</v>
      </c>
      <c r="F50" s="21" t="s">
        <v>869</v>
      </c>
      <c r="G50" s="21" t="s">
        <v>870</v>
      </c>
      <c r="H50" s="21" t="s">
        <v>3046</v>
      </c>
      <c r="I50" s="21">
        <v>105</v>
      </c>
      <c r="J50" s="89">
        <f t="shared" si="0"/>
        <v>0.24705882352941178</v>
      </c>
      <c r="K50" s="94">
        <v>0.93870321579255001</v>
      </c>
      <c r="L50" s="94">
        <v>0.93877253610848099</v>
      </c>
      <c r="M50" s="89">
        <f t="shared" si="2"/>
        <v>0.93870321579255001</v>
      </c>
      <c r="N50" s="89">
        <f t="shared" si="1"/>
        <v>0.90492052721465699</v>
      </c>
      <c r="O50" s="89">
        <f t="shared" si="3"/>
        <v>0.2235686008412682</v>
      </c>
    </row>
    <row r="51" spans="1:15" x14ac:dyDescent="0.2">
      <c r="A51" s="21" t="s">
        <v>3034</v>
      </c>
      <c r="B51" s="21" t="s">
        <v>2772</v>
      </c>
      <c r="C51" s="21" t="s">
        <v>2773</v>
      </c>
      <c r="D51" s="21" t="s">
        <v>1857</v>
      </c>
      <c r="E51" s="21" t="s">
        <v>1858</v>
      </c>
      <c r="F51" s="21" t="s">
        <v>871</v>
      </c>
      <c r="G51" s="21" t="s">
        <v>872</v>
      </c>
      <c r="H51" s="21" t="s">
        <v>3046</v>
      </c>
      <c r="I51" s="21">
        <v>320</v>
      </c>
      <c r="J51" s="89">
        <f t="shared" si="0"/>
        <v>0.75294117647058822</v>
      </c>
      <c r="K51" s="94">
        <v>0.95411820634414701</v>
      </c>
      <c r="L51" s="94">
        <v>0.95415072215016505</v>
      </c>
      <c r="M51" s="89">
        <f t="shared" si="2"/>
        <v>0.95411820634414701</v>
      </c>
      <c r="N51" s="89">
        <f t="shared" si="1"/>
        <v>0.91978075262166459</v>
      </c>
      <c r="O51" s="89">
        <f t="shared" si="3"/>
        <v>0.69254080197395917</v>
      </c>
    </row>
    <row r="52" spans="1:15" x14ac:dyDescent="0.2">
      <c r="A52" s="21" t="s">
        <v>3034</v>
      </c>
      <c r="B52" s="21" t="s">
        <v>2387</v>
      </c>
      <c r="C52" s="21" t="s">
        <v>2388</v>
      </c>
      <c r="D52" s="21" t="s">
        <v>1859</v>
      </c>
      <c r="E52" s="21" t="s">
        <v>1860</v>
      </c>
      <c r="F52" s="21" t="s">
        <v>873</v>
      </c>
      <c r="G52" s="21" t="s">
        <v>874</v>
      </c>
      <c r="H52" s="21" t="s">
        <v>3046</v>
      </c>
      <c r="I52" s="21">
        <v>474</v>
      </c>
      <c r="J52" s="89">
        <f t="shared" si="0"/>
        <v>1</v>
      </c>
      <c r="K52" s="94">
        <v>0.97439029255740495</v>
      </c>
      <c r="L52" s="94">
        <v>0.97434623726639802</v>
      </c>
      <c r="M52" s="89">
        <f t="shared" si="2"/>
        <v>0.97439029255740495</v>
      </c>
      <c r="N52" s="89">
        <f t="shared" si="1"/>
        <v>0.93932327323437381</v>
      </c>
      <c r="O52" s="89">
        <f t="shared" si="3"/>
        <v>0.93932327323437381</v>
      </c>
    </row>
    <row r="53" spans="1:15" x14ac:dyDescent="0.2">
      <c r="A53" s="21" t="s">
        <v>3034</v>
      </c>
      <c r="B53" s="21" t="s">
        <v>3380</v>
      </c>
      <c r="C53" s="21" t="s">
        <v>3381</v>
      </c>
      <c r="D53" s="21" t="s">
        <v>1861</v>
      </c>
      <c r="E53" s="21" t="s">
        <v>1862</v>
      </c>
      <c r="F53" s="21" t="s">
        <v>875</v>
      </c>
      <c r="G53" s="21" t="s">
        <v>876</v>
      </c>
      <c r="H53" s="21" t="s">
        <v>3036</v>
      </c>
      <c r="I53" s="21">
        <v>411</v>
      </c>
      <c r="J53" s="89">
        <f t="shared" si="0"/>
        <v>1</v>
      </c>
      <c r="K53" s="94">
        <v>0.96425807565466304</v>
      </c>
      <c r="L53" s="94">
        <v>0.96444561281166996</v>
      </c>
      <c r="M53" s="89">
        <f t="shared" si="2"/>
        <v>0.96425807565466304</v>
      </c>
      <c r="N53" s="89">
        <f t="shared" si="1"/>
        <v>0.92955570143188326</v>
      </c>
      <c r="O53" s="89">
        <f t="shared" si="3"/>
        <v>0.92955570143188326</v>
      </c>
    </row>
    <row r="54" spans="1:15" x14ac:dyDescent="0.2">
      <c r="A54" s="21" t="s">
        <v>3034</v>
      </c>
      <c r="B54" s="21" t="s">
        <v>2776</v>
      </c>
      <c r="C54" s="21" t="s">
        <v>1863</v>
      </c>
      <c r="D54" s="21" t="s">
        <v>1864</v>
      </c>
      <c r="E54" s="21" t="s">
        <v>1865</v>
      </c>
      <c r="F54" s="21" t="s">
        <v>877</v>
      </c>
      <c r="G54" s="21" t="s">
        <v>878</v>
      </c>
      <c r="H54" s="21" t="s">
        <v>3061</v>
      </c>
      <c r="I54" s="21">
        <v>6</v>
      </c>
      <c r="J54" s="89">
        <f t="shared" si="0"/>
        <v>3.870967741935484E-2</v>
      </c>
      <c r="K54" s="94">
        <v>0.95492374967945903</v>
      </c>
      <c r="L54" s="94">
        <v>0.95518843439221901</v>
      </c>
      <c r="M54" s="89">
        <f t="shared" si="2"/>
        <v>0.95492374967945903</v>
      </c>
      <c r="N54" s="89">
        <f t="shared" si="1"/>
        <v>0.92055730551657433</v>
      </c>
      <c r="O54" s="89">
        <f t="shared" si="3"/>
        <v>3.5634476342577069E-2</v>
      </c>
    </row>
    <row r="55" spans="1:15" x14ac:dyDescent="0.2">
      <c r="A55" s="21" t="s">
        <v>3034</v>
      </c>
      <c r="B55" s="21" t="s">
        <v>2776</v>
      </c>
      <c r="C55" s="21" t="s">
        <v>1863</v>
      </c>
      <c r="D55" s="21" t="s">
        <v>1866</v>
      </c>
      <c r="E55" s="21" t="s">
        <v>1867</v>
      </c>
      <c r="F55" s="21" t="s">
        <v>879</v>
      </c>
      <c r="G55" s="21" t="s">
        <v>880</v>
      </c>
      <c r="H55" s="21" t="s">
        <v>3061</v>
      </c>
      <c r="I55" s="21">
        <v>10</v>
      </c>
      <c r="J55" s="89">
        <f t="shared" si="0"/>
        <v>6.4516129032258063E-2</v>
      </c>
      <c r="K55" s="94">
        <v>0.955536772608226</v>
      </c>
      <c r="L55" s="94">
        <v>0.95582884392547496</v>
      </c>
      <c r="M55" s="89">
        <f t="shared" si="2"/>
        <v>0.955536772608226</v>
      </c>
      <c r="N55" s="89">
        <f t="shared" si="1"/>
        <v>0.92114826656002413</v>
      </c>
      <c r="O55" s="89">
        <f t="shared" si="3"/>
        <v>5.9428920423227359E-2</v>
      </c>
    </row>
    <row r="56" spans="1:15" x14ac:dyDescent="0.2">
      <c r="A56" s="21" t="s">
        <v>3034</v>
      </c>
      <c r="B56" s="21" t="s">
        <v>2776</v>
      </c>
      <c r="C56" s="21" t="s">
        <v>1863</v>
      </c>
      <c r="D56" s="21" t="s">
        <v>1868</v>
      </c>
      <c r="E56" s="21" t="s">
        <v>1869</v>
      </c>
      <c r="F56" s="21" t="s">
        <v>881</v>
      </c>
      <c r="G56" s="21" t="s">
        <v>882</v>
      </c>
      <c r="H56" s="21" t="s">
        <v>3061</v>
      </c>
      <c r="I56" s="21">
        <v>139</v>
      </c>
      <c r="J56" s="89">
        <f t="shared" si="0"/>
        <v>0.89677419354838706</v>
      </c>
      <c r="K56" s="94">
        <v>0.95452729171350104</v>
      </c>
      <c r="L56" s="94">
        <v>0.95449402655571003</v>
      </c>
      <c r="M56" s="89">
        <f t="shared" si="2"/>
        <v>0.95452729171350104</v>
      </c>
      <c r="N56" s="89">
        <f t="shared" si="1"/>
        <v>0.92017511554903464</v>
      </c>
      <c r="O56" s="89">
        <f t="shared" si="3"/>
        <v>0.8251892971697794</v>
      </c>
    </row>
    <row r="57" spans="1:15" x14ac:dyDescent="0.2">
      <c r="A57" s="21" t="s">
        <v>1127</v>
      </c>
      <c r="B57" s="21" t="s">
        <v>606</v>
      </c>
      <c r="C57" s="21" t="s">
        <v>607</v>
      </c>
      <c r="D57" s="21" t="s">
        <v>1870</v>
      </c>
      <c r="E57" s="21" t="s">
        <v>1871</v>
      </c>
      <c r="F57" s="21" t="s">
        <v>883</v>
      </c>
      <c r="G57" s="21" t="s">
        <v>884</v>
      </c>
      <c r="H57" s="21" t="s">
        <v>1140</v>
      </c>
      <c r="I57" s="21">
        <v>504</v>
      </c>
      <c r="J57" s="89">
        <f t="shared" si="0"/>
        <v>1</v>
      </c>
      <c r="K57" s="94">
        <v>0.954728266236479</v>
      </c>
      <c r="L57" s="94">
        <v>0.957896413061607</v>
      </c>
      <c r="M57" s="89">
        <f t="shared" si="2"/>
        <v>0.954728266236479</v>
      </c>
      <c r="N57" s="89">
        <f t="shared" si="1"/>
        <v>0.92036885726444617</v>
      </c>
      <c r="O57" s="89">
        <f t="shared" si="3"/>
        <v>0.92036885726444617</v>
      </c>
    </row>
    <row r="58" spans="1:15" x14ac:dyDescent="0.2">
      <c r="A58" s="21" t="s">
        <v>3528</v>
      </c>
      <c r="B58" s="21" t="s">
        <v>3730</v>
      </c>
      <c r="C58" s="21" t="s">
        <v>3731</v>
      </c>
      <c r="D58" s="21" t="s">
        <v>1872</v>
      </c>
      <c r="E58" s="21" t="s">
        <v>1873</v>
      </c>
      <c r="F58" s="21" t="s">
        <v>885</v>
      </c>
      <c r="G58" s="21" t="s">
        <v>886</v>
      </c>
      <c r="H58" s="21" t="s">
        <v>3555</v>
      </c>
      <c r="I58" s="21">
        <v>675</v>
      </c>
      <c r="J58" s="89">
        <f t="shared" si="0"/>
        <v>1</v>
      </c>
      <c r="K58" s="94">
        <v>1.02905682443417</v>
      </c>
      <c r="L58" s="94">
        <v>1.0287147712999001</v>
      </c>
      <c r="M58" s="89">
        <f t="shared" si="2"/>
        <v>1.02905682443417</v>
      </c>
      <c r="N58" s="89">
        <f t="shared" si="1"/>
        <v>0.99202242885104264</v>
      </c>
      <c r="O58" s="89">
        <f t="shared" si="3"/>
        <v>0.99202242885104264</v>
      </c>
    </row>
    <row r="59" spans="1:15" x14ac:dyDescent="0.2">
      <c r="A59" s="21" t="s">
        <v>3528</v>
      </c>
      <c r="B59" s="21" t="s">
        <v>3700</v>
      </c>
      <c r="C59" s="21" t="s">
        <v>3701</v>
      </c>
      <c r="D59" s="21" t="s">
        <v>1874</v>
      </c>
      <c r="E59" s="21" t="s">
        <v>1875</v>
      </c>
      <c r="F59" s="21" t="s">
        <v>887</v>
      </c>
      <c r="G59" s="21" t="s">
        <v>888</v>
      </c>
      <c r="H59" s="21" t="s">
        <v>3540</v>
      </c>
      <c r="I59" s="21">
        <v>697</v>
      </c>
      <c r="J59" s="89">
        <f t="shared" si="0"/>
        <v>1</v>
      </c>
      <c r="K59" s="94">
        <v>1.00660234750898</v>
      </c>
      <c r="L59" s="94">
        <v>1.00647307096509</v>
      </c>
      <c r="M59" s="89">
        <f t="shared" si="2"/>
        <v>1.00660234750898</v>
      </c>
      <c r="N59" s="89">
        <f t="shared" si="1"/>
        <v>0.97037605888487988</v>
      </c>
      <c r="O59" s="89">
        <f t="shared" si="3"/>
        <v>0.97037605888487988</v>
      </c>
    </row>
    <row r="60" spans="1:15" x14ac:dyDescent="0.2">
      <c r="A60" s="21" t="s">
        <v>191</v>
      </c>
      <c r="B60" s="21" t="s">
        <v>2391</v>
      </c>
      <c r="C60" s="21" t="s">
        <v>2392</v>
      </c>
      <c r="D60" s="21" t="s">
        <v>1876</v>
      </c>
      <c r="E60" s="21" t="s">
        <v>1877</v>
      </c>
      <c r="F60" s="21" t="s">
        <v>889</v>
      </c>
      <c r="G60" s="21" t="s">
        <v>890</v>
      </c>
      <c r="H60" s="21" t="s">
        <v>194</v>
      </c>
      <c r="I60" s="21">
        <v>157</v>
      </c>
      <c r="J60" s="89">
        <f t="shared" si="0"/>
        <v>0.25079872204472842</v>
      </c>
      <c r="K60" s="94">
        <v>1.1885896970784799</v>
      </c>
      <c r="L60" s="94">
        <v>1.18875001059188</v>
      </c>
      <c r="M60" s="89">
        <f t="shared" si="2"/>
        <v>1.1885896970784799</v>
      </c>
      <c r="N60" s="89">
        <f t="shared" si="1"/>
        <v>1.1458139241741627</v>
      </c>
      <c r="O60" s="89">
        <f t="shared" si="3"/>
        <v>0.28736866788393534</v>
      </c>
    </row>
    <row r="61" spans="1:15" x14ac:dyDescent="0.2">
      <c r="A61" s="21" t="s">
        <v>191</v>
      </c>
      <c r="B61" s="21" t="s">
        <v>2391</v>
      </c>
      <c r="C61" s="21" t="s">
        <v>2392</v>
      </c>
      <c r="D61" s="21" t="s">
        <v>1878</v>
      </c>
      <c r="E61" s="21" t="s">
        <v>1879</v>
      </c>
      <c r="F61" s="21" t="s">
        <v>891</v>
      </c>
      <c r="G61" s="21" t="s">
        <v>892</v>
      </c>
      <c r="H61" s="21" t="s">
        <v>194</v>
      </c>
      <c r="I61" s="21">
        <v>469</v>
      </c>
      <c r="J61" s="89">
        <f t="shared" si="0"/>
        <v>0.74920127795527158</v>
      </c>
      <c r="K61" s="94">
        <v>1.19793985878736</v>
      </c>
      <c r="L61" s="94">
        <v>1.1962732854568601</v>
      </c>
      <c r="M61" s="89">
        <f t="shared" si="2"/>
        <v>1.19793985878736</v>
      </c>
      <c r="N61" s="89">
        <f t="shared" si="1"/>
        <v>1.154827585916014</v>
      </c>
      <c r="O61" s="89">
        <f t="shared" si="3"/>
        <v>0.86519830318627888</v>
      </c>
    </row>
    <row r="62" spans="1:15" x14ac:dyDescent="0.2">
      <c r="A62" s="21" t="s">
        <v>191</v>
      </c>
      <c r="B62" s="21" t="s">
        <v>399</v>
      </c>
      <c r="C62" s="21" t="s">
        <v>400</v>
      </c>
      <c r="D62" s="21" t="s">
        <v>1880</v>
      </c>
      <c r="E62" s="21" t="s">
        <v>1881</v>
      </c>
      <c r="F62" s="21" t="s">
        <v>893</v>
      </c>
      <c r="G62" s="21" t="s">
        <v>894</v>
      </c>
      <c r="H62" s="21" t="s">
        <v>200</v>
      </c>
      <c r="I62" s="21">
        <v>458</v>
      </c>
      <c r="J62" s="89">
        <f t="shared" si="0"/>
        <v>1</v>
      </c>
      <c r="K62" s="94" t="e">
        <v>#N/A</v>
      </c>
      <c r="L62" s="94">
        <v>1.0818183646244</v>
      </c>
      <c r="M62" s="89">
        <f t="shared" si="2"/>
        <v>1.0818183646244</v>
      </c>
      <c r="N62" s="89">
        <f t="shared" si="1"/>
        <v>1.0428851509152139</v>
      </c>
      <c r="O62" s="89">
        <f t="shared" si="3"/>
        <v>1.0428851509152139</v>
      </c>
    </row>
    <row r="63" spans="1:15" x14ac:dyDescent="0.2">
      <c r="A63" s="21" t="s">
        <v>1127</v>
      </c>
      <c r="B63" s="21" t="s">
        <v>2269</v>
      </c>
      <c r="C63" s="21" t="s">
        <v>2270</v>
      </c>
      <c r="D63" s="21" t="s">
        <v>1882</v>
      </c>
      <c r="E63" s="21" t="s">
        <v>1883</v>
      </c>
      <c r="F63" s="21" t="s">
        <v>895</v>
      </c>
      <c r="G63" s="21" t="s">
        <v>896</v>
      </c>
      <c r="H63" s="21" t="s">
        <v>1129</v>
      </c>
      <c r="I63" s="21">
        <v>822</v>
      </c>
      <c r="J63" s="89">
        <f t="shared" si="0"/>
        <v>1</v>
      </c>
      <c r="K63" s="94">
        <v>1.1076953072599001</v>
      </c>
      <c r="L63" s="94">
        <v>1.1074339067293999</v>
      </c>
      <c r="M63" s="89">
        <f t="shared" si="2"/>
        <v>1.1076953072599001</v>
      </c>
      <c r="N63" s="89">
        <f t="shared" si="1"/>
        <v>1.0678308165723296</v>
      </c>
      <c r="O63" s="89">
        <f t="shared" si="3"/>
        <v>1.0678308165723296</v>
      </c>
    </row>
    <row r="64" spans="1:15" x14ac:dyDescent="0.2">
      <c r="A64" s="21" t="s">
        <v>1127</v>
      </c>
      <c r="B64" s="21" t="s">
        <v>2326</v>
      </c>
      <c r="C64" s="21" t="s">
        <v>0</v>
      </c>
      <c r="D64" s="21" t="s">
        <v>1884</v>
      </c>
      <c r="E64" s="21" t="s">
        <v>1885</v>
      </c>
      <c r="F64" s="21" t="s">
        <v>897</v>
      </c>
      <c r="G64" s="21" t="s">
        <v>898</v>
      </c>
      <c r="H64" s="21" t="s">
        <v>1136</v>
      </c>
      <c r="I64" s="21">
        <v>32</v>
      </c>
      <c r="J64" s="89">
        <f t="shared" si="0"/>
        <v>5.4700854700854701E-2</v>
      </c>
      <c r="K64" s="94">
        <v>0.98540218119129896</v>
      </c>
      <c r="L64" s="94">
        <v>0.985890065844922</v>
      </c>
      <c r="M64" s="89">
        <f t="shared" si="2"/>
        <v>0.98540218119129896</v>
      </c>
      <c r="N64" s="89">
        <f t="shared" si="1"/>
        <v>0.94993885854458182</v>
      </c>
      <c r="O64" s="89">
        <f t="shared" si="3"/>
        <v>5.1962467475942936E-2</v>
      </c>
    </row>
    <row r="65" spans="1:15" x14ac:dyDescent="0.2">
      <c r="A65" s="21" t="s">
        <v>1127</v>
      </c>
      <c r="B65" s="21" t="s">
        <v>2326</v>
      </c>
      <c r="C65" s="21" t="s">
        <v>0</v>
      </c>
      <c r="D65" s="21" t="s">
        <v>1886</v>
      </c>
      <c r="E65" s="21" t="s">
        <v>1887</v>
      </c>
      <c r="F65" s="21" t="s">
        <v>899</v>
      </c>
      <c r="G65" s="21" t="s">
        <v>900</v>
      </c>
      <c r="H65" s="21" t="s">
        <v>1136</v>
      </c>
      <c r="I65" s="21">
        <v>553</v>
      </c>
      <c r="J65" s="89">
        <f t="shared" si="0"/>
        <v>0.94529914529914527</v>
      </c>
      <c r="K65" s="94">
        <v>0.98390569031050201</v>
      </c>
      <c r="L65" s="94">
        <v>0.98323816515009699</v>
      </c>
      <c r="M65" s="89">
        <f t="shared" si="2"/>
        <v>0.98390569031050201</v>
      </c>
      <c r="N65" s="89">
        <f t="shared" si="1"/>
        <v>0.94849622439351067</v>
      </c>
      <c r="O65" s="89">
        <f t="shared" si="3"/>
        <v>0.89661267023865199</v>
      </c>
    </row>
    <row r="66" spans="1:15" x14ac:dyDescent="0.2">
      <c r="A66" s="21" t="s">
        <v>3496</v>
      </c>
      <c r="B66" s="21" t="s">
        <v>2365</v>
      </c>
      <c r="C66" s="21" t="s">
        <v>2366</v>
      </c>
      <c r="D66" s="21" t="s">
        <v>1888</v>
      </c>
      <c r="E66" s="21" t="s">
        <v>1889</v>
      </c>
      <c r="F66" s="21" t="s">
        <v>901</v>
      </c>
      <c r="G66" s="21" t="s">
        <v>902</v>
      </c>
      <c r="H66" s="21" t="s">
        <v>3498</v>
      </c>
      <c r="I66" s="21">
        <v>636</v>
      </c>
      <c r="J66" s="89">
        <f t="shared" ref="J66:J129" si="4">I66/SUMIF(B:B,B66,I:I)</f>
        <v>1</v>
      </c>
      <c r="K66" s="94">
        <v>1.1733028995761201</v>
      </c>
      <c r="L66" s="94">
        <v>1.1722129333589399</v>
      </c>
      <c r="M66" s="89">
        <f t="shared" si="2"/>
        <v>1.1733028995761201</v>
      </c>
      <c r="N66" s="89">
        <f t="shared" ref="N66:N129" si="5">M66/M$757</f>
        <v>1.1310772783179113</v>
      </c>
      <c r="O66" s="89">
        <f t="shared" si="3"/>
        <v>1.1310772783179113</v>
      </c>
    </row>
    <row r="67" spans="1:15" x14ac:dyDescent="0.2">
      <c r="A67" s="21" t="s">
        <v>3528</v>
      </c>
      <c r="B67" s="21" t="s">
        <v>610</v>
      </c>
      <c r="C67" s="21" t="s">
        <v>611</v>
      </c>
      <c r="D67" s="21" t="s">
        <v>1890</v>
      </c>
      <c r="E67" s="21" t="s">
        <v>1891</v>
      </c>
      <c r="F67" s="21" t="s">
        <v>903</v>
      </c>
      <c r="G67" s="21" t="s">
        <v>904</v>
      </c>
      <c r="H67" s="21" t="s">
        <v>3538</v>
      </c>
      <c r="I67" s="21">
        <v>192</v>
      </c>
      <c r="J67" s="89">
        <f t="shared" si="4"/>
        <v>0.22377622377622378</v>
      </c>
      <c r="K67" s="94">
        <v>1.01094658614116</v>
      </c>
      <c r="L67" s="94">
        <v>1.0106815388522601</v>
      </c>
      <c r="M67" s="89">
        <f t="shared" ref="M67:M130" si="6">IF(ISNA(K67),L67,K67)</f>
        <v>1.01094658614116</v>
      </c>
      <c r="N67" s="89">
        <f t="shared" si="5"/>
        <v>0.97456395410803565</v>
      </c>
      <c r="O67" s="89">
        <f t="shared" ref="O67:O130" si="7">N67*J67</f>
        <v>0.21808424147872127</v>
      </c>
    </row>
    <row r="68" spans="1:15" x14ac:dyDescent="0.2">
      <c r="A68" s="21" t="s">
        <v>3528</v>
      </c>
      <c r="B68" s="21" t="s">
        <v>610</v>
      </c>
      <c r="C68" s="21" t="s">
        <v>611</v>
      </c>
      <c r="D68" s="21" t="s">
        <v>1892</v>
      </c>
      <c r="E68" s="21" t="s">
        <v>1893</v>
      </c>
      <c r="F68" s="21" t="s">
        <v>905</v>
      </c>
      <c r="G68" s="21" t="s">
        <v>906</v>
      </c>
      <c r="H68" s="21" t="s">
        <v>3540</v>
      </c>
      <c r="I68" s="21">
        <v>666</v>
      </c>
      <c r="J68" s="89">
        <f t="shared" si="4"/>
        <v>0.77622377622377625</v>
      </c>
      <c r="K68" s="94">
        <v>1.00959082991785</v>
      </c>
      <c r="L68" s="94">
        <v>1.00924866400421</v>
      </c>
      <c r="M68" s="89">
        <f t="shared" si="6"/>
        <v>1.00959082991785</v>
      </c>
      <c r="N68" s="89">
        <f t="shared" si="5"/>
        <v>0.97325698976005859</v>
      </c>
      <c r="O68" s="89">
        <f t="shared" si="7"/>
        <v>0.75546521582773785</v>
      </c>
    </row>
    <row r="69" spans="1:15" x14ac:dyDescent="0.2">
      <c r="A69" s="21" t="s">
        <v>708</v>
      </c>
      <c r="B69" s="21" t="s">
        <v>558</v>
      </c>
      <c r="C69" s="21" t="s">
        <v>559</v>
      </c>
      <c r="D69" s="21" t="s">
        <v>1894</v>
      </c>
      <c r="E69" s="21" t="s">
        <v>1895</v>
      </c>
      <c r="F69" s="21" t="s">
        <v>907</v>
      </c>
      <c r="G69" s="21" t="s">
        <v>908</v>
      </c>
      <c r="H69" s="21" t="s">
        <v>646</v>
      </c>
      <c r="I69" s="21">
        <v>16</v>
      </c>
      <c r="J69" s="89">
        <f t="shared" si="4"/>
        <v>3.7558685446009391E-2</v>
      </c>
      <c r="K69" s="94">
        <v>0.95346483956126904</v>
      </c>
      <c r="L69" s="94">
        <v>0.95367306929042905</v>
      </c>
      <c r="M69" s="89">
        <f t="shared" si="6"/>
        <v>0.95346483956126904</v>
      </c>
      <c r="N69" s="89">
        <f t="shared" si="5"/>
        <v>0.9191508996461133</v>
      </c>
      <c r="O69" s="89">
        <f t="shared" si="7"/>
        <v>3.4522099517224916E-2</v>
      </c>
    </row>
    <row r="70" spans="1:15" x14ac:dyDescent="0.2">
      <c r="A70" s="21" t="s">
        <v>708</v>
      </c>
      <c r="B70" s="21" t="s">
        <v>558</v>
      </c>
      <c r="C70" s="21" t="s">
        <v>559</v>
      </c>
      <c r="D70" s="21" t="s">
        <v>1896</v>
      </c>
      <c r="E70" s="21" t="s">
        <v>1897</v>
      </c>
      <c r="F70" s="21" t="s">
        <v>909</v>
      </c>
      <c r="G70" s="21" t="s">
        <v>910</v>
      </c>
      <c r="H70" s="21" t="s">
        <v>646</v>
      </c>
      <c r="I70" s="21">
        <v>28</v>
      </c>
      <c r="J70" s="89">
        <f t="shared" si="4"/>
        <v>6.5727699530516437E-2</v>
      </c>
      <c r="K70" s="94">
        <v>0.95389510442265502</v>
      </c>
      <c r="L70" s="94">
        <v>0.95348733598159197</v>
      </c>
      <c r="M70" s="89">
        <f t="shared" si="6"/>
        <v>0.95389510442265502</v>
      </c>
      <c r="N70" s="89">
        <f t="shared" si="5"/>
        <v>0.91956567984357818</v>
      </c>
      <c r="O70" s="89">
        <f t="shared" si="7"/>
        <v>6.0440936703333781E-2</v>
      </c>
    </row>
    <row r="71" spans="1:15" x14ac:dyDescent="0.2">
      <c r="A71" s="21" t="s">
        <v>708</v>
      </c>
      <c r="B71" s="21" t="s">
        <v>558</v>
      </c>
      <c r="C71" s="21" t="s">
        <v>559</v>
      </c>
      <c r="D71" s="21" t="s">
        <v>1898</v>
      </c>
      <c r="E71" s="21" t="s">
        <v>1899</v>
      </c>
      <c r="F71" s="21" t="s">
        <v>911</v>
      </c>
      <c r="G71" s="21" t="s">
        <v>912</v>
      </c>
      <c r="H71" s="21" t="s">
        <v>646</v>
      </c>
      <c r="I71" s="21">
        <v>382</v>
      </c>
      <c r="J71" s="89">
        <f t="shared" si="4"/>
        <v>0.89671361502347413</v>
      </c>
      <c r="K71" s="94">
        <v>0.95232606318817004</v>
      </c>
      <c r="L71" s="94">
        <v>0.95240514830921896</v>
      </c>
      <c r="M71" s="89">
        <f t="shared" si="6"/>
        <v>0.95232606318817004</v>
      </c>
      <c r="N71" s="89">
        <f t="shared" si="5"/>
        <v>0.91805310633019899</v>
      </c>
      <c r="O71" s="89">
        <f t="shared" si="7"/>
        <v>0.82323071976088258</v>
      </c>
    </row>
    <row r="72" spans="1:15" x14ac:dyDescent="0.2">
      <c r="A72" s="21" t="s">
        <v>3528</v>
      </c>
      <c r="B72" s="21" t="s">
        <v>3716</v>
      </c>
      <c r="C72" s="21" t="s">
        <v>3717</v>
      </c>
      <c r="D72" s="21" t="s">
        <v>1900</v>
      </c>
      <c r="E72" s="21" t="s">
        <v>1901</v>
      </c>
      <c r="F72" s="21" t="s">
        <v>913</v>
      </c>
      <c r="G72" s="21" t="s">
        <v>914</v>
      </c>
      <c r="H72" s="21" t="s">
        <v>3534</v>
      </c>
      <c r="I72" s="21">
        <v>49</v>
      </c>
      <c r="J72" s="89">
        <f t="shared" si="4"/>
        <v>6.0869565217391307E-2</v>
      </c>
      <c r="K72" s="94">
        <v>0.90720657210752098</v>
      </c>
      <c r="L72" s="94">
        <v>0.907205932265993</v>
      </c>
      <c r="M72" s="89">
        <f t="shared" si="6"/>
        <v>0.90720657210752098</v>
      </c>
      <c r="N72" s="89">
        <f t="shared" si="5"/>
        <v>0.87455740612437249</v>
      </c>
      <c r="O72" s="89">
        <f t="shared" si="7"/>
        <v>5.3233929068440065E-2</v>
      </c>
    </row>
    <row r="73" spans="1:15" x14ac:dyDescent="0.2">
      <c r="A73" s="21" t="s">
        <v>3528</v>
      </c>
      <c r="B73" s="21" t="s">
        <v>3716</v>
      </c>
      <c r="C73" s="21" t="s">
        <v>3717</v>
      </c>
      <c r="D73" s="21" t="s">
        <v>1902</v>
      </c>
      <c r="E73" s="21" t="s">
        <v>1903</v>
      </c>
      <c r="F73" s="21" t="s">
        <v>915</v>
      </c>
      <c r="G73" s="21" t="s">
        <v>916</v>
      </c>
      <c r="H73" s="21" t="s">
        <v>3534</v>
      </c>
      <c r="I73" s="21">
        <v>80</v>
      </c>
      <c r="J73" s="89">
        <f t="shared" si="4"/>
        <v>9.9378881987577633E-2</v>
      </c>
      <c r="K73" s="94">
        <v>0.90721036862467597</v>
      </c>
      <c r="L73" s="94">
        <v>0.90721072672954906</v>
      </c>
      <c r="M73" s="89">
        <f t="shared" si="6"/>
        <v>0.90721036862467597</v>
      </c>
      <c r="N73" s="89">
        <f t="shared" si="5"/>
        <v>0.87456106600989081</v>
      </c>
      <c r="O73" s="89">
        <f t="shared" si="7"/>
        <v>8.6912900969927029E-2</v>
      </c>
    </row>
    <row r="74" spans="1:15" x14ac:dyDescent="0.2">
      <c r="A74" s="21" t="s">
        <v>3528</v>
      </c>
      <c r="B74" s="21" t="s">
        <v>3716</v>
      </c>
      <c r="C74" s="21" t="s">
        <v>3717</v>
      </c>
      <c r="D74" s="21" t="s">
        <v>1904</v>
      </c>
      <c r="E74" s="21" t="s">
        <v>1905</v>
      </c>
      <c r="F74" s="21" t="s">
        <v>917</v>
      </c>
      <c r="G74" s="21" t="s">
        <v>918</v>
      </c>
      <c r="H74" s="21" t="s">
        <v>3534</v>
      </c>
      <c r="I74" s="21">
        <v>676</v>
      </c>
      <c r="J74" s="89">
        <f t="shared" si="4"/>
        <v>0.83975155279503111</v>
      </c>
      <c r="K74" s="94">
        <v>0.90720606290473704</v>
      </c>
      <c r="L74" s="94">
        <v>0.90720836528468296</v>
      </c>
      <c r="M74" s="89">
        <f t="shared" si="6"/>
        <v>0.90720606290473704</v>
      </c>
      <c r="N74" s="89">
        <f t="shared" si="5"/>
        <v>0.87455691524712409</v>
      </c>
      <c r="O74" s="89">
        <f t="shared" si="7"/>
        <v>0.7344105275864049</v>
      </c>
    </row>
    <row r="75" spans="1:15" x14ac:dyDescent="0.2">
      <c r="A75" s="21" t="s">
        <v>2975</v>
      </c>
      <c r="B75" s="21" t="s">
        <v>3378</v>
      </c>
      <c r="C75" s="21" t="s">
        <v>3379</v>
      </c>
      <c r="D75" s="21" t="s">
        <v>1906</v>
      </c>
      <c r="E75" s="21" t="s">
        <v>1907</v>
      </c>
      <c r="F75" s="21" t="s">
        <v>919</v>
      </c>
      <c r="G75" s="21" t="s">
        <v>920</v>
      </c>
      <c r="H75" s="21" t="s">
        <v>2979</v>
      </c>
      <c r="I75" s="21">
        <v>819</v>
      </c>
      <c r="J75" s="89">
        <f t="shared" si="4"/>
        <v>1</v>
      </c>
      <c r="K75" s="94">
        <v>0.97725270837448996</v>
      </c>
      <c r="L75" s="94">
        <v>0.97705220358154299</v>
      </c>
      <c r="M75" s="89">
        <f t="shared" si="6"/>
        <v>0.97725270837448996</v>
      </c>
      <c r="N75" s="89">
        <f t="shared" si="5"/>
        <v>0.94208267448785432</v>
      </c>
      <c r="O75" s="89">
        <f t="shared" si="7"/>
        <v>0.94208267448785432</v>
      </c>
    </row>
    <row r="76" spans="1:15" x14ac:dyDescent="0.2">
      <c r="A76" s="21" t="s">
        <v>2975</v>
      </c>
      <c r="B76" s="21" t="s">
        <v>2324</v>
      </c>
      <c r="C76" s="21" t="s">
        <v>2325</v>
      </c>
      <c r="D76" s="21" t="s">
        <v>1908</v>
      </c>
      <c r="E76" s="21" t="s">
        <v>1909</v>
      </c>
      <c r="F76" s="21" t="s">
        <v>1068</v>
      </c>
      <c r="G76" s="21" t="s">
        <v>1069</v>
      </c>
      <c r="H76" s="21" t="s">
        <v>2991</v>
      </c>
      <c r="I76" s="21">
        <v>88</v>
      </c>
      <c r="J76" s="89">
        <f t="shared" si="4"/>
        <v>1</v>
      </c>
      <c r="K76" s="94">
        <v>0.97521705227007904</v>
      </c>
      <c r="L76" s="94">
        <v>0.97528516111813901</v>
      </c>
      <c r="M76" s="89">
        <f t="shared" si="6"/>
        <v>0.97521705227007904</v>
      </c>
      <c r="N76" s="89">
        <f t="shared" si="5"/>
        <v>0.94012027895725414</v>
      </c>
      <c r="O76" s="89">
        <f t="shared" si="7"/>
        <v>0.94012027895725414</v>
      </c>
    </row>
    <row r="77" spans="1:15" x14ac:dyDescent="0.2">
      <c r="A77" s="21" t="s">
        <v>2975</v>
      </c>
      <c r="B77" s="21" t="s">
        <v>375</v>
      </c>
      <c r="C77" s="21" t="s">
        <v>376</v>
      </c>
      <c r="D77" s="21" t="s">
        <v>1910</v>
      </c>
      <c r="E77" s="21" t="s">
        <v>1911</v>
      </c>
      <c r="F77" s="21" t="s">
        <v>921</v>
      </c>
      <c r="G77" s="21" t="s">
        <v>922</v>
      </c>
      <c r="H77" s="21" t="s">
        <v>2979</v>
      </c>
      <c r="I77" s="21">
        <v>285</v>
      </c>
      <c r="J77" s="89">
        <f t="shared" si="4"/>
        <v>1</v>
      </c>
      <c r="K77" s="94">
        <v>0.97646261856697303</v>
      </c>
      <c r="L77" s="94">
        <v>0.97629070275388397</v>
      </c>
      <c r="M77" s="89">
        <f t="shared" si="6"/>
        <v>0.97646261856697303</v>
      </c>
      <c r="N77" s="89">
        <f t="shared" si="5"/>
        <v>0.94132101896869058</v>
      </c>
      <c r="O77" s="89">
        <f t="shared" si="7"/>
        <v>0.94132101896869058</v>
      </c>
    </row>
    <row r="78" spans="1:15" x14ac:dyDescent="0.2">
      <c r="A78" s="21" t="s">
        <v>2975</v>
      </c>
      <c r="B78" s="21" t="s">
        <v>3872</v>
      </c>
      <c r="C78" s="21" t="s">
        <v>1912</v>
      </c>
      <c r="D78" s="21" t="s">
        <v>1913</v>
      </c>
      <c r="E78" s="21" t="s">
        <v>1914</v>
      </c>
      <c r="F78" s="21" t="s">
        <v>923</v>
      </c>
      <c r="G78" s="21" t="s">
        <v>920</v>
      </c>
      <c r="H78" s="21" t="s">
        <v>2979</v>
      </c>
      <c r="I78" s="21">
        <v>142</v>
      </c>
      <c r="J78" s="89">
        <f t="shared" si="4"/>
        <v>1</v>
      </c>
      <c r="K78" s="94">
        <v>0.97742526374281902</v>
      </c>
      <c r="L78" s="94">
        <v>0.97705220358154299</v>
      </c>
      <c r="M78" s="89">
        <f t="shared" si="6"/>
        <v>0.97742526374281902</v>
      </c>
      <c r="N78" s="89">
        <f t="shared" si="5"/>
        <v>0.94224901981644704</v>
      </c>
      <c r="O78" s="89">
        <f t="shared" si="7"/>
        <v>0.94224901981644704</v>
      </c>
    </row>
    <row r="79" spans="1:15" x14ac:dyDescent="0.2">
      <c r="A79" s="21" t="s">
        <v>1167</v>
      </c>
      <c r="B79" s="21" t="s">
        <v>3388</v>
      </c>
      <c r="C79" s="21" t="s">
        <v>3389</v>
      </c>
      <c r="D79" s="21" t="s">
        <v>1915</v>
      </c>
      <c r="E79" s="21" t="s">
        <v>1916</v>
      </c>
      <c r="F79" s="21" t="s">
        <v>924</v>
      </c>
      <c r="G79" s="21" t="s">
        <v>925</v>
      </c>
      <c r="H79" s="21" t="s">
        <v>3464</v>
      </c>
      <c r="I79" s="21">
        <v>455</v>
      </c>
      <c r="J79" s="89">
        <f t="shared" si="4"/>
        <v>0.37234042553191488</v>
      </c>
      <c r="K79" s="94">
        <v>1.20264231069268</v>
      </c>
      <c r="L79" s="94">
        <v>1.2053515257713401</v>
      </c>
      <c r="M79" s="89">
        <f t="shared" si="6"/>
        <v>1.20264231069268</v>
      </c>
      <c r="N79" s="89">
        <f t="shared" si="5"/>
        <v>1.1593608027898594</v>
      </c>
      <c r="O79" s="89">
        <f t="shared" si="7"/>
        <v>0.43167689465579873</v>
      </c>
    </row>
    <row r="80" spans="1:15" x14ac:dyDescent="0.2">
      <c r="A80" s="21" t="s">
        <v>1167</v>
      </c>
      <c r="B80" s="21" t="s">
        <v>3388</v>
      </c>
      <c r="C80" s="21" t="s">
        <v>3389</v>
      </c>
      <c r="D80" s="21" t="s">
        <v>1917</v>
      </c>
      <c r="E80" s="21" t="s">
        <v>1918</v>
      </c>
      <c r="F80" s="21" t="s">
        <v>926</v>
      </c>
      <c r="G80" s="21" t="s">
        <v>927</v>
      </c>
      <c r="H80" s="21" t="s">
        <v>1169</v>
      </c>
      <c r="I80" s="21">
        <v>767</v>
      </c>
      <c r="J80" s="89">
        <f t="shared" si="4"/>
        <v>0.62765957446808507</v>
      </c>
      <c r="K80" s="94">
        <v>1.1863279679348899</v>
      </c>
      <c r="L80" s="94">
        <v>1.1878612262544901</v>
      </c>
      <c r="M80" s="89">
        <f t="shared" si="6"/>
        <v>1.1863279679348899</v>
      </c>
      <c r="N80" s="89">
        <f t="shared" si="5"/>
        <v>1.1436335916743894</v>
      </c>
      <c r="O80" s="89">
        <f t="shared" si="7"/>
        <v>0.71781257349775496</v>
      </c>
    </row>
    <row r="81" spans="1:15" x14ac:dyDescent="0.2">
      <c r="A81" s="21" t="s">
        <v>3034</v>
      </c>
      <c r="B81" s="21" t="s">
        <v>2265</v>
      </c>
      <c r="C81" s="21" t="s">
        <v>2266</v>
      </c>
      <c r="D81" s="21" t="s">
        <v>1919</v>
      </c>
      <c r="E81" s="21" t="s">
        <v>1920</v>
      </c>
      <c r="F81" s="21" t="s">
        <v>928</v>
      </c>
      <c r="G81" s="21" t="s">
        <v>929</v>
      </c>
      <c r="H81" s="21" t="s">
        <v>3038</v>
      </c>
      <c r="I81" s="21">
        <v>464</v>
      </c>
      <c r="J81" s="89">
        <f t="shared" si="4"/>
        <v>1</v>
      </c>
      <c r="K81" s="94" t="e">
        <v>#N/A</v>
      </c>
      <c r="L81" s="94">
        <v>0.96365252366500098</v>
      </c>
      <c r="M81" s="89">
        <f t="shared" si="6"/>
        <v>0.96365252366500098</v>
      </c>
      <c r="N81" s="89">
        <f t="shared" si="5"/>
        <v>0.92897194245831016</v>
      </c>
      <c r="O81" s="89">
        <f t="shared" si="7"/>
        <v>0.92897194245831016</v>
      </c>
    </row>
    <row r="82" spans="1:15" x14ac:dyDescent="0.2">
      <c r="A82" s="21" t="s">
        <v>3034</v>
      </c>
      <c r="B82" s="21" t="s">
        <v>608</v>
      </c>
      <c r="C82" s="21" t="s">
        <v>609</v>
      </c>
      <c r="D82" s="21" t="s">
        <v>1921</v>
      </c>
      <c r="E82" s="21" t="s">
        <v>1922</v>
      </c>
      <c r="F82" s="21" t="s">
        <v>930</v>
      </c>
      <c r="G82" s="21" t="s">
        <v>931</v>
      </c>
      <c r="H82" s="21" t="s">
        <v>3066</v>
      </c>
      <c r="I82" s="21">
        <v>546</v>
      </c>
      <c r="J82" s="89">
        <f t="shared" si="4"/>
        <v>1</v>
      </c>
      <c r="K82" s="94">
        <v>0.95720016715970402</v>
      </c>
      <c r="L82" s="94">
        <v>0.95732080125782804</v>
      </c>
      <c r="M82" s="89">
        <f t="shared" si="6"/>
        <v>0.95720016715970402</v>
      </c>
      <c r="N82" s="89">
        <f t="shared" si="5"/>
        <v>0.92275179773917171</v>
      </c>
      <c r="O82" s="89">
        <f t="shared" si="7"/>
        <v>0.92275179773917171</v>
      </c>
    </row>
    <row r="83" spans="1:15" x14ac:dyDescent="0.2">
      <c r="A83" s="21" t="s">
        <v>3069</v>
      </c>
      <c r="B83" s="21" t="s">
        <v>2320</v>
      </c>
      <c r="C83" s="21" t="s">
        <v>2321</v>
      </c>
      <c r="D83" s="21" t="s">
        <v>1923</v>
      </c>
      <c r="E83" s="21" t="s">
        <v>1924</v>
      </c>
      <c r="F83" s="21" t="s">
        <v>932</v>
      </c>
      <c r="G83" s="21" t="s">
        <v>933</v>
      </c>
      <c r="H83" s="21" t="s">
        <v>3071</v>
      </c>
      <c r="I83" s="21">
        <v>523</v>
      </c>
      <c r="J83" s="89">
        <f t="shared" si="4"/>
        <v>1</v>
      </c>
      <c r="K83" s="94">
        <v>0.95756082531847098</v>
      </c>
      <c r="L83" s="94">
        <v>0.95856341933870703</v>
      </c>
      <c r="M83" s="89">
        <f t="shared" si="6"/>
        <v>0.95756082531847098</v>
      </c>
      <c r="N83" s="89">
        <f t="shared" si="5"/>
        <v>0.92309947628728461</v>
      </c>
      <c r="O83" s="89">
        <f t="shared" si="7"/>
        <v>0.92309947628728461</v>
      </c>
    </row>
    <row r="84" spans="1:15" x14ac:dyDescent="0.2">
      <c r="A84" s="21" t="s">
        <v>1167</v>
      </c>
      <c r="B84" s="21" t="s">
        <v>680</v>
      </c>
      <c r="C84" s="21" t="s">
        <v>681</v>
      </c>
      <c r="D84" s="21" t="s">
        <v>1925</v>
      </c>
      <c r="E84" s="21" t="s">
        <v>681</v>
      </c>
      <c r="F84" s="21" t="s">
        <v>934</v>
      </c>
      <c r="G84" s="21" t="s">
        <v>935</v>
      </c>
      <c r="H84" s="21" t="s">
        <v>3397</v>
      </c>
      <c r="I84" s="21">
        <v>428</v>
      </c>
      <c r="J84" s="89">
        <f t="shared" si="4"/>
        <v>1</v>
      </c>
      <c r="K84" s="94" t="e">
        <v>#N/A</v>
      </c>
      <c r="L84" s="94">
        <v>1.2232426536696499</v>
      </c>
      <c r="M84" s="89">
        <f t="shared" si="6"/>
        <v>1.2232426536696499</v>
      </c>
      <c r="N84" s="89">
        <f t="shared" si="5"/>
        <v>1.1792197666390278</v>
      </c>
      <c r="O84" s="89">
        <f t="shared" si="7"/>
        <v>1.1792197666390278</v>
      </c>
    </row>
    <row r="85" spans="1:15" x14ac:dyDescent="0.2">
      <c r="A85" s="21" t="s">
        <v>1167</v>
      </c>
      <c r="B85" s="21" t="s">
        <v>552</v>
      </c>
      <c r="C85" s="21" t="s">
        <v>1926</v>
      </c>
      <c r="D85" s="21" t="s">
        <v>1927</v>
      </c>
      <c r="E85" s="21" t="s">
        <v>1928</v>
      </c>
      <c r="F85" s="21" t="s">
        <v>936</v>
      </c>
      <c r="G85" s="21" t="s">
        <v>937</v>
      </c>
      <c r="H85" s="21" t="s">
        <v>465</v>
      </c>
      <c r="I85" s="21">
        <v>485</v>
      </c>
      <c r="J85" s="89">
        <f t="shared" si="4"/>
        <v>0.33356258596973865</v>
      </c>
      <c r="K85" s="94" t="e">
        <v>#N/A</v>
      </c>
      <c r="L85" s="94">
        <v>1.21693369313512</v>
      </c>
      <c r="M85" s="89">
        <f t="shared" si="6"/>
        <v>1.21693369313512</v>
      </c>
      <c r="N85" s="89">
        <f t="shared" si="5"/>
        <v>1.1731378572591147</v>
      </c>
      <c r="O85" s="89">
        <f t="shared" si="7"/>
        <v>0.39131489736634845</v>
      </c>
    </row>
    <row r="86" spans="1:15" x14ac:dyDescent="0.2">
      <c r="A86" s="21" t="s">
        <v>1167</v>
      </c>
      <c r="B86" s="21" t="s">
        <v>552</v>
      </c>
      <c r="C86" s="21" t="s">
        <v>1929</v>
      </c>
      <c r="D86" s="21" t="s">
        <v>1930</v>
      </c>
      <c r="E86" s="21" t="s">
        <v>1931</v>
      </c>
      <c r="F86" s="21" t="s">
        <v>938</v>
      </c>
      <c r="G86" s="21" t="s">
        <v>939</v>
      </c>
      <c r="H86" s="21" t="s">
        <v>458</v>
      </c>
      <c r="I86" s="21">
        <v>81</v>
      </c>
      <c r="J86" s="89">
        <f t="shared" si="4"/>
        <v>5.5708390646492432E-2</v>
      </c>
      <c r="K86" s="94" t="e">
        <v>#N/A</v>
      </c>
      <c r="L86" s="94">
        <v>1.19295740541013</v>
      </c>
      <c r="M86" s="89">
        <f t="shared" si="6"/>
        <v>1.19295740541013</v>
      </c>
      <c r="N86" s="89">
        <f t="shared" si="5"/>
        <v>1.1500244444533114</v>
      </c>
      <c r="O86" s="89">
        <f t="shared" si="7"/>
        <v>6.4066011004620504E-2</v>
      </c>
    </row>
    <row r="87" spans="1:15" x14ac:dyDescent="0.2">
      <c r="A87" s="21" t="s">
        <v>1167</v>
      </c>
      <c r="B87" s="21" t="s">
        <v>552</v>
      </c>
      <c r="C87" s="21" t="s">
        <v>1929</v>
      </c>
      <c r="D87" s="21" t="s">
        <v>1932</v>
      </c>
      <c r="E87" s="21" t="s">
        <v>1933</v>
      </c>
      <c r="F87" s="21" t="s">
        <v>940</v>
      </c>
      <c r="G87" s="21" t="s">
        <v>941</v>
      </c>
      <c r="H87" s="21" t="s">
        <v>458</v>
      </c>
      <c r="I87" s="21">
        <v>458</v>
      </c>
      <c r="J87" s="89">
        <f t="shared" si="4"/>
        <v>0.31499312242090782</v>
      </c>
      <c r="K87" s="94" t="e">
        <v>#N/A</v>
      </c>
      <c r="L87" s="94">
        <v>1.1992342618804199</v>
      </c>
      <c r="M87" s="89">
        <f t="shared" si="6"/>
        <v>1.1992342618804199</v>
      </c>
      <c r="N87" s="89">
        <f t="shared" si="5"/>
        <v>1.1560754051518425</v>
      </c>
      <c r="O87" s="89">
        <f t="shared" si="7"/>
        <v>0.36415580162279493</v>
      </c>
    </row>
    <row r="88" spans="1:15" x14ac:dyDescent="0.2">
      <c r="A88" s="21" t="s">
        <v>1167</v>
      </c>
      <c r="B88" s="21" t="s">
        <v>689</v>
      </c>
      <c r="C88" s="21" t="s">
        <v>690</v>
      </c>
      <c r="D88" s="21" t="s">
        <v>1934</v>
      </c>
      <c r="E88" s="21" t="s">
        <v>811</v>
      </c>
      <c r="F88" s="21" t="s">
        <v>942</v>
      </c>
      <c r="G88" s="21" t="s">
        <v>943</v>
      </c>
      <c r="H88" s="21" t="s">
        <v>3494</v>
      </c>
      <c r="I88" s="21">
        <v>621</v>
      </c>
      <c r="J88" s="89">
        <f t="shared" si="4"/>
        <v>1</v>
      </c>
      <c r="K88" s="94">
        <v>1.2228564606538299</v>
      </c>
      <c r="L88" s="94">
        <v>1.22249573389281</v>
      </c>
      <c r="M88" s="89">
        <f t="shared" si="6"/>
        <v>1.2228564606538299</v>
      </c>
      <c r="N88" s="89">
        <f t="shared" si="5"/>
        <v>1.178847472199632</v>
      </c>
      <c r="O88" s="89">
        <f t="shared" si="7"/>
        <v>1.178847472199632</v>
      </c>
    </row>
    <row r="89" spans="1:15" x14ac:dyDescent="0.2">
      <c r="A89" s="21" t="s">
        <v>1127</v>
      </c>
      <c r="B89" s="21" t="s">
        <v>3690</v>
      </c>
      <c r="C89" s="21" t="s">
        <v>3691</v>
      </c>
      <c r="D89" s="21" t="s">
        <v>812</v>
      </c>
      <c r="E89" s="21" t="s">
        <v>813</v>
      </c>
      <c r="F89" s="21" t="s">
        <v>944</v>
      </c>
      <c r="G89" s="21" t="s">
        <v>945</v>
      </c>
      <c r="H89" s="21" t="s">
        <v>1133</v>
      </c>
      <c r="I89" s="21">
        <v>235</v>
      </c>
      <c r="J89" s="89">
        <f t="shared" si="4"/>
        <v>1</v>
      </c>
      <c r="K89" s="94">
        <v>1.0464814863653999</v>
      </c>
      <c r="L89" s="94">
        <v>1.0467270995240101</v>
      </c>
      <c r="M89" s="89">
        <f t="shared" si="6"/>
        <v>1.0464814863653999</v>
      </c>
      <c r="N89" s="89">
        <f t="shared" si="5"/>
        <v>1.0088200002197876</v>
      </c>
      <c r="O89" s="89">
        <f t="shared" si="7"/>
        <v>1.0088200002197876</v>
      </c>
    </row>
    <row r="90" spans="1:15" x14ac:dyDescent="0.2">
      <c r="A90" s="21" t="s">
        <v>1127</v>
      </c>
      <c r="B90" s="21" t="s">
        <v>3696</v>
      </c>
      <c r="C90" s="21" t="s">
        <v>3697</v>
      </c>
      <c r="D90" s="21" t="s">
        <v>814</v>
      </c>
      <c r="E90" s="21" t="s">
        <v>815</v>
      </c>
      <c r="F90" s="21" t="s">
        <v>946</v>
      </c>
      <c r="G90" s="21" t="s">
        <v>947</v>
      </c>
      <c r="H90" s="21" t="s">
        <v>2124</v>
      </c>
      <c r="I90" s="21">
        <v>32</v>
      </c>
      <c r="J90" s="89">
        <f t="shared" si="4"/>
        <v>4.930662557781202E-2</v>
      </c>
      <c r="K90" s="94">
        <v>0.99531666045145095</v>
      </c>
      <c r="L90" s="94">
        <v>0.99447553935839605</v>
      </c>
      <c r="M90" s="89">
        <f t="shared" si="6"/>
        <v>0.99531666045145095</v>
      </c>
      <c r="N90" s="89">
        <f t="shared" si="5"/>
        <v>0.95949652879457736</v>
      </c>
      <c r="O90" s="89">
        <f t="shared" si="7"/>
        <v>4.7309536088484559E-2</v>
      </c>
    </row>
    <row r="91" spans="1:15" x14ac:dyDescent="0.2">
      <c r="A91" s="21" t="s">
        <v>1127</v>
      </c>
      <c r="B91" s="21" t="s">
        <v>3696</v>
      </c>
      <c r="C91" s="21" t="s">
        <v>3697</v>
      </c>
      <c r="D91" s="21" t="s">
        <v>816</v>
      </c>
      <c r="E91" s="21" t="s">
        <v>817</v>
      </c>
      <c r="F91" s="21" t="s">
        <v>948</v>
      </c>
      <c r="G91" s="21" t="s">
        <v>949</v>
      </c>
      <c r="H91" s="21" t="s">
        <v>1157</v>
      </c>
      <c r="I91" s="21">
        <v>106</v>
      </c>
      <c r="J91" s="89">
        <f t="shared" si="4"/>
        <v>0.1633281972265023</v>
      </c>
      <c r="K91" s="94">
        <v>1.0049721979226001</v>
      </c>
      <c r="L91" s="94">
        <v>1.0048309315869901</v>
      </c>
      <c r="M91" s="89">
        <f t="shared" si="6"/>
        <v>1.0049721979226001</v>
      </c>
      <c r="N91" s="89">
        <f t="shared" si="5"/>
        <v>0.96880457622845773</v>
      </c>
      <c r="O91" s="89">
        <f t="shared" si="7"/>
        <v>0.15823310490017953</v>
      </c>
    </row>
    <row r="92" spans="1:15" x14ac:dyDescent="0.2">
      <c r="A92" s="21" t="s">
        <v>1127</v>
      </c>
      <c r="B92" s="21" t="s">
        <v>3696</v>
      </c>
      <c r="C92" s="21" t="s">
        <v>3697</v>
      </c>
      <c r="D92" s="21" t="s">
        <v>818</v>
      </c>
      <c r="E92" s="21" t="s">
        <v>819</v>
      </c>
      <c r="F92" s="21" t="s">
        <v>950</v>
      </c>
      <c r="G92" s="21" t="s">
        <v>951</v>
      </c>
      <c r="H92" s="21" t="s">
        <v>1157</v>
      </c>
      <c r="I92" s="21">
        <v>154</v>
      </c>
      <c r="J92" s="89">
        <f t="shared" si="4"/>
        <v>0.23728813559322035</v>
      </c>
      <c r="K92" s="94">
        <v>1.00442565608024</v>
      </c>
      <c r="L92" s="94">
        <v>1.0045334067685401</v>
      </c>
      <c r="M92" s="89">
        <f t="shared" si="6"/>
        <v>1.00442565608024</v>
      </c>
      <c r="N92" s="89">
        <f t="shared" si="5"/>
        <v>0.96827770370494592</v>
      </c>
      <c r="O92" s="89">
        <f t="shared" si="7"/>
        <v>0.22976081104863125</v>
      </c>
    </row>
    <row r="93" spans="1:15" x14ac:dyDescent="0.2">
      <c r="A93" s="21" t="s">
        <v>1127</v>
      </c>
      <c r="B93" s="21" t="s">
        <v>3696</v>
      </c>
      <c r="C93" s="21" t="s">
        <v>3697</v>
      </c>
      <c r="D93" s="21" t="s">
        <v>820</v>
      </c>
      <c r="E93" s="21" t="s">
        <v>821</v>
      </c>
      <c r="F93" s="21" t="s">
        <v>952</v>
      </c>
      <c r="G93" s="21" t="s">
        <v>949</v>
      </c>
      <c r="H93" s="21" t="s">
        <v>1157</v>
      </c>
      <c r="I93" s="21">
        <v>357</v>
      </c>
      <c r="J93" s="89">
        <f t="shared" si="4"/>
        <v>0.55007704160246529</v>
      </c>
      <c r="K93" s="94">
        <v>1.00511348827883</v>
      </c>
      <c r="L93" s="94">
        <v>1.0048309315869901</v>
      </c>
      <c r="M93" s="89">
        <f t="shared" si="6"/>
        <v>1.00511348827883</v>
      </c>
      <c r="N93" s="89">
        <f t="shared" si="5"/>
        <v>0.96894078173143128</v>
      </c>
      <c r="O93" s="89">
        <f t="shared" si="7"/>
        <v>0.53299207870280574</v>
      </c>
    </row>
    <row r="94" spans="1:15" x14ac:dyDescent="0.2">
      <c r="A94" s="21" t="s">
        <v>1127</v>
      </c>
      <c r="B94" s="21" t="s">
        <v>1336</v>
      </c>
      <c r="C94" s="21" t="s">
        <v>1337</v>
      </c>
      <c r="D94" s="21" t="s">
        <v>822</v>
      </c>
      <c r="E94" s="21" t="s">
        <v>823</v>
      </c>
      <c r="F94" s="21" t="s">
        <v>953</v>
      </c>
      <c r="G94" s="21" t="s">
        <v>954</v>
      </c>
      <c r="H94" s="21" t="s">
        <v>1147</v>
      </c>
      <c r="I94" s="21">
        <v>35</v>
      </c>
      <c r="J94" s="89">
        <f t="shared" si="4"/>
        <v>7.0000000000000007E-2</v>
      </c>
      <c r="K94" s="94">
        <v>0.94227948357908098</v>
      </c>
      <c r="L94" s="94">
        <v>0.94227690252907503</v>
      </c>
      <c r="M94" s="89">
        <f t="shared" si="6"/>
        <v>0.94227948357908098</v>
      </c>
      <c r="N94" s="89">
        <f t="shared" si="5"/>
        <v>0.90836808984830164</v>
      </c>
      <c r="O94" s="89">
        <f t="shared" si="7"/>
        <v>6.3585766289381118E-2</v>
      </c>
    </row>
    <row r="95" spans="1:15" x14ac:dyDescent="0.2">
      <c r="A95" s="21" t="s">
        <v>1127</v>
      </c>
      <c r="B95" s="21" t="s">
        <v>1336</v>
      </c>
      <c r="C95" s="21" t="s">
        <v>1337</v>
      </c>
      <c r="D95" s="21" t="s">
        <v>824</v>
      </c>
      <c r="E95" s="21" t="s">
        <v>825</v>
      </c>
      <c r="F95" s="21" t="s">
        <v>955</v>
      </c>
      <c r="G95" s="21" t="s">
        <v>956</v>
      </c>
      <c r="H95" s="21" t="s">
        <v>1147</v>
      </c>
      <c r="I95" s="21">
        <v>465</v>
      </c>
      <c r="J95" s="89">
        <f t="shared" si="4"/>
        <v>0.93</v>
      </c>
      <c r="K95" s="94">
        <v>0.94197534278512096</v>
      </c>
      <c r="L95" s="94">
        <v>0.94193309854846696</v>
      </c>
      <c r="M95" s="89">
        <f t="shared" si="6"/>
        <v>0.94197534278512096</v>
      </c>
      <c r="N95" s="89">
        <f t="shared" si="5"/>
        <v>0.90807489467970359</v>
      </c>
      <c r="O95" s="89">
        <f t="shared" si="7"/>
        <v>0.84450965205212436</v>
      </c>
    </row>
    <row r="96" spans="1:15" x14ac:dyDescent="0.2">
      <c r="A96" s="21" t="s">
        <v>1127</v>
      </c>
      <c r="B96" s="21" t="s">
        <v>1334</v>
      </c>
      <c r="C96" s="21" t="s">
        <v>1335</v>
      </c>
      <c r="D96" s="21" t="s">
        <v>826</v>
      </c>
      <c r="E96" s="21" t="s">
        <v>827</v>
      </c>
      <c r="F96" s="21" t="s">
        <v>957</v>
      </c>
      <c r="G96" s="21" t="s">
        <v>958</v>
      </c>
      <c r="H96" s="21" t="s">
        <v>1145</v>
      </c>
      <c r="I96" s="21">
        <v>610</v>
      </c>
      <c r="J96" s="89">
        <f t="shared" si="4"/>
        <v>1</v>
      </c>
      <c r="K96" s="94">
        <v>0.97751572072321502</v>
      </c>
      <c r="L96" s="94">
        <v>0.97753068475278204</v>
      </c>
      <c r="M96" s="89">
        <f t="shared" si="6"/>
        <v>0.97751572072321502</v>
      </c>
      <c r="N96" s="89">
        <f t="shared" si="5"/>
        <v>0.94233622136962492</v>
      </c>
      <c r="O96" s="89">
        <f t="shared" si="7"/>
        <v>0.94233622136962492</v>
      </c>
    </row>
    <row r="97" spans="1:15" x14ac:dyDescent="0.2">
      <c r="A97" s="21" t="s">
        <v>1127</v>
      </c>
      <c r="B97" s="21" t="s">
        <v>683</v>
      </c>
      <c r="C97" s="21" t="s">
        <v>684</v>
      </c>
      <c r="D97" s="21" t="s">
        <v>828</v>
      </c>
      <c r="E97" s="21" t="s">
        <v>829</v>
      </c>
      <c r="F97" s="21" t="s">
        <v>959</v>
      </c>
      <c r="G97" s="21" t="s">
        <v>960</v>
      </c>
      <c r="H97" s="21" t="s">
        <v>1145</v>
      </c>
      <c r="I97" s="21">
        <v>484</v>
      </c>
      <c r="J97" s="89">
        <f t="shared" si="4"/>
        <v>1</v>
      </c>
      <c r="K97" s="94" t="e">
        <v>#N/A</v>
      </c>
      <c r="L97" s="94">
        <v>0.981433699572828</v>
      </c>
      <c r="M97" s="89">
        <f t="shared" si="6"/>
        <v>0.981433699572828</v>
      </c>
      <c r="N97" s="89">
        <f t="shared" si="5"/>
        <v>0.94611319733663934</v>
      </c>
      <c r="O97" s="89">
        <f t="shared" si="7"/>
        <v>0.94611319733663934</v>
      </c>
    </row>
    <row r="98" spans="1:15" x14ac:dyDescent="0.2">
      <c r="A98" s="21" t="s">
        <v>1127</v>
      </c>
      <c r="B98" s="21" t="s">
        <v>2302</v>
      </c>
      <c r="C98" s="21" t="s">
        <v>2303</v>
      </c>
      <c r="D98" s="21" t="s">
        <v>830</v>
      </c>
      <c r="E98" s="21" t="s">
        <v>831</v>
      </c>
      <c r="F98" s="21" t="s">
        <v>961</v>
      </c>
      <c r="G98" s="21" t="s">
        <v>962</v>
      </c>
      <c r="H98" s="21" t="s">
        <v>1133</v>
      </c>
      <c r="I98" s="21">
        <v>1114</v>
      </c>
      <c r="J98" s="89">
        <f t="shared" si="4"/>
        <v>1</v>
      </c>
      <c r="K98" s="94">
        <v>1.0515170941657599</v>
      </c>
      <c r="L98" s="94">
        <v>1.05131194873915</v>
      </c>
      <c r="M98" s="89">
        <f t="shared" si="6"/>
        <v>1.0515170941657599</v>
      </c>
      <c r="N98" s="89">
        <f t="shared" si="5"/>
        <v>1.0136743831481561</v>
      </c>
      <c r="O98" s="89">
        <f t="shared" si="7"/>
        <v>1.0136743831481561</v>
      </c>
    </row>
    <row r="99" spans="1:15" x14ac:dyDescent="0.2">
      <c r="A99" s="21" t="s">
        <v>1167</v>
      </c>
      <c r="B99" s="21" t="s">
        <v>552</v>
      </c>
      <c r="C99" s="21" t="s">
        <v>832</v>
      </c>
      <c r="D99" s="21" t="s">
        <v>833</v>
      </c>
      <c r="E99" s="21" t="s">
        <v>834</v>
      </c>
      <c r="F99" s="21" t="s">
        <v>963</v>
      </c>
      <c r="G99" s="21" t="s">
        <v>964</v>
      </c>
      <c r="H99" s="21" t="s">
        <v>3474</v>
      </c>
      <c r="I99" s="21">
        <v>430</v>
      </c>
      <c r="J99" s="89">
        <f t="shared" si="4"/>
        <v>0.29573590096286106</v>
      </c>
      <c r="K99" s="94" t="e">
        <v>#N/A</v>
      </c>
      <c r="L99" s="94">
        <v>1.2017277636799399</v>
      </c>
      <c r="M99" s="89">
        <f t="shared" si="6"/>
        <v>1.2017277636799399</v>
      </c>
      <c r="N99" s="89">
        <f t="shared" si="5"/>
        <v>1.1584791691158631</v>
      </c>
      <c r="O99" s="89">
        <f t="shared" si="7"/>
        <v>0.34260388082518645</v>
      </c>
    </row>
    <row r="100" spans="1:15" x14ac:dyDescent="0.2">
      <c r="A100" s="21" t="s">
        <v>3528</v>
      </c>
      <c r="B100" s="21" t="s">
        <v>3718</v>
      </c>
      <c r="C100" s="21" t="s">
        <v>3719</v>
      </c>
      <c r="D100" s="21" t="s">
        <v>835</v>
      </c>
      <c r="E100" s="21" t="s">
        <v>836</v>
      </c>
      <c r="F100" s="21" t="s">
        <v>965</v>
      </c>
      <c r="G100" s="21" t="s">
        <v>966</v>
      </c>
      <c r="H100" s="21" t="s">
        <v>3536</v>
      </c>
      <c r="I100" s="21">
        <v>8</v>
      </c>
      <c r="J100" s="89">
        <f t="shared" si="4"/>
        <v>9.9132589838909543E-3</v>
      </c>
      <c r="K100" s="94">
        <v>0.93796551730539202</v>
      </c>
      <c r="L100" s="94">
        <v>0.93798856712876</v>
      </c>
      <c r="M100" s="89">
        <f t="shared" si="6"/>
        <v>0.93796551730539202</v>
      </c>
      <c r="N100" s="89">
        <f t="shared" si="5"/>
        <v>0.90420937752144881</v>
      </c>
      <c r="O100" s="89">
        <f t="shared" si="7"/>
        <v>8.9636617350329507E-3</v>
      </c>
    </row>
    <row r="101" spans="1:15" x14ac:dyDescent="0.2">
      <c r="A101" s="21" t="s">
        <v>3528</v>
      </c>
      <c r="B101" s="21" t="s">
        <v>3718</v>
      </c>
      <c r="C101" s="21" t="s">
        <v>3719</v>
      </c>
      <c r="D101" s="21" t="s">
        <v>837</v>
      </c>
      <c r="E101" s="21" t="s">
        <v>838</v>
      </c>
      <c r="F101" s="21" t="s">
        <v>967</v>
      </c>
      <c r="G101" s="21" t="s">
        <v>968</v>
      </c>
      <c r="H101" s="21" t="s">
        <v>3536</v>
      </c>
      <c r="I101" s="21">
        <v>10</v>
      </c>
      <c r="J101" s="89">
        <f t="shared" si="4"/>
        <v>1.2391573729863693E-2</v>
      </c>
      <c r="K101" s="94">
        <v>0.93789734352731602</v>
      </c>
      <c r="L101" s="94">
        <v>0.93791665041662997</v>
      </c>
      <c r="M101" s="89">
        <f t="shared" si="6"/>
        <v>0.93789734352731602</v>
      </c>
      <c r="N101" s="89">
        <f t="shared" si="5"/>
        <v>0.90414365722757861</v>
      </c>
      <c r="O101" s="89">
        <f t="shared" si="7"/>
        <v>1.1203762790924146E-2</v>
      </c>
    </row>
    <row r="102" spans="1:15" x14ac:dyDescent="0.2">
      <c r="A102" s="21" t="s">
        <v>3528</v>
      </c>
      <c r="B102" s="21" t="s">
        <v>3718</v>
      </c>
      <c r="C102" s="21" t="s">
        <v>3719</v>
      </c>
      <c r="D102" s="21" t="s">
        <v>839</v>
      </c>
      <c r="E102" s="21" t="s">
        <v>840</v>
      </c>
      <c r="F102" s="21" t="s">
        <v>969</v>
      </c>
      <c r="G102" s="21" t="s">
        <v>970</v>
      </c>
      <c r="H102" s="21" t="s">
        <v>3536</v>
      </c>
      <c r="I102" s="21">
        <v>789</v>
      </c>
      <c r="J102" s="89">
        <f t="shared" si="4"/>
        <v>0.97769516728624539</v>
      </c>
      <c r="K102" s="94">
        <v>0.93788529077410099</v>
      </c>
      <c r="L102" s="94">
        <v>0.93786392242544803</v>
      </c>
      <c r="M102" s="89">
        <f t="shared" si="6"/>
        <v>0.93788529077410099</v>
      </c>
      <c r="N102" s="89">
        <f t="shared" si="5"/>
        <v>0.90413203823702848</v>
      </c>
      <c r="O102" s="89">
        <f t="shared" si="7"/>
        <v>0.88396552437300557</v>
      </c>
    </row>
    <row r="103" spans="1:15" x14ac:dyDescent="0.2">
      <c r="A103" s="21" t="s">
        <v>191</v>
      </c>
      <c r="B103" s="21" t="s">
        <v>567</v>
      </c>
      <c r="C103" s="21" t="s">
        <v>568</v>
      </c>
      <c r="D103" s="21" t="s">
        <v>841</v>
      </c>
      <c r="E103" s="21" t="s">
        <v>842</v>
      </c>
      <c r="F103" s="21" t="s">
        <v>971</v>
      </c>
      <c r="G103" s="21" t="s">
        <v>972</v>
      </c>
      <c r="H103" s="21" t="s">
        <v>3527</v>
      </c>
      <c r="I103" s="21">
        <v>1037</v>
      </c>
      <c r="J103" s="89">
        <f t="shared" si="4"/>
        <v>1</v>
      </c>
      <c r="K103" s="94">
        <v>1.04935489841652</v>
      </c>
      <c r="L103" s="94">
        <v>1.04934479996647</v>
      </c>
      <c r="M103" s="89">
        <f t="shared" si="6"/>
        <v>1.04935489841652</v>
      </c>
      <c r="N103" s="89">
        <f t="shared" si="5"/>
        <v>1.0115900019673678</v>
      </c>
      <c r="O103" s="89">
        <f t="shared" si="7"/>
        <v>1.0115900019673678</v>
      </c>
    </row>
    <row r="104" spans="1:15" x14ac:dyDescent="0.2">
      <c r="A104" s="21" t="s">
        <v>3034</v>
      </c>
      <c r="B104" s="21" t="s">
        <v>2778</v>
      </c>
      <c r="C104" s="21" t="s">
        <v>2779</v>
      </c>
      <c r="D104" s="21" t="s">
        <v>843</v>
      </c>
      <c r="E104" s="21" t="s">
        <v>844</v>
      </c>
      <c r="F104" s="21" t="s">
        <v>973</v>
      </c>
      <c r="G104" s="21" t="s">
        <v>882</v>
      </c>
      <c r="H104" s="21" t="s">
        <v>3061</v>
      </c>
      <c r="I104" s="21">
        <v>101</v>
      </c>
      <c r="J104" s="89">
        <f t="shared" si="4"/>
        <v>5.0500000000000003E-2</v>
      </c>
      <c r="K104" s="94">
        <v>0.95459694779723003</v>
      </c>
      <c r="L104" s="94">
        <v>0.95449402655571003</v>
      </c>
      <c r="M104" s="89">
        <f t="shared" si="6"/>
        <v>0.95459694779723003</v>
      </c>
      <c r="N104" s="89">
        <f t="shared" si="5"/>
        <v>0.92024226480233562</v>
      </c>
      <c r="O104" s="89">
        <f t="shared" si="7"/>
        <v>4.6472234372517955E-2</v>
      </c>
    </row>
    <row r="105" spans="1:15" x14ac:dyDescent="0.2">
      <c r="A105" s="21" t="s">
        <v>3034</v>
      </c>
      <c r="B105" s="21" t="s">
        <v>2778</v>
      </c>
      <c r="C105" s="21" t="s">
        <v>2779</v>
      </c>
      <c r="D105" s="21" t="s">
        <v>845</v>
      </c>
      <c r="E105" s="21" t="s">
        <v>846</v>
      </c>
      <c r="F105" s="21" t="s">
        <v>974</v>
      </c>
      <c r="G105" s="21" t="s">
        <v>882</v>
      </c>
      <c r="H105" s="21" t="s">
        <v>3061</v>
      </c>
      <c r="I105" s="21">
        <v>789</v>
      </c>
      <c r="J105" s="89">
        <f t="shared" si="4"/>
        <v>0.39450000000000002</v>
      </c>
      <c r="K105" s="94">
        <v>0.95453812422955098</v>
      </c>
      <c r="L105" s="94">
        <v>0.95449402655571003</v>
      </c>
      <c r="M105" s="89">
        <f t="shared" si="6"/>
        <v>0.95453812422955098</v>
      </c>
      <c r="N105" s="89">
        <f t="shared" si="5"/>
        <v>0.92018555821714321</v>
      </c>
      <c r="O105" s="89">
        <f t="shared" si="7"/>
        <v>0.36301320271666299</v>
      </c>
    </row>
    <row r="106" spans="1:15" x14ac:dyDescent="0.2">
      <c r="A106" s="21" t="s">
        <v>3034</v>
      </c>
      <c r="B106" s="21" t="s">
        <v>2778</v>
      </c>
      <c r="C106" s="21" t="s">
        <v>2779</v>
      </c>
      <c r="D106" s="21" t="s">
        <v>847</v>
      </c>
      <c r="E106" s="21" t="s">
        <v>848</v>
      </c>
      <c r="F106" s="21" t="s">
        <v>879</v>
      </c>
      <c r="G106" s="21" t="s">
        <v>880</v>
      </c>
      <c r="H106" s="21" t="s">
        <v>3061</v>
      </c>
      <c r="I106" s="21">
        <v>1110</v>
      </c>
      <c r="J106" s="89">
        <f t="shared" si="4"/>
        <v>0.55500000000000005</v>
      </c>
      <c r="K106" s="94">
        <v>0.955536772608226</v>
      </c>
      <c r="L106" s="94">
        <v>0.95582884392547496</v>
      </c>
      <c r="M106" s="89">
        <f t="shared" si="6"/>
        <v>0.955536772608226</v>
      </c>
      <c r="N106" s="89">
        <f t="shared" si="5"/>
        <v>0.92114826656002413</v>
      </c>
      <c r="O106" s="89">
        <f t="shared" si="7"/>
        <v>0.51123728794081347</v>
      </c>
    </row>
    <row r="107" spans="1:15" x14ac:dyDescent="0.2">
      <c r="A107" s="21" t="s">
        <v>191</v>
      </c>
      <c r="B107" s="21" t="s">
        <v>3702</v>
      </c>
      <c r="C107" s="21" t="s">
        <v>3703</v>
      </c>
      <c r="D107" s="21" t="s">
        <v>849</v>
      </c>
      <c r="E107" s="21" t="s">
        <v>850</v>
      </c>
      <c r="F107" s="21" t="s">
        <v>975</v>
      </c>
      <c r="G107" s="21" t="s">
        <v>976</v>
      </c>
      <c r="H107" s="21" t="s">
        <v>205</v>
      </c>
      <c r="I107" s="21">
        <v>381</v>
      </c>
      <c r="J107" s="89">
        <f t="shared" si="4"/>
        <v>0.36285714285714288</v>
      </c>
      <c r="K107" s="94">
        <v>1.0512826998521101</v>
      </c>
      <c r="L107" s="94">
        <v>1.0516515035284399</v>
      </c>
      <c r="M107" s="89">
        <f t="shared" si="6"/>
        <v>1.0512826998521101</v>
      </c>
      <c r="N107" s="89">
        <f t="shared" si="5"/>
        <v>1.0134484243761868</v>
      </c>
      <c r="O107" s="89">
        <f t="shared" si="7"/>
        <v>0.36773699970221635</v>
      </c>
    </row>
    <row r="108" spans="1:15" x14ac:dyDescent="0.2">
      <c r="A108" s="21" t="s">
        <v>191</v>
      </c>
      <c r="B108" s="21" t="s">
        <v>3702</v>
      </c>
      <c r="C108" s="21" t="s">
        <v>3703</v>
      </c>
      <c r="D108" s="21" t="s">
        <v>851</v>
      </c>
      <c r="E108" s="21" t="s">
        <v>852</v>
      </c>
      <c r="F108" s="21" t="s">
        <v>977</v>
      </c>
      <c r="G108" s="21" t="s">
        <v>978</v>
      </c>
      <c r="H108" s="21" t="s">
        <v>205</v>
      </c>
      <c r="I108" s="21">
        <v>669</v>
      </c>
      <c r="J108" s="89">
        <f t="shared" si="4"/>
        <v>0.63714285714285712</v>
      </c>
      <c r="K108" s="94">
        <v>1.05355098809977</v>
      </c>
      <c r="L108" s="94">
        <v>1.05336701393583</v>
      </c>
      <c r="M108" s="89">
        <f t="shared" si="6"/>
        <v>1.05355098809977</v>
      </c>
      <c r="N108" s="89">
        <f t="shared" si="5"/>
        <v>1.0156350799265401</v>
      </c>
      <c r="O108" s="89">
        <f t="shared" si="7"/>
        <v>0.64710463663890982</v>
      </c>
    </row>
    <row r="109" spans="1:15" x14ac:dyDescent="0.2">
      <c r="A109" s="21" t="s">
        <v>191</v>
      </c>
      <c r="B109" s="21" t="s">
        <v>3710</v>
      </c>
      <c r="C109" s="21" t="s">
        <v>3711</v>
      </c>
      <c r="D109" s="21" t="s">
        <v>853</v>
      </c>
      <c r="E109" s="21" t="s">
        <v>854</v>
      </c>
      <c r="F109" s="21" t="s">
        <v>979</v>
      </c>
      <c r="G109" s="21" t="s">
        <v>980</v>
      </c>
      <c r="H109" s="21" t="s">
        <v>3524</v>
      </c>
      <c r="I109" s="21">
        <v>547</v>
      </c>
      <c r="J109" s="89">
        <f t="shared" si="4"/>
        <v>1</v>
      </c>
      <c r="K109" s="94">
        <v>1.15189854698008</v>
      </c>
      <c r="L109" s="94">
        <v>1.1527604511504901</v>
      </c>
      <c r="M109" s="89">
        <f t="shared" si="6"/>
        <v>1.15189854698008</v>
      </c>
      <c r="N109" s="89">
        <f t="shared" si="5"/>
        <v>1.1104432400936537</v>
      </c>
      <c r="O109" s="89">
        <f t="shared" si="7"/>
        <v>1.1104432400936537</v>
      </c>
    </row>
    <row r="110" spans="1:15" x14ac:dyDescent="0.2">
      <c r="A110" s="21" t="s">
        <v>1167</v>
      </c>
      <c r="B110" s="21" t="s">
        <v>2381</v>
      </c>
      <c r="C110" s="21" t="s">
        <v>2382</v>
      </c>
      <c r="D110" s="21" t="s">
        <v>855</v>
      </c>
      <c r="E110" s="21" t="s">
        <v>856</v>
      </c>
      <c r="F110" s="21" t="s">
        <v>981</v>
      </c>
      <c r="G110" s="21" t="s">
        <v>982</v>
      </c>
      <c r="H110" s="21" t="s">
        <v>3447</v>
      </c>
      <c r="I110" s="21">
        <v>266</v>
      </c>
      <c r="J110" s="89">
        <f t="shared" si="4"/>
        <v>0.23942394239423942</v>
      </c>
      <c r="K110" s="94">
        <v>1.24081714166389</v>
      </c>
      <c r="L110" s="94">
        <v>1.2417490029065801</v>
      </c>
      <c r="M110" s="89">
        <f t="shared" si="6"/>
        <v>1.24081714166389</v>
      </c>
      <c r="N110" s="89">
        <f t="shared" si="5"/>
        <v>1.1961617720287163</v>
      </c>
      <c r="O110" s="89">
        <f t="shared" si="7"/>
        <v>0.28638976720039472</v>
      </c>
    </row>
    <row r="111" spans="1:15" x14ac:dyDescent="0.2">
      <c r="A111" s="21" t="s">
        <v>1167</v>
      </c>
      <c r="B111" s="21" t="s">
        <v>2381</v>
      </c>
      <c r="C111" s="21" t="s">
        <v>2382</v>
      </c>
      <c r="D111" s="21" t="s">
        <v>857</v>
      </c>
      <c r="E111" s="21" t="s">
        <v>719</v>
      </c>
      <c r="F111" s="21" t="s">
        <v>983</v>
      </c>
      <c r="G111" s="21" t="s">
        <v>984</v>
      </c>
      <c r="H111" s="21" t="s">
        <v>3453</v>
      </c>
      <c r="I111" s="21">
        <v>845</v>
      </c>
      <c r="J111" s="89">
        <f t="shared" si="4"/>
        <v>0.76057605760576052</v>
      </c>
      <c r="K111" s="94">
        <v>1.2431862143472601</v>
      </c>
      <c r="L111" s="94">
        <v>1.2428397203669199</v>
      </c>
      <c r="M111" s="89">
        <f t="shared" si="6"/>
        <v>1.2431862143472601</v>
      </c>
      <c r="N111" s="89">
        <f t="shared" si="5"/>
        <v>1.1984455849160889</v>
      </c>
      <c r="O111" s="89">
        <f t="shared" si="7"/>
        <v>0.91150901823050856</v>
      </c>
    </row>
    <row r="112" spans="1:15" x14ac:dyDescent="0.2">
      <c r="A112" s="21" t="s">
        <v>1167</v>
      </c>
      <c r="B112" s="21" t="s">
        <v>600</v>
      </c>
      <c r="C112" s="21" t="s">
        <v>601</v>
      </c>
      <c r="D112" s="21" t="s">
        <v>720</v>
      </c>
      <c r="E112" s="21" t="s">
        <v>721</v>
      </c>
      <c r="F112" s="21" t="s">
        <v>985</v>
      </c>
      <c r="G112" s="21" t="s">
        <v>986</v>
      </c>
      <c r="H112" s="21" t="s">
        <v>3482</v>
      </c>
      <c r="I112" s="21">
        <v>459</v>
      </c>
      <c r="J112" s="89">
        <f t="shared" si="4"/>
        <v>1</v>
      </c>
      <c r="K112" s="94">
        <v>1.2272881784259999</v>
      </c>
      <c r="L112" s="94">
        <v>1.2257871557978901</v>
      </c>
      <c r="M112" s="89">
        <f t="shared" si="6"/>
        <v>1.2272881784259999</v>
      </c>
      <c r="N112" s="89">
        <f t="shared" si="5"/>
        <v>1.1831196983041017</v>
      </c>
      <c r="O112" s="89">
        <f t="shared" si="7"/>
        <v>1.1831196983041017</v>
      </c>
    </row>
    <row r="113" spans="1:15" x14ac:dyDescent="0.2">
      <c r="A113" s="21" t="s">
        <v>1167</v>
      </c>
      <c r="B113" s="21" t="s">
        <v>385</v>
      </c>
      <c r="C113" s="21" t="s">
        <v>386</v>
      </c>
      <c r="D113" s="21" t="s">
        <v>722</v>
      </c>
      <c r="E113" s="21" t="s">
        <v>723</v>
      </c>
      <c r="F113" s="21" t="s">
        <v>987</v>
      </c>
      <c r="G113" s="21" t="s">
        <v>988</v>
      </c>
      <c r="H113" s="21" t="s">
        <v>3458</v>
      </c>
      <c r="I113" s="21">
        <v>633</v>
      </c>
      <c r="J113" s="89">
        <f t="shared" si="4"/>
        <v>1</v>
      </c>
      <c r="K113" s="94">
        <v>1.22233494228671</v>
      </c>
      <c r="L113" s="94">
        <v>1.2241284205489</v>
      </c>
      <c r="M113" s="89">
        <f t="shared" si="6"/>
        <v>1.22233494228671</v>
      </c>
      <c r="N113" s="89">
        <f t="shared" si="5"/>
        <v>1.178344722589546</v>
      </c>
      <c r="O113" s="89">
        <f t="shared" si="7"/>
        <v>1.178344722589546</v>
      </c>
    </row>
    <row r="114" spans="1:15" x14ac:dyDescent="0.2">
      <c r="A114" s="21" t="s">
        <v>1167</v>
      </c>
      <c r="B114" s="21" t="s">
        <v>573</v>
      </c>
      <c r="C114" s="21" t="s">
        <v>574</v>
      </c>
      <c r="D114" s="21" t="s">
        <v>724</v>
      </c>
      <c r="E114" s="21" t="s">
        <v>725</v>
      </c>
      <c r="F114" s="21" t="s">
        <v>989</v>
      </c>
      <c r="G114" s="21" t="s">
        <v>990</v>
      </c>
      <c r="H114" s="21" t="s">
        <v>3444</v>
      </c>
      <c r="I114" s="21">
        <v>32</v>
      </c>
      <c r="J114" s="89">
        <f t="shared" si="4"/>
        <v>3.292181069958848E-2</v>
      </c>
      <c r="K114" s="94">
        <v>1.2264869662683</v>
      </c>
      <c r="L114" s="94">
        <v>1.22561223676971</v>
      </c>
      <c r="M114" s="89">
        <f t="shared" si="6"/>
        <v>1.2264869662683</v>
      </c>
      <c r="N114" s="89">
        <f t="shared" si="5"/>
        <v>1.1823473207134441</v>
      </c>
      <c r="O114" s="89">
        <f t="shared" si="7"/>
        <v>3.8925014673693636E-2</v>
      </c>
    </row>
    <row r="115" spans="1:15" x14ac:dyDescent="0.2">
      <c r="A115" s="21" t="s">
        <v>1167</v>
      </c>
      <c r="B115" s="21" t="s">
        <v>573</v>
      </c>
      <c r="C115" s="21" t="s">
        <v>574</v>
      </c>
      <c r="D115" s="21" t="s">
        <v>726</v>
      </c>
      <c r="E115" s="21" t="s">
        <v>727</v>
      </c>
      <c r="F115" s="21" t="s">
        <v>991</v>
      </c>
      <c r="G115" s="21" t="s">
        <v>992</v>
      </c>
      <c r="H115" s="21" t="s">
        <v>3476</v>
      </c>
      <c r="I115" s="21">
        <v>940</v>
      </c>
      <c r="J115" s="89">
        <f t="shared" si="4"/>
        <v>0.96707818930041156</v>
      </c>
      <c r="K115" s="94">
        <v>1.23169817457612</v>
      </c>
      <c r="L115" s="94">
        <v>1.2325911747534399</v>
      </c>
      <c r="M115" s="89">
        <f t="shared" si="6"/>
        <v>1.23169817457612</v>
      </c>
      <c r="N115" s="89">
        <f t="shared" si="5"/>
        <v>1.1873709845190019</v>
      </c>
      <c r="O115" s="89">
        <f t="shared" si="7"/>
        <v>1.1482805817364834</v>
      </c>
    </row>
    <row r="116" spans="1:15" x14ac:dyDescent="0.2">
      <c r="A116" s="21" t="s">
        <v>3528</v>
      </c>
      <c r="B116" s="21" t="s">
        <v>1</v>
      </c>
      <c r="C116" s="21" t="s">
        <v>2</v>
      </c>
      <c r="D116" s="21" t="s">
        <v>728</v>
      </c>
      <c r="E116" s="21" t="s">
        <v>729</v>
      </c>
      <c r="F116" s="21" t="s">
        <v>993</v>
      </c>
      <c r="G116" s="21" t="s">
        <v>994</v>
      </c>
      <c r="H116" s="21" t="s">
        <v>3534</v>
      </c>
      <c r="I116" s="21">
        <v>34</v>
      </c>
      <c r="J116" s="89">
        <f t="shared" si="4"/>
        <v>0.20359281437125748</v>
      </c>
      <c r="K116" s="94" t="e">
        <v>#N/A</v>
      </c>
      <c r="L116" s="94">
        <v>0.90754543256396303</v>
      </c>
      <c r="M116" s="89">
        <f t="shared" si="6"/>
        <v>0.90754543256396303</v>
      </c>
      <c r="N116" s="89">
        <f t="shared" si="5"/>
        <v>0.87488407144066938</v>
      </c>
      <c r="O116" s="89">
        <f t="shared" si="7"/>
        <v>0.17812011035319017</v>
      </c>
    </row>
    <row r="117" spans="1:15" x14ac:dyDescent="0.2">
      <c r="A117" s="21" t="s">
        <v>3528</v>
      </c>
      <c r="B117" s="21" t="s">
        <v>1</v>
      </c>
      <c r="C117" s="21" t="s">
        <v>2</v>
      </c>
      <c r="D117" s="21" t="s">
        <v>730</v>
      </c>
      <c r="E117" s="21" t="s">
        <v>731</v>
      </c>
      <c r="F117" s="21" t="s">
        <v>993</v>
      </c>
      <c r="G117" s="21" t="s">
        <v>994</v>
      </c>
      <c r="H117" s="21" t="s">
        <v>3534</v>
      </c>
      <c r="I117" s="21">
        <v>50</v>
      </c>
      <c r="J117" s="89">
        <f t="shared" si="4"/>
        <v>0.29940119760479039</v>
      </c>
      <c r="K117" s="94" t="e">
        <v>#N/A</v>
      </c>
      <c r="L117" s="94">
        <v>0.90754543256396303</v>
      </c>
      <c r="M117" s="89">
        <f t="shared" si="6"/>
        <v>0.90754543256396303</v>
      </c>
      <c r="N117" s="89">
        <f t="shared" si="5"/>
        <v>0.87488407144066938</v>
      </c>
      <c r="O117" s="89">
        <f t="shared" si="7"/>
        <v>0.26194133875469139</v>
      </c>
    </row>
    <row r="118" spans="1:15" x14ac:dyDescent="0.2">
      <c r="A118" s="21" t="s">
        <v>3528</v>
      </c>
      <c r="B118" s="21" t="s">
        <v>1</v>
      </c>
      <c r="C118" s="21" t="s">
        <v>2</v>
      </c>
      <c r="D118" s="21" t="s">
        <v>732</v>
      </c>
      <c r="E118" s="21" t="s">
        <v>733</v>
      </c>
      <c r="F118" s="21" t="s">
        <v>995</v>
      </c>
      <c r="G118" s="21" t="s">
        <v>996</v>
      </c>
      <c r="H118" s="21" t="s">
        <v>3534</v>
      </c>
      <c r="I118" s="21">
        <v>83</v>
      </c>
      <c r="J118" s="89">
        <f t="shared" si="4"/>
        <v>0.49700598802395207</v>
      </c>
      <c r="K118" s="94">
        <v>0.90851346956291701</v>
      </c>
      <c r="L118" s="94">
        <v>0.90894148456481205</v>
      </c>
      <c r="M118" s="89">
        <f t="shared" si="6"/>
        <v>0.90851346956291701</v>
      </c>
      <c r="N118" s="89">
        <f t="shared" si="5"/>
        <v>0.87581727006694354</v>
      </c>
      <c r="O118" s="89">
        <f t="shared" si="7"/>
        <v>0.43528642763806175</v>
      </c>
    </row>
    <row r="119" spans="1:15" x14ac:dyDescent="0.2">
      <c r="A119" s="21" t="s">
        <v>2133</v>
      </c>
      <c r="B119" s="21" t="s">
        <v>560</v>
      </c>
      <c r="C119" s="21" t="s">
        <v>561</v>
      </c>
      <c r="D119" s="21" t="s">
        <v>734</v>
      </c>
      <c r="E119" s="21" t="s">
        <v>735</v>
      </c>
      <c r="F119" s="21" t="s">
        <v>997</v>
      </c>
      <c r="G119" s="21" t="s">
        <v>998</v>
      </c>
      <c r="H119" s="21" t="s">
        <v>2146</v>
      </c>
      <c r="I119" s="21">
        <v>424</v>
      </c>
      <c r="J119" s="89">
        <f t="shared" si="4"/>
        <v>1</v>
      </c>
      <c r="K119" s="94">
        <v>1.0004671434080401</v>
      </c>
      <c r="L119" s="94">
        <v>1.0005159876101599</v>
      </c>
      <c r="M119" s="89">
        <f t="shared" si="6"/>
        <v>1.0004671434080401</v>
      </c>
      <c r="N119" s="89">
        <f t="shared" si="5"/>
        <v>0.96446165267406847</v>
      </c>
      <c r="O119" s="89">
        <f t="shared" si="7"/>
        <v>0.96446165267406847</v>
      </c>
    </row>
    <row r="120" spans="1:15" x14ac:dyDescent="0.2">
      <c r="A120" s="21" t="s">
        <v>2133</v>
      </c>
      <c r="B120" s="21" t="s">
        <v>395</v>
      </c>
      <c r="C120" s="21" t="s">
        <v>396</v>
      </c>
      <c r="D120" s="21" t="s">
        <v>736</v>
      </c>
      <c r="E120" s="21" t="s">
        <v>737</v>
      </c>
      <c r="F120" s="21" t="s">
        <v>999</v>
      </c>
      <c r="G120" s="21" t="s">
        <v>1000</v>
      </c>
      <c r="H120" s="21" t="s">
        <v>2140</v>
      </c>
      <c r="I120" s="21">
        <v>76</v>
      </c>
      <c r="J120" s="89">
        <f t="shared" si="4"/>
        <v>0.17798594847775176</v>
      </c>
      <c r="K120" s="94">
        <v>0.96653424670993004</v>
      </c>
      <c r="L120" s="94">
        <v>0.96661312550109602</v>
      </c>
      <c r="M120" s="89">
        <f t="shared" si="6"/>
        <v>0.96653424670993004</v>
      </c>
      <c r="N120" s="89">
        <f t="shared" si="5"/>
        <v>0.93174995609801214</v>
      </c>
      <c r="O120" s="89">
        <f t="shared" si="7"/>
        <v>0.16583839968020825</v>
      </c>
    </row>
    <row r="121" spans="1:15" x14ac:dyDescent="0.2">
      <c r="A121" s="21" t="s">
        <v>2133</v>
      </c>
      <c r="B121" s="21" t="s">
        <v>395</v>
      </c>
      <c r="C121" s="21" t="s">
        <v>396</v>
      </c>
      <c r="D121" s="21" t="s">
        <v>738</v>
      </c>
      <c r="E121" s="21" t="s">
        <v>739</v>
      </c>
      <c r="F121" s="21" t="s">
        <v>1001</v>
      </c>
      <c r="G121" s="21" t="s">
        <v>1002</v>
      </c>
      <c r="H121" s="21" t="s">
        <v>2140</v>
      </c>
      <c r="I121" s="21">
        <v>351</v>
      </c>
      <c r="J121" s="89">
        <f t="shared" si="4"/>
        <v>0.82201405152224827</v>
      </c>
      <c r="K121" s="94">
        <v>0.963087132583758</v>
      </c>
      <c r="L121" s="94">
        <v>0.96278791297010602</v>
      </c>
      <c r="M121" s="89">
        <f t="shared" si="6"/>
        <v>0.963087132583758</v>
      </c>
      <c r="N121" s="89">
        <f t="shared" si="5"/>
        <v>0.92842689905512021</v>
      </c>
      <c r="O121" s="89">
        <f t="shared" si="7"/>
        <v>0.76317995683453677</v>
      </c>
    </row>
    <row r="122" spans="1:15" x14ac:dyDescent="0.2">
      <c r="A122" s="21" t="s">
        <v>2133</v>
      </c>
      <c r="B122" s="21" t="s">
        <v>3882</v>
      </c>
      <c r="C122" s="21" t="s">
        <v>661</v>
      </c>
      <c r="D122" s="21" t="s">
        <v>740</v>
      </c>
      <c r="E122" s="21" t="s">
        <v>741</v>
      </c>
      <c r="F122" s="21" t="s">
        <v>1003</v>
      </c>
      <c r="G122" s="21" t="s">
        <v>1004</v>
      </c>
      <c r="H122" s="21" t="s">
        <v>2152</v>
      </c>
      <c r="I122" s="21">
        <v>304</v>
      </c>
      <c r="J122" s="89">
        <f t="shared" si="4"/>
        <v>0.2702222222222222</v>
      </c>
      <c r="K122" s="94">
        <v>0.94769859441423399</v>
      </c>
      <c r="L122" s="94">
        <v>0.94752218383766695</v>
      </c>
      <c r="M122" s="89">
        <f t="shared" si="6"/>
        <v>0.94769859441423399</v>
      </c>
      <c r="N122" s="89">
        <f t="shared" si="5"/>
        <v>0.91359217404390225</v>
      </c>
      <c r="O122" s="89">
        <f t="shared" si="7"/>
        <v>0.24687290747497445</v>
      </c>
    </row>
    <row r="123" spans="1:15" x14ac:dyDescent="0.2">
      <c r="A123" s="21" t="s">
        <v>2133</v>
      </c>
      <c r="B123" s="21" t="s">
        <v>3882</v>
      </c>
      <c r="C123" s="21" t="s">
        <v>661</v>
      </c>
      <c r="D123" s="21" t="s">
        <v>742</v>
      </c>
      <c r="E123" s="21" t="s">
        <v>743</v>
      </c>
      <c r="F123" s="21" t="s">
        <v>1005</v>
      </c>
      <c r="G123" s="21" t="s">
        <v>1006</v>
      </c>
      <c r="H123" s="21" t="s">
        <v>2152</v>
      </c>
      <c r="I123" s="21">
        <v>821</v>
      </c>
      <c r="J123" s="89">
        <f t="shared" si="4"/>
        <v>0.72977777777777775</v>
      </c>
      <c r="K123" s="94">
        <v>0.94862770354088799</v>
      </c>
      <c r="L123" s="94">
        <v>0.94817467591850901</v>
      </c>
      <c r="M123" s="89">
        <f t="shared" si="6"/>
        <v>0.94862770354088799</v>
      </c>
      <c r="N123" s="89">
        <f t="shared" si="5"/>
        <v>0.91448784576057129</v>
      </c>
      <c r="O123" s="89">
        <f t="shared" si="7"/>
        <v>0.66737290788393688</v>
      </c>
    </row>
    <row r="124" spans="1:15" x14ac:dyDescent="0.2">
      <c r="A124" s="21" t="s">
        <v>2133</v>
      </c>
      <c r="B124" s="21" t="s">
        <v>2296</v>
      </c>
      <c r="C124" s="21" t="s">
        <v>2297</v>
      </c>
      <c r="D124" s="21" t="s">
        <v>744</v>
      </c>
      <c r="E124" s="21" t="s">
        <v>745</v>
      </c>
      <c r="F124" s="21" t="s">
        <v>1007</v>
      </c>
      <c r="G124" s="21" t="s">
        <v>1008</v>
      </c>
      <c r="H124" s="21" t="s">
        <v>2140</v>
      </c>
      <c r="I124" s="21">
        <v>441</v>
      </c>
      <c r="J124" s="89">
        <f t="shared" si="4"/>
        <v>1</v>
      </c>
      <c r="K124" s="94" t="e">
        <v>#N/A</v>
      </c>
      <c r="L124" s="94">
        <v>0.97481268472631999</v>
      </c>
      <c r="M124" s="89">
        <f t="shared" si="6"/>
        <v>0.97481268472631999</v>
      </c>
      <c r="N124" s="89">
        <f t="shared" si="5"/>
        <v>0.93973046406716887</v>
      </c>
      <c r="O124" s="89">
        <f t="shared" si="7"/>
        <v>0.93973046406716887</v>
      </c>
    </row>
    <row r="125" spans="1:15" x14ac:dyDescent="0.2">
      <c r="A125" s="21" t="s">
        <v>3034</v>
      </c>
      <c r="B125" s="21" t="s">
        <v>3672</v>
      </c>
      <c r="C125" s="21" t="s">
        <v>3673</v>
      </c>
      <c r="D125" s="21" t="s">
        <v>746</v>
      </c>
      <c r="E125" s="21" t="s">
        <v>747</v>
      </c>
      <c r="F125" s="21" t="s">
        <v>1009</v>
      </c>
      <c r="G125" s="21" t="s">
        <v>1010</v>
      </c>
      <c r="H125" s="21" t="s">
        <v>3050</v>
      </c>
      <c r="I125" s="21">
        <v>72</v>
      </c>
      <c r="J125" s="89">
        <f t="shared" si="4"/>
        <v>7.5709779179810727E-2</v>
      </c>
      <c r="K125" s="94">
        <v>0.95497246496158095</v>
      </c>
      <c r="L125" s="94">
        <v>0.95511732993820297</v>
      </c>
      <c r="M125" s="89">
        <f t="shared" si="6"/>
        <v>0.95497246496158095</v>
      </c>
      <c r="N125" s="89">
        <f t="shared" si="5"/>
        <v>0.92060426760005243</v>
      </c>
      <c r="O125" s="89">
        <f t="shared" si="7"/>
        <v>6.9698745811991356E-2</v>
      </c>
    </row>
    <row r="126" spans="1:15" x14ac:dyDescent="0.2">
      <c r="A126" s="21" t="s">
        <v>3034</v>
      </c>
      <c r="B126" s="21" t="s">
        <v>3672</v>
      </c>
      <c r="C126" s="21" t="s">
        <v>3673</v>
      </c>
      <c r="D126" s="21" t="s">
        <v>748</v>
      </c>
      <c r="E126" s="21" t="s">
        <v>749</v>
      </c>
      <c r="F126" s="21" t="s">
        <v>1011</v>
      </c>
      <c r="G126" s="21" t="s">
        <v>1012</v>
      </c>
      <c r="H126" s="21" t="s">
        <v>3632</v>
      </c>
      <c r="I126" s="21">
        <v>395</v>
      </c>
      <c r="J126" s="89">
        <f t="shared" si="4"/>
        <v>0.41535226077812831</v>
      </c>
      <c r="K126" s="94">
        <v>0.94022048297682603</v>
      </c>
      <c r="L126" s="94">
        <v>0.94018961283405</v>
      </c>
      <c r="M126" s="89">
        <f t="shared" si="6"/>
        <v>0.94022048297682603</v>
      </c>
      <c r="N126" s="89">
        <f t="shared" si="5"/>
        <v>0.90638318995749356</v>
      </c>
      <c r="O126" s="89">
        <f t="shared" si="7"/>
        <v>0.37646830708013668</v>
      </c>
    </row>
    <row r="127" spans="1:15" x14ac:dyDescent="0.2">
      <c r="A127" s="21" t="s">
        <v>3034</v>
      </c>
      <c r="B127" s="21" t="s">
        <v>3672</v>
      </c>
      <c r="C127" s="21" t="s">
        <v>3673</v>
      </c>
      <c r="D127" s="21" t="s">
        <v>750</v>
      </c>
      <c r="E127" s="21" t="s">
        <v>751</v>
      </c>
      <c r="F127" s="21" t="s">
        <v>1013</v>
      </c>
      <c r="G127" s="21" t="s">
        <v>1014</v>
      </c>
      <c r="H127" s="21" t="s">
        <v>3057</v>
      </c>
      <c r="I127" s="21">
        <v>484</v>
      </c>
      <c r="J127" s="89">
        <f t="shared" si="4"/>
        <v>0.50893796004206104</v>
      </c>
      <c r="K127" s="94">
        <v>0.96028527275237596</v>
      </c>
      <c r="L127" s="94">
        <v>0.96039478827857305</v>
      </c>
      <c r="M127" s="89">
        <f t="shared" si="6"/>
        <v>0.96028527275237596</v>
      </c>
      <c r="N127" s="89">
        <f t="shared" si="5"/>
        <v>0.92572587445742027</v>
      </c>
      <c r="O127" s="89">
        <f t="shared" si="7"/>
        <v>0.47113703810451257</v>
      </c>
    </row>
    <row r="128" spans="1:15" x14ac:dyDescent="0.2">
      <c r="A128" s="21" t="s">
        <v>2975</v>
      </c>
      <c r="B128" s="21" t="s">
        <v>2349</v>
      </c>
      <c r="C128" s="21" t="s">
        <v>2350</v>
      </c>
      <c r="D128" s="21" t="s">
        <v>752</v>
      </c>
      <c r="E128" s="21" t="s">
        <v>753</v>
      </c>
      <c r="F128" s="21" t="s">
        <v>1015</v>
      </c>
      <c r="G128" s="21" t="s">
        <v>1016</v>
      </c>
      <c r="H128" s="21" t="s">
        <v>2996</v>
      </c>
      <c r="I128" s="21">
        <v>18</v>
      </c>
      <c r="J128" s="89">
        <f t="shared" si="4"/>
        <v>4.5454545454545456E-2</v>
      </c>
      <c r="K128" s="94">
        <v>0.99815472807373695</v>
      </c>
      <c r="L128" s="94">
        <v>0.99753179477972598</v>
      </c>
      <c r="M128" s="89">
        <f t="shared" si="6"/>
        <v>0.99815472807373695</v>
      </c>
      <c r="N128" s="89">
        <f t="shared" si="5"/>
        <v>0.96223245811262226</v>
      </c>
      <c r="O128" s="89">
        <f t="shared" si="7"/>
        <v>4.3737839005119197E-2</v>
      </c>
    </row>
    <row r="129" spans="1:15" x14ac:dyDescent="0.2">
      <c r="A129" s="21" t="s">
        <v>2975</v>
      </c>
      <c r="B129" s="21" t="s">
        <v>2349</v>
      </c>
      <c r="C129" s="21" t="s">
        <v>2350</v>
      </c>
      <c r="D129" s="21" t="s">
        <v>754</v>
      </c>
      <c r="E129" s="21" t="s">
        <v>755</v>
      </c>
      <c r="F129" s="21" t="s">
        <v>1017</v>
      </c>
      <c r="G129" s="21" t="s">
        <v>1018</v>
      </c>
      <c r="H129" s="21" t="s">
        <v>2996</v>
      </c>
      <c r="I129" s="21">
        <v>27</v>
      </c>
      <c r="J129" s="89">
        <f t="shared" si="4"/>
        <v>6.8181818181818177E-2</v>
      </c>
      <c r="K129" s="94">
        <v>0.98187310665268901</v>
      </c>
      <c r="L129" s="94">
        <v>0.980976992726311</v>
      </c>
      <c r="M129" s="89">
        <f t="shared" si="6"/>
        <v>0.98187310665268901</v>
      </c>
      <c r="N129" s="89">
        <f t="shared" si="5"/>
        <v>0.94653679073621455</v>
      </c>
      <c r="O129" s="89">
        <f t="shared" si="7"/>
        <v>6.4536599368378259E-2</v>
      </c>
    </row>
    <row r="130" spans="1:15" x14ac:dyDescent="0.2">
      <c r="A130" s="21" t="s">
        <v>2975</v>
      </c>
      <c r="B130" s="21" t="s">
        <v>2349</v>
      </c>
      <c r="C130" s="21" t="s">
        <v>2350</v>
      </c>
      <c r="D130" s="21" t="s">
        <v>756</v>
      </c>
      <c r="E130" s="21" t="s">
        <v>757</v>
      </c>
      <c r="F130" s="21" t="s">
        <v>1019</v>
      </c>
      <c r="G130" s="21" t="s">
        <v>1020</v>
      </c>
      <c r="H130" s="21" t="s">
        <v>2996</v>
      </c>
      <c r="I130" s="21">
        <v>351</v>
      </c>
      <c r="J130" s="89">
        <f t="shared" ref="J130:J193" si="8">I130/SUMIF(B:B,B130,I:I)</f>
        <v>0.88636363636363635</v>
      </c>
      <c r="K130" s="94">
        <v>0.99562023749623896</v>
      </c>
      <c r="L130" s="94">
        <v>0.99616475700720797</v>
      </c>
      <c r="M130" s="89">
        <f t="shared" si="6"/>
        <v>0.99562023749623896</v>
      </c>
      <c r="N130" s="89">
        <f t="shared" ref="N130:N193" si="9">M130/M$757</f>
        <v>0.95978918050259121</v>
      </c>
      <c r="O130" s="89">
        <f t="shared" si="7"/>
        <v>0.85072222817275134</v>
      </c>
    </row>
    <row r="131" spans="1:15" x14ac:dyDescent="0.2">
      <c r="A131" s="21" t="s">
        <v>2975</v>
      </c>
      <c r="B131" s="21" t="s">
        <v>3</v>
      </c>
      <c r="C131" s="21" t="s">
        <v>4</v>
      </c>
      <c r="D131" s="21" t="s">
        <v>758</v>
      </c>
      <c r="E131" s="21" t="s">
        <v>759</v>
      </c>
      <c r="F131" s="21" t="s">
        <v>1021</v>
      </c>
      <c r="G131" s="21" t="s">
        <v>1022</v>
      </c>
      <c r="H131" s="21" t="s">
        <v>2988</v>
      </c>
      <c r="I131" s="21">
        <v>508</v>
      </c>
      <c r="J131" s="89">
        <f t="shared" si="8"/>
        <v>1</v>
      </c>
      <c r="K131" s="94">
        <v>0.98162489525547303</v>
      </c>
      <c r="L131" s="94">
        <v>0.98212517510625397</v>
      </c>
      <c r="M131" s="89">
        <f t="shared" ref="M131:M194" si="10">IF(ISNA(K131),L131,K131)</f>
        <v>0.98162489525547303</v>
      </c>
      <c r="N131" s="89">
        <f t="shared" si="9"/>
        <v>0.94629751213926228</v>
      </c>
      <c r="O131" s="89">
        <f t="shared" ref="O131:O194" si="11">N131*J131</f>
        <v>0.94629751213926228</v>
      </c>
    </row>
    <row r="132" spans="1:15" x14ac:dyDescent="0.2">
      <c r="A132" s="21" t="s">
        <v>1167</v>
      </c>
      <c r="B132" s="21" t="s">
        <v>353</v>
      </c>
      <c r="C132" s="21" t="s">
        <v>354</v>
      </c>
      <c r="D132" s="21" t="s">
        <v>760</v>
      </c>
      <c r="E132" s="21" t="s">
        <v>761</v>
      </c>
      <c r="F132" s="21" t="s">
        <v>1023</v>
      </c>
      <c r="G132" s="21" t="s">
        <v>1024</v>
      </c>
      <c r="H132" s="21" t="s">
        <v>3453</v>
      </c>
      <c r="I132" s="21">
        <v>953</v>
      </c>
      <c r="J132" s="89">
        <f t="shared" si="8"/>
        <v>1</v>
      </c>
      <c r="K132" s="94">
        <v>1.23787595891439</v>
      </c>
      <c r="L132" s="94">
        <v>1.23871742039661</v>
      </c>
      <c r="M132" s="89">
        <f t="shared" si="10"/>
        <v>1.23787595891439</v>
      </c>
      <c r="N132" s="89">
        <f t="shared" si="9"/>
        <v>1.1933264385606563</v>
      </c>
      <c r="O132" s="89">
        <f t="shared" si="11"/>
        <v>1.1933264385606563</v>
      </c>
    </row>
    <row r="133" spans="1:15" x14ac:dyDescent="0.2">
      <c r="A133" s="21" t="s">
        <v>3069</v>
      </c>
      <c r="B133" s="21" t="s">
        <v>2780</v>
      </c>
      <c r="C133" s="21" t="s">
        <v>2781</v>
      </c>
      <c r="D133" s="21" t="s">
        <v>762</v>
      </c>
      <c r="E133" s="21" t="s">
        <v>763</v>
      </c>
      <c r="F133" s="21" t="s">
        <v>1025</v>
      </c>
      <c r="G133" s="21" t="s">
        <v>1026</v>
      </c>
      <c r="H133" s="21" t="s">
        <v>2130</v>
      </c>
      <c r="I133" s="21">
        <v>77</v>
      </c>
      <c r="J133" s="89">
        <f t="shared" si="8"/>
        <v>0.12280701754385964</v>
      </c>
      <c r="K133" s="94">
        <v>0.95853493964330105</v>
      </c>
      <c r="L133" s="94">
        <v>0.95944101210909805</v>
      </c>
      <c r="M133" s="89">
        <f t="shared" si="10"/>
        <v>0.95853493964330105</v>
      </c>
      <c r="N133" s="89">
        <f t="shared" si="9"/>
        <v>0.9240385335245056</v>
      </c>
      <c r="O133" s="89">
        <f t="shared" si="11"/>
        <v>0.11347841639774629</v>
      </c>
    </row>
    <row r="134" spans="1:15" x14ac:dyDescent="0.2">
      <c r="A134" s="21" t="s">
        <v>3069</v>
      </c>
      <c r="B134" s="21" t="s">
        <v>2780</v>
      </c>
      <c r="C134" s="21" t="s">
        <v>2781</v>
      </c>
      <c r="D134" s="21" t="s">
        <v>764</v>
      </c>
      <c r="E134" s="21" t="s">
        <v>765</v>
      </c>
      <c r="F134" s="21" t="s">
        <v>1027</v>
      </c>
      <c r="G134" s="21" t="s">
        <v>1028</v>
      </c>
      <c r="H134" s="21" t="s">
        <v>2130</v>
      </c>
      <c r="I134" s="21">
        <v>550</v>
      </c>
      <c r="J134" s="89">
        <f t="shared" si="8"/>
        <v>0.8771929824561403</v>
      </c>
      <c r="K134" s="94">
        <v>0.96268737540470894</v>
      </c>
      <c r="L134" s="94">
        <v>0.96248249860972801</v>
      </c>
      <c r="M134" s="89">
        <f t="shared" si="10"/>
        <v>0.96268737540470894</v>
      </c>
      <c r="N134" s="89">
        <f t="shared" si="9"/>
        <v>0.92804152860880995</v>
      </c>
      <c r="O134" s="89">
        <f t="shared" si="11"/>
        <v>0.81407151632351749</v>
      </c>
    </row>
    <row r="135" spans="1:15" x14ac:dyDescent="0.2">
      <c r="A135" s="21" t="s">
        <v>3528</v>
      </c>
      <c r="B135" s="21" t="s">
        <v>3698</v>
      </c>
      <c r="C135" s="21" t="s">
        <v>3699</v>
      </c>
      <c r="D135" s="21" t="s">
        <v>766</v>
      </c>
      <c r="E135" s="21" t="s">
        <v>767</v>
      </c>
      <c r="F135" s="21" t="s">
        <v>1029</v>
      </c>
      <c r="G135" s="21" t="s">
        <v>1030</v>
      </c>
      <c r="H135" s="21" t="s">
        <v>3549</v>
      </c>
      <c r="I135" s="21">
        <v>12</v>
      </c>
      <c r="J135" s="89">
        <f t="shared" si="8"/>
        <v>1.1846001974333662E-2</v>
      </c>
      <c r="K135" s="94">
        <v>0.932895286204111</v>
      </c>
      <c r="L135" s="94">
        <v>0.932894105409525</v>
      </c>
      <c r="M135" s="89">
        <f t="shared" si="10"/>
        <v>0.932895286204111</v>
      </c>
      <c r="N135" s="89">
        <f t="shared" si="9"/>
        <v>0.89932161733901717</v>
      </c>
      <c r="O135" s="89">
        <f t="shared" si="11"/>
        <v>1.065336565455894E-2</v>
      </c>
    </row>
    <row r="136" spans="1:15" x14ac:dyDescent="0.2">
      <c r="A136" s="21" t="s">
        <v>3528</v>
      </c>
      <c r="B136" s="21" t="s">
        <v>3698</v>
      </c>
      <c r="C136" s="21" t="s">
        <v>3699</v>
      </c>
      <c r="D136" s="21" t="s">
        <v>768</v>
      </c>
      <c r="E136" s="21" t="s">
        <v>769</v>
      </c>
      <c r="F136" s="21" t="s">
        <v>1031</v>
      </c>
      <c r="G136" s="21" t="s">
        <v>1032</v>
      </c>
      <c r="H136" s="21" t="s">
        <v>3549</v>
      </c>
      <c r="I136" s="21">
        <v>1001</v>
      </c>
      <c r="J136" s="89">
        <f t="shared" si="8"/>
        <v>0.98815399802566639</v>
      </c>
      <c r="K136" s="94">
        <v>0.93294522031543703</v>
      </c>
      <c r="L136" s="94">
        <v>0.93294598838507503</v>
      </c>
      <c r="M136" s="89">
        <f t="shared" si="10"/>
        <v>0.93294522031543703</v>
      </c>
      <c r="N136" s="89">
        <f t="shared" si="9"/>
        <v>0.89936975438764655</v>
      </c>
      <c r="O136" s="89">
        <f t="shared" si="11"/>
        <v>0.8887158185015146</v>
      </c>
    </row>
    <row r="137" spans="1:15" x14ac:dyDescent="0.2">
      <c r="A137" s="21" t="s">
        <v>2133</v>
      </c>
      <c r="B137" s="21" t="s">
        <v>666</v>
      </c>
      <c r="C137" s="21" t="s">
        <v>667</v>
      </c>
      <c r="D137" s="21" t="s">
        <v>770</v>
      </c>
      <c r="E137" s="21" t="s">
        <v>771</v>
      </c>
      <c r="F137" s="21" t="s">
        <v>1033</v>
      </c>
      <c r="G137" s="21" t="s">
        <v>1034</v>
      </c>
      <c r="H137" s="21" t="s">
        <v>2146</v>
      </c>
      <c r="I137" s="21">
        <v>128</v>
      </c>
      <c r="J137" s="89">
        <f t="shared" si="8"/>
        <v>0.10448979591836735</v>
      </c>
      <c r="K137" s="94">
        <v>0.99894875158280005</v>
      </c>
      <c r="L137" s="94">
        <v>0.99898826381294703</v>
      </c>
      <c r="M137" s="89">
        <f t="shared" si="10"/>
        <v>0.99894875158280005</v>
      </c>
      <c r="N137" s="89">
        <f t="shared" si="9"/>
        <v>0.96299790576461053</v>
      </c>
      <c r="O137" s="89">
        <f t="shared" si="11"/>
        <v>0.1006234546431593</v>
      </c>
    </row>
    <row r="138" spans="1:15" x14ac:dyDescent="0.2">
      <c r="A138" s="21" t="s">
        <v>2133</v>
      </c>
      <c r="B138" s="21" t="s">
        <v>666</v>
      </c>
      <c r="C138" s="21" t="s">
        <v>667</v>
      </c>
      <c r="D138" s="21" t="s">
        <v>772</v>
      </c>
      <c r="E138" s="21" t="s">
        <v>773</v>
      </c>
      <c r="F138" s="21" t="s">
        <v>1035</v>
      </c>
      <c r="G138" s="21" t="s">
        <v>1036</v>
      </c>
      <c r="H138" s="21" t="s">
        <v>2142</v>
      </c>
      <c r="I138" s="21">
        <v>1097</v>
      </c>
      <c r="J138" s="89">
        <f t="shared" si="8"/>
        <v>0.89551020408163262</v>
      </c>
      <c r="K138" s="94">
        <v>1.00044126338487</v>
      </c>
      <c r="L138" s="94">
        <v>1.0000062423813201</v>
      </c>
      <c r="M138" s="89">
        <f t="shared" si="10"/>
        <v>1.00044126338487</v>
      </c>
      <c r="N138" s="89">
        <f t="shared" si="9"/>
        <v>0.96443670403874115</v>
      </c>
      <c r="O138" s="89">
        <f t="shared" si="11"/>
        <v>0.86366290965755022</v>
      </c>
    </row>
    <row r="139" spans="1:15" x14ac:dyDescent="0.2">
      <c r="A139" s="21" t="s">
        <v>1167</v>
      </c>
      <c r="B139" s="21" t="s">
        <v>3874</v>
      </c>
      <c r="C139" s="21" t="s">
        <v>3875</v>
      </c>
      <c r="D139" s="21" t="s">
        <v>774</v>
      </c>
      <c r="E139" s="21" t="s">
        <v>775</v>
      </c>
      <c r="F139" s="21" t="s">
        <v>1037</v>
      </c>
      <c r="G139" s="21" t="s">
        <v>1038</v>
      </c>
      <c r="H139" s="21" t="s">
        <v>3460</v>
      </c>
      <c r="I139" s="21">
        <v>558</v>
      </c>
      <c r="J139" s="89">
        <f t="shared" si="8"/>
        <v>1</v>
      </c>
      <c r="K139" s="94">
        <v>1.23702941887416</v>
      </c>
      <c r="L139" s="94">
        <v>1.23797399267274</v>
      </c>
      <c r="M139" s="89">
        <f t="shared" si="10"/>
        <v>1.23702941887416</v>
      </c>
      <c r="N139" s="89">
        <f t="shared" si="9"/>
        <v>1.1925103643780761</v>
      </c>
      <c r="O139" s="89">
        <f t="shared" si="11"/>
        <v>1.1925103643780761</v>
      </c>
    </row>
    <row r="140" spans="1:15" x14ac:dyDescent="0.2">
      <c r="A140" s="21" t="s">
        <v>2133</v>
      </c>
      <c r="B140" s="21" t="s">
        <v>3706</v>
      </c>
      <c r="C140" s="21" t="s">
        <v>3707</v>
      </c>
      <c r="D140" s="21" t="s">
        <v>776</v>
      </c>
      <c r="E140" s="21" t="s">
        <v>777</v>
      </c>
      <c r="F140" s="21" t="s">
        <v>1039</v>
      </c>
      <c r="G140" s="21" t="s">
        <v>1040</v>
      </c>
      <c r="H140" s="21" t="s">
        <v>2154</v>
      </c>
      <c r="I140" s="21">
        <v>179</v>
      </c>
      <c r="J140" s="89">
        <f t="shared" si="8"/>
        <v>1</v>
      </c>
      <c r="K140" s="94">
        <v>0.96573644377172996</v>
      </c>
      <c r="L140" s="94">
        <v>0.96773185088592995</v>
      </c>
      <c r="M140" s="89">
        <f t="shared" si="10"/>
        <v>0.96573644377172996</v>
      </c>
      <c r="N140" s="89">
        <f t="shared" si="9"/>
        <v>0.93098086503354838</v>
      </c>
      <c r="O140" s="89">
        <f t="shared" si="11"/>
        <v>0.93098086503354838</v>
      </c>
    </row>
    <row r="141" spans="1:15" x14ac:dyDescent="0.2">
      <c r="A141" s="21" t="s">
        <v>2133</v>
      </c>
      <c r="B141" s="21" t="s">
        <v>3870</v>
      </c>
      <c r="C141" s="21" t="s">
        <v>3871</v>
      </c>
      <c r="D141" s="21" t="s">
        <v>778</v>
      </c>
      <c r="E141" s="21" t="s">
        <v>779</v>
      </c>
      <c r="F141" s="21" t="s">
        <v>1041</v>
      </c>
      <c r="G141" s="21" t="s">
        <v>1042</v>
      </c>
      <c r="H141" s="21" t="s">
        <v>1110</v>
      </c>
      <c r="I141" s="21">
        <v>704</v>
      </c>
      <c r="J141" s="89">
        <f t="shared" si="8"/>
        <v>1</v>
      </c>
      <c r="K141" s="94">
        <v>0.965226331340443</v>
      </c>
      <c r="L141" s="94">
        <v>0.96489777401388299</v>
      </c>
      <c r="M141" s="89">
        <f t="shared" si="10"/>
        <v>0.965226331340443</v>
      </c>
      <c r="N141" s="89">
        <f t="shared" si="9"/>
        <v>0.93048911087473352</v>
      </c>
      <c r="O141" s="89">
        <f t="shared" si="11"/>
        <v>0.93048911087473352</v>
      </c>
    </row>
    <row r="142" spans="1:15" x14ac:dyDescent="0.2">
      <c r="A142" s="21" t="s">
        <v>708</v>
      </c>
      <c r="B142" s="21" t="s">
        <v>2322</v>
      </c>
      <c r="C142" s="21" t="s">
        <v>2323</v>
      </c>
      <c r="D142" s="21" t="s">
        <v>780</v>
      </c>
      <c r="E142" s="21" t="s">
        <v>781</v>
      </c>
      <c r="F142" s="21" t="s">
        <v>1043</v>
      </c>
      <c r="G142" s="21" t="s">
        <v>1044</v>
      </c>
      <c r="H142" s="21" t="s">
        <v>710</v>
      </c>
      <c r="I142" s="21">
        <v>17</v>
      </c>
      <c r="J142" s="89">
        <f t="shared" si="8"/>
        <v>1.7276422764227643E-2</v>
      </c>
      <c r="K142" s="94">
        <v>0.94857483827625999</v>
      </c>
      <c r="L142" s="94">
        <v>0.94837714620414404</v>
      </c>
      <c r="M142" s="89">
        <f t="shared" si="10"/>
        <v>0.94857483827625999</v>
      </c>
      <c r="N142" s="89">
        <f t="shared" si="9"/>
        <v>0.91443688304697479</v>
      </c>
      <c r="O142" s="89">
        <f t="shared" si="11"/>
        <v>1.5798198182722125E-2</v>
      </c>
    </row>
    <row r="143" spans="1:15" x14ac:dyDescent="0.2">
      <c r="A143" s="21" t="s">
        <v>708</v>
      </c>
      <c r="B143" s="21" t="s">
        <v>2322</v>
      </c>
      <c r="C143" s="21" t="s">
        <v>2323</v>
      </c>
      <c r="D143" s="21" t="s">
        <v>782</v>
      </c>
      <c r="E143" s="21" t="s">
        <v>783</v>
      </c>
      <c r="F143" s="21" t="s">
        <v>1045</v>
      </c>
      <c r="G143" s="21" t="s">
        <v>1046</v>
      </c>
      <c r="H143" s="21" t="s">
        <v>710</v>
      </c>
      <c r="I143" s="21">
        <v>967</v>
      </c>
      <c r="J143" s="89">
        <f t="shared" si="8"/>
        <v>0.98272357723577231</v>
      </c>
      <c r="K143" s="94">
        <v>0.94945177742320896</v>
      </c>
      <c r="L143" s="94">
        <v>0.94934524649889096</v>
      </c>
      <c r="M143" s="89">
        <f t="shared" si="10"/>
        <v>0.94945177742320896</v>
      </c>
      <c r="N143" s="89">
        <f t="shared" si="9"/>
        <v>0.91528226231258458</v>
      </c>
      <c r="O143" s="89">
        <f t="shared" si="11"/>
        <v>0.89946945900027364</v>
      </c>
    </row>
    <row r="144" spans="1:15" x14ac:dyDescent="0.2">
      <c r="A144" s="21" t="s">
        <v>2133</v>
      </c>
      <c r="B144" s="21" t="s">
        <v>2393</v>
      </c>
      <c r="C144" s="21" t="s">
        <v>784</v>
      </c>
      <c r="D144" s="21" t="s">
        <v>785</v>
      </c>
      <c r="E144" s="21" t="s">
        <v>786</v>
      </c>
      <c r="F144" s="21" t="s">
        <v>1047</v>
      </c>
      <c r="G144" s="21" t="s">
        <v>1048</v>
      </c>
      <c r="H144" s="21" t="s">
        <v>2149</v>
      </c>
      <c r="I144" s="21">
        <v>301</v>
      </c>
      <c r="J144" s="89">
        <f t="shared" si="8"/>
        <v>1</v>
      </c>
      <c r="K144" s="94">
        <v>0.94967569722069101</v>
      </c>
      <c r="L144" s="94">
        <v>0.94977879384198405</v>
      </c>
      <c r="M144" s="89">
        <f t="shared" si="10"/>
        <v>0.94967569722069101</v>
      </c>
      <c r="N144" s="89">
        <f t="shared" si="9"/>
        <v>0.91549812353238469</v>
      </c>
      <c r="O144" s="89">
        <f t="shared" si="11"/>
        <v>0.91549812353238469</v>
      </c>
    </row>
    <row r="145" spans="1:15" x14ac:dyDescent="0.2">
      <c r="A145" s="21" t="s">
        <v>2133</v>
      </c>
      <c r="B145" s="21" t="s">
        <v>2369</v>
      </c>
      <c r="C145" s="21" t="s">
        <v>2370</v>
      </c>
      <c r="D145" s="21" t="s">
        <v>787</v>
      </c>
      <c r="E145" s="21" t="s">
        <v>2370</v>
      </c>
      <c r="F145" s="21" t="s">
        <v>1049</v>
      </c>
      <c r="G145" s="21" t="s">
        <v>1050</v>
      </c>
      <c r="H145" s="21" t="s">
        <v>2146</v>
      </c>
      <c r="I145" s="21">
        <v>320</v>
      </c>
      <c r="J145" s="89">
        <f t="shared" si="8"/>
        <v>1</v>
      </c>
      <c r="K145" s="94" t="e">
        <v>#N/A</v>
      </c>
      <c r="L145" s="94">
        <v>0.99421939555274996</v>
      </c>
      <c r="M145" s="89">
        <f t="shared" si="10"/>
        <v>0.99421939555274996</v>
      </c>
      <c r="N145" s="89">
        <f t="shared" si="9"/>
        <v>0.95843875300993986</v>
      </c>
      <c r="O145" s="89">
        <f t="shared" si="11"/>
        <v>0.95843875300993986</v>
      </c>
    </row>
    <row r="146" spans="1:15" x14ac:dyDescent="0.2">
      <c r="A146" s="21" t="s">
        <v>2133</v>
      </c>
      <c r="B146" s="21" t="s">
        <v>2283</v>
      </c>
      <c r="C146" s="21" t="s">
        <v>2284</v>
      </c>
      <c r="D146" s="21" t="s">
        <v>788</v>
      </c>
      <c r="E146" s="21" t="s">
        <v>789</v>
      </c>
      <c r="F146" s="21" t="s">
        <v>1051</v>
      </c>
      <c r="G146" s="21" t="s">
        <v>1052</v>
      </c>
      <c r="H146" s="21" t="s">
        <v>2138</v>
      </c>
      <c r="I146" s="21">
        <v>181</v>
      </c>
      <c r="J146" s="89">
        <f t="shared" si="8"/>
        <v>1</v>
      </c>
      <c r="K146" s="94">
        <v>0.97992835496780895</v>
      </c>
      <c r="L146" s="94">
        <v>0.98136170333805295</v>
      </c>
      <c r="M146" s="89">
        <f t="shared" si="10"/>
        <v>0.97992835496780895</v>
      </c>
      <c r="N146" s="89">
        <f t="shared" si="9"/>
        <v>0.94466202809518385</v>
      </c>
      <c r="O146" s="89">
        <f t="shared" si="11"/>
        <v>0.94466202809518385</v>
      </c>
    </row>
    <row r="147" spans="1:15" x14ac:dyDescent="0.2">
      <c r="A147" s="21" t="s">
        <v>2133</v>
      </c>
      <c r="B147" s="21" t="s">
        <v>3658</v>
      </c>
      <c r="C147" s="21" t="s">
        <v>3659</v>
      </c>
      <c r="D147" s="21" t="s">
        <v>790</v>
      </c>
      <c r="E147" s="21" t="s">
        <v>791</v>
      </c>
      <c r="F147" s="21" t="s">
        <v>1053</v>
      </c>
      <c r="G147" s="21" t="s">
        <v>1054</v>
      </c>
      <c r="H147" s="21" t="s">
        <v>3654</v>
      </c>
      <c r="I147" s="21">
        <v>20</v>
      </c>
      <c r="J147" s="89">
        <f t="shared" si="8"/>
        <v>5.5865921787709494E-2</v>
      </c>
      <c r="K147" s="94">
        <v>0.95434149901209298</v>
      </c>
      <c r="L147" s="94">
        <v>0.95627944695271505</v>
      </c>
      <c r="M147" s="89">
        <f t="shared" si="10"/>
        <v>0.95434149901209298</v>
      </c>
      <c r="N147" s="89">
        <f t="shared" si="9"/>
        <v>0.91999600928149206</v>
      </c>
      <c r="O147" s="89">
        <f t="shared" si="11"/>
        <v>5.139642509952469E-2</v>
      </c>
    </row>
    <row r="148" spans="1:15" x14ac:dyDescent="0.2">
      <c r="A148" s="21" t="s">
        <v>2133</v>
      </c>
      <c r="B148" s="21" t="s">
        <v>3658</v>
      </c>
      <c r="C148" s="21" t="s">
        <v>3659</v>
      </c>
      <c r="D148" s="21" t="s">
        <v>792</v>
      </c>
      <c r="E148" s="21" t="s">
        <v>793</v>
      </c>
      <c r="F148" s="21" t="s">
        <v>1055</v>
      </c>
      <c r="G148" s="21" t="s">
        <v>1056</v>
      </c>
      <c r="H148" s="21" t="s">
        <v>2152</v>
      </c>
      <c r="I148" s="21">
        <v>94</v>
      </c>
      <c r="J148" s="89">
        <f t="shared" si="8"/>
        <v>0.26256983240223464</v>
      </c>
      <c r="K148" s="94" t="e">
        <v>#N/A</v>
      </c>
      <c r="L148" s="94">
        <v>0.94969456268502095</v>
      </c>
      <c r="M148" s="89">
        <f t="shared" si="10"/>
        <v>0.94969456268502095</v>
      </c>
      <c r="N148" s="89">
        <f t="shared" si="9"/>
        <v>0.91551631005357736</v>
      </c>
      <c r="O148" s="89">
        <f t="shared" si="11"/>
        <v>0.24038696409228008</v>
      </c>
    </row>
    <row r="149" spans="1:15" x14ac:dyDescent="0.2">
      <c r="A149" s="21" t="s">
        <v>2133</v>
      </c>
      <c r="B149" s="21" t="s">
        <v>3658</v>
      </c>
      <c r="C149" s="21" t="s">
        <v>3659</v>
      </c>
      <c r="D149" s="21" t="s">
        <v>728</v>
      </c>
      <c r="E149" s="21" t="s">
        <v>729</v>
      </c>
      <c r="F149" s="21" t="s">
        <v>1055</v>
      </c>
      <c r="G149" s="21" t="s">
        <v>1056</v>
      </c>
      <c r="H149" s="21" t="s">
        <v>2152</v>
      </c>
      <c r="I149" s="21">
        <v>97</v>
      </c>
      <c r="J149" s="89">
        <f t="shared" si="8"/>
        <v>0.27094972067039108</v>
      </c>
      <c r="K149" s="94" t="e">
        <v>#N/A</v>
      </c>
      <c r="L149" s="94">
        <v>0.94969456268502095</v>
      </c>
      <c r="M149" s="89">
        <f t="shared" si="10"/>
        <v>0.94969456268502095</v>
      </c>
      <c r="N149" s="89">
        <f t="shared" si="9"/>
        <v>0.91551631005357736</v>
      </c>
      <c r="O149" s="89">
        <f t="shared" si="11"/>
        <v>0.24805888847820395</v>
      </c>
    </row>
    <row r="150" spans="1:15" x14ac:dyDescent="0.2">
      <c r="A150" s="21" t="s">
        <v>2133</v>
      </c>
      <c r="B150" s="21" t="s">
        <v>3658</v>
      </c>
      <c r="C150" s="21" t="s">
        <v>3659</v>
      </c>
      <c r="D150" s="21" t="s">
        <v>794</v>
      </c>
      <c r="E150" s="21" t="s">
        <v>795</v>
      </c>
      <c r="F150" s="21" t="s">
        <v>1057</v>
      </c>
      <c r="G150" s="21" t="s">
        <v>1006</v>
      </c>
      <c r="H150" s="21" t="s">
        <v>2152</v>
      </c>
      <c r="I150" s="21">
        <v>147</v>
      </c>
      <c r="J150" s="89">
        <f t="shared" si="8"/>
        <v>0.41061452513966479</v>
      </c>
      <c r="K150" s="94">
        <v>0.94819788852068498</v>
      </c>
      <c r="L150" s="94">
        <v>0.94817467591850901</v>
      </c>
      <c r="M150" s="89">
        <f t="shared" si="10"/>
        <v>0.94819788852068498</v>
      </c>
      <c r="N150" s="89">
        <f t="shared" si="9"/>
        <v>0.91407349921509951</v>
      </c>
      <c r="O150" s="89">
        <f t="shared" si="11"/>
        <v>0.37533185582295986</v>
      </c>
    </row>
    <row r="151" spans="1:15" x14ac:dyDescent="0.2">
      <c r="A151" s="21" t="s">
        <v>1127</v>
      </c>
      <c r="B151" s="21" t="s">
        <v>405</v>
      </c>
      <c r="C151" s="21" t="s">
        <v>406</v>
      </c>
      <c r="D151" s="21" t="s">
        <v>796</v>
      </c>
      <c r="E151" s="21" t="s">
        <v>797</v>
      </c>
      <c r="F151" s="21" t="s">
        <v>1058</v>
      </c>
      <c r="G151" s="21" t="s">
        <v>3227</v>
      </c>
      <c r="H151" s="21" t="s">
        <v>1140</v>
      </c>
      <c r="I151" s="21">
        <v>985</v>
      </c>
      <c r="J151" s="89">
        <f t="shared" si="8"/>
        <v>1</v>
      </c>
      <c r="K151" s="94">
        <v>0.93491734204863897</v>
      </c>
      <c r="L151" s="94">
        <v>0.93505368210314399</v>
      </c>
      <c r="M151" s="89">
        <f t="shared" si="10"/>
        <v>0.93491734204863897</v>
      </c>
      <c r="N151" s="89">
        <f t="shared" si="9"/>
        <v>0.90127090206511962</v>
      </c>
      <c r="O151" s="89">
        <f t="shared" si="11"/>
        <v>0.90127090206511962</v>
      </c>
    </row>
    <row r="152" spans="1:15" x14ac:dyDescent="0.2">
      <c r="A152" s="21" t="s">
        <v>2975</v>
      </c>
      <c r="B152" s="21" t="s">
        <v>662</v>
      </c>
      <c r="C152" s="21" t="s">
        <v>663</v>
      </c>
      <c r="D152" s="21" t="s">
        <v>798</v>
      </c>
      <c r="E152" s="21" t="s">
        <v>799</v>
      </c>
      <c r="F152" s="21" t="s">
        <v>3228</v>
      </c>
      <c r="G152" s="21" t="s">
        <v>3229</v>
      </c>
      <c r="H152" s="21" t="s">
        <v>2986</v>
      </c>
      <c r="I152" s="21">
        <v>846</v>
      </c>
      <c r="J152" s="89">
        <f t="shared" si="8"/>
        <v>1</v>
      </c>
      <c r="K152" s="94">
        <v>1.0042399567256399</v>
      </c>
      <c r="L152" s="94">
        <v>1.0044928863887199</v>
      </c>
      <c r="M152" s="89">
        <f t="shared" si="10"/>
        <v>1.0042399567256399</v>
      </c>
      <c r="N152" s="89">
        <f t="shared" si="9"/>
        <v>0.968098687424783</v>
      </c>
      <c r="O152" s="89">
        <f t="shared" si="11"/>
        <v>0.968098687424783</v>
      </c>
    </row>
    <row r="153" spans="1:15" x14ac:dyDescent="0.2">
      <c r="A153" s="21" t="s">
        <v>2975</v>
      </c>
      <c r="B153" s="21" t="s">
        <v>3732</v>
      </c>
      <c r="C153" s="21" t="s">
        <v>3733</v>
      </c>
      <c r="D153" s="21" t="s">
        <v>800</v>
      </c>
      <c r="E153" s="21" t="s">
        <v>801</v>
      </c>
      <c r="F153" s="21" t="s">
        <v>3230</v>
      </c>
      <c r="G153" s="21" t="s">
        <v>3231</v>
      </c>
      <c r="H153" s="21" t="s">
        <v>3017</v>
      </c>
      <c r="I153" s="21">
        <v>824</v>
      </c>
      <c r="J153" s="89">
        <f t="shared" si="8"/>
        <v>1</v>
      </c>
      <c r="K153" s="94">
        <v>1.00098278375891</v>
      </c>
      <c r="L153" s="94">
        <v>1.0007566798448899</v>
      </c>
      <c r="M153" s="89">
        <f t="shared" si="10"/>
        <v>1.00098278375891</v>
      </c>
      <c r="N153" s="89">
        <f t="shared" si="9"/>
        <v>0.96495873580994374</v>
      </c>
      <c r="O153" s="89">
        <f t="shared" si="11"/>
        <v>0.96495873580994374</v>
      </c>
    </row>
    <row r="154" spans="1:15" x14ac:dyDescent="0.2">
      <c r="A154" s="21" t="s">
        <v>2975</v>
      </c>
      <c r="B154" s="21" t="s">
        <v>2752</v>
      </c>
      <c r="C154" s="21" t="s">
        <v>802</v>
      </c>
      <c r="D154" s="21" t="s">
        <v>803</v>
      </c>
      <c r="E154" s="21" t="s">
        <v>804</v>
      </c>
      <c r="F154" s="21" t="s">
        <v>3232</v>
      </c>
      <c r="G154" s="21" t="s">
        <v>3233</v>
      </c>
      <c r="H154" s="21" t="s">
        <v>3027</v>
      </c>
      <c r="I154" s="21">
        <v>308</v>
      </c>
      <c r="J154" s="89">
        <f t="shared" si="8"/>
        <v>0.20039037085230971</v>
      </c>
      <c r="K154" s="94">
        <v>1.0015409924271199</v>
      </c>
      <c r="L154" s="94">
        <v>1.0018183185015099</v>
      </c>
      <c r="M154" s="89">
        <f t="shared" si="10"/>
        <v>1.0015409924271199</v>
      </c>
      <c r="N154" s="89">
        <f t="shared" si="9"/>
        <v>0.96549685528565665</v>
      </c>
      <c r="O154" s="89">
        <f t="shared" si="11"/>
        <v>0.19347627288743152</v>
      </c>
    </row>
    <row r="155" spans="1:15" x14ac:dyDescent="0.2">
      <c r="A155" s="21" t="s">
        <v>2975</v>
      </c>
      <c r="B155" s="21" t="s">
        <v>3712</v>
      </c>
      <c r="C155" s="21" t="s">
        <v>3713</v>
      </c>
      <c r="D155" s="21" t="s">
        <v>805</v>
      </c>
      <c r="E155" s="21" t="s">
        <v>806</v>
      </c>
      <c r="F155" s="21" t="s">
        <v>3234</v>
      </c>
      <c r="G155" s="21" t="s">
        <v>3235</v>
      </c>
      <c r="H155" s="21" t="s">
        <v>3010</v>
      </c>
      <c r="I155" s="21">
        <v>647</v>
      </c>
      <c r="J155" s="89">
        <f t="shared" si="8"/>
        <v>1</v>
      </c>
      <c r="K155" s="94">
        <v>0.98828021114362896</v>
      </c>
      <c r="L155" s="94">
        <v>0.98916581251294</v>
      </c>
      <c r="M155" s="89">
        <f t="shared" si="10"/>
        <v>0.98828021114362896</v>
      </c>
      <c r="N155" s="89">
        <f t="shared" si="9"/>
        <v>0.95271331200120835</v>
      </c>
      <c r="O155" s="89">
        <f t="shared" si="11"/>
        <v>0.95271331200120835</v>
      </c>
    </row>
    <row r="156" spans="1:15" x14ac:dyDescent="0.2">
      <c r="A156" s="21" t="s">
        <v>2975</v>
      </c>
      <c r="B156" s="21" t="s">
        <v>586</v>
      </c>
      <c r="C156" s="21" t="s">
        <v>587</v>
      </c>
      <c r="D156" s="21" t="s">
        <v>807</v>
      </c>
      <c r="E156" s="21" t="s">
        <v>808</v>
      </c>
      <c r="F156" s="21" t="s">
        <v>3236</v>
      </c>
      <c r="G156" s="21" t="s">
        <v>3237</v>
      </c>
      <c r="H156" s="21" t="s">
        <v>3013</v>
      </c>
      <c r="I156" s="21">
        <v>475</v>
      </c>
      <c r="J156" s="89">
        <f t="shared" si="8"/>
        <v>1</v>
      </c>
      <c r="K156" s="94">
        <v>0.99591501369181201</v>
      </c>
      <c r="L156" s="94">
        <v>0.99543978970719604</v>
      </c>
      <c r="M156" s="89">
        <f t="shared" si="10"/>
        <v>0.99591501369181201</v>
      </c>
      <c r="N156" s="89">
        <f t="shared" si="9"/>
        <v>0.96007334809232625</v>
      </c>
      <c r="O156" s="89">
        <f t="shared" si="11"/>
        <v>0.96007334809232625</v>
      </c>
    </row>
    <row r="157" spans="1:15" x14ac:dyDescent="0.2">
      <c r="A157" s="21" t="s">
        <v>191</v>
      </c>
      <c r="B157" s="21" t="s">
        <v>2383</v>
      </c>
      <c r="C157" s="21" t="s">
        <v>809</v>
      </c>
      <c r="D157" s="21" t="s">
        <v>3076</v>
      </c>
      <c r="E157" s="21" t="s">
        <v>3077</v>
      </c>
      <c r="F157" s="21" t="s">
        <v>3238</v>
      </c>
      <c r="G157" s="21" t="s">
        <v>3239</v>
      </c>
      <c r="H157" s="21" t="s">
        <v>192</v>
      </c>
      <c r="I157" s="21">
        <v>34</v>
      </c>
      <c r="J157" s="89">
        <f t="shared" si="8"/>
        <v>3.8901601830663615E-2</v>
      </c>
      <c r="K157" s="94">
        <v>1.0630225275664</v>
      </c>
      <c r="L157" s="94">
        <v>1.06226293684319</v>
      </c>
      <c r="M157" s="89">
        <f t="shared" si="10"/>
        <v>1.0630225275664</v>
      </c>
      <c r="N157" s="89">
        <f t="shared" si="9"/>
        <v>1.0247657512009969</v>
      </c>
      <c r="O157" s="89">
        <f t="shared" si="11"/>
        <v>3.9865029222922073E-2</v>
      </c>
    </row>
    <row r="158" spans="1:15" x14ac:dyDescent="0.2">
      <c r="A158" s="21" t="s">
        <v>191</v>
      </c>
      <c r="B158" s="21" t="s">
        <v>2383</v>
      </c>
      <c r="C158" s="21" t="s">
        <v>809</v>
      </c>
      <c r="D158" s="21" t="s">
        <v>3078</v>
      </c>
      <c r="E158" s="21" t="s">
        <v>3079</v>
      </c>
      <c r="F158" s="21" t="s">
        <v>3240</v>
      </c>
      <c r="G158" s="21" t="s">
        <v>3241</v>
      </c>
      <c r="H158" s="21" t="s">
        <v>192</v>
      </c>
      <c r="I158" s="21">
        <v>405</v>
      </c>
      <c r="J158" s="89">
        <f t="shared" si="8"/>
        <v>0.46338672768878719</v>
      </c>
      <c r="K158" s="94">
        <v>1.0592832773556899</v>
      </c>
      <c r="L158" s="94">
        <v>1.0593331170629201</v>
      </c>
      <c r="M158" s="89">
        <f t="shared" si="10"/>
        <v>1.0592832773556899</v>
      </c>
      <c r="N158" s="89">
        <f t="shared" si="9"/>
        <v>1.0211610716652968</v>
      </c>
      <c r="O158" s="89">
        <f t="shared" si="11"/>
        <v>0.47319248744215697</v>
      </c>
    </row>
    <row r="159" spans="1:15" x14ac:dyDescent="0.2">
      <c r="A159" s="21" t="s">
        <v>3528</v>
      </c>
      <c r="B159" s="21" t="s">
        <v>2377</v>
      </c>
      <c r="C159" s="21" t="s">
        <v>2378</v>
      </c>
      <c r="D159" s="21" t="s">
        <v>3080</v>
      </c>
      <c r="E159" s="21" t="s">
        <v>3081</v>
      </c>
      <c r="F159" s="21" t="s">
        <v>3242</v>
      </c>
      <c r="G159" s="21" t="s">
        <v>3243</v>
      </c>
      <c r="H159" s="21" t="s">
        <v>3544</v>
      </c>
      <c r="I159" s="21">
        <v>540</v>
      </c>
      <c r="J159" s="89">
        <f t="shared" si="8"/>
        <v>1</v>
      </c>
      <c r="K159" s="94">
        <v>1.0651526945741601</v>
      </c>
      <c r="L159" s="94">
        <v>1.0655024230601</v>
      </c>
      <c r="M159" s="89">
        <f t="shared" si="10"/>
        <v>1.0651526945741601</v>
      </c>
      <c r="N159" s="89">
        <f t="shared" si="9"/>
        <v>1.0268192563123968</v>
      </c>
      <c r="O159" s="89">
        <f t="shared" si="11"/>
        <v>1.0268192563123968</v>
      </c>
    </row>
    <row r="160" spans="1:15" x14ac:dyDescent="0.2">
      <c r="A160" s="21" t="s">
        <v>191</v>
      </c>
      <c r="B160" s="21" t="s">
        <v>2383</v>
      </c>
      <c r="C160" s="21" t="s">
        <v>3082</v>
      </c>
      <c r="D160" s="21" t="s">
        <v>728</v>
      </c>
      <c r="E160" s="21" t="s">
        <v>729</v>
      </c>
      <c r="F160" s="21" t="s">
        <v>3244</v>
      </c>
      <c r="G160" s="21" t="s">
        <v>3245</v>
      </c>
      <c r="H160" s="21" t="s">
        <v>192</v>
      </c>
      <c r="I160" s="21">
        <v>4</v>
      </c>
      <c r="J160" s="89">
        <f t="shared" si="8"/>
        <v>4.5766590389016018E-3</v>
      </c>
      <c r="K160" s="94" t="e">
        <v>#N/A</v>
      </c>
      <c r="L160" s="94">
        <v>1.1119841913117301</v>
      </c>
      <c r="M160" s="89">
        <f t="shared" si="10"/>
        <v>1.1119841913117301</v>
      </c>
      <c r="N160" s="89">
        <f t="shared" si="9"/>
        <v>1.071965349353351</v>
      </c>
      <c r="O160" s="89">
        <f t="shared" si="11"/>
        <v>4.9060199055073273E-3</v>
      </c>
    </row>
    <row r="161" spans="1:15" x14ac:dyDescent="0.2">
      <c r="A161" s="21" t="s">
        <v>191</v>
      </c>
      <c r="B161" s="21" t="s">
        <v>2383</v>
      </c>
      <c r="C161" s="21" t="s">
        <v>3082</v>
      </c>
      <c r="D161" s="21" t="s">
        <v>3083</v>
      </c>
      <c r="E161" s="21" t="s">
        <v>3084</v>
      </c>
      <c r="F161" s="21" t="s">
        <v>3244</v>
      </c>
      <c r="G161" s="21" t="s">
        <v>3245</v>
      </c>
      <c r="H161" s="21" t="s">
        <v>192</v>
      </c>
      <c r="I161" s="21">
        <v>431</v>
      </c>
      <c r="J161" s="89">
        <f t="shared" si="8"/>
        <v>0.49313501144164762</v>
      </c>
      <c r="K161" s="94">
        <v>1.10879548244356</v>
      </c>
      <c r="L161" s="94">
        <v>1.1119841913117301</v>
      </c>
      <c r="M161" s="89">
        <f t="shared" si="10"/>
        <v>1.10879548244356</v>
      </c>
      <c r="N161" s="89">
        <f t="shared" si="9"/>
        <v>1.0688913979046151</v>
      </c>
      <c r="O161" s="89">
        <f t="shared" si="11"/>
        <v>0.52710777173557111</v>
      </c>
    </row>
    <row r="162" spans="1:15" x14ac:dyDescent="0.2">
      <c r="A162" s="21" t="s">
        <v>3496</v>
      </c>
      <c r="B162" s="21" t="s">
        <v>11</v>
      </c>
      <c r="C162" s="21" t="s">
        <v>2328</v>
      </c>
      <c r="D162" s="21" t="s">
        <v>3085</v>
      </c>
      <c r="E162" s="21" t="s">
        <v>3086</v>
      </c>
      <c r="F162" s="21" t="s">
        <v>3246</v>
      </c>
      <c r="G162" s="21" t="s">
        <v>3247</v>
      </c>
      <c r="H162" s="21" t="s">
        <v>3470</v>
      </c>
      <c r="I162" s="21">
        <v>444</v>
      </c>
      <c r="J162" s="89">
        <f t="shared" si="8"/>
        <v>1</v>
      </c>
      <c r="K162" s="94">
        <v>1.1585101324452001</v>
      </c>
      <c r="L162" s="94">
        <v>1.1475246885414401</v>
      </c>
      <c r="M162" s="89">
        <f t="shared" si="10"/>
        <v>1.1585101324452001</v>
      </c>
      <c r="N162" s="89">
        <f t="shared" si="9"/>
        <v>1.1168168833327148</v>
      </c>
      <c r="O162" s="89">
        <f t="shared" si="11"/>
        <v>1.1168168833327148</v>
      </c>
    </row>
    <row r="163" spans="1:15" x14ac:dyDescent="0.2">
      <c r="A163" s="21" t="s">
        <v>2133</v>
      </c>
      <c r="B163" s="21" t="s">
        <v>596</v>
      </c>
      <c r="C163" s="21" t="s">
        <v>597</v>
      </c>
      <c r="D163" s="21" t="s">
        <v>3087</v>
      </c>
      <c r="E163" s="21" t="s">
        <v>3088</v>
      </c>
      <c r="F163" s="21" t="s">
        <v>3248</v>
      </c>
      <c r="G163" s="21" t="s">
        <v>3249</v>
      </c>
      <c r="H163" s="21" t="s">
        <v>2144</v>
      </c>
      <c r="I163" s="21">
        <v>794</v>
      </c>
      <c r="J163" s="89">
        <f t="shared" si="8"/>
        <v>1</v>
      </c>
      <c r="K163" s="94">
        <v>0.96571857788397197</v>
      </c>
      <c r="L163" s="94">
        <v>0.96619073187346305</v>
      </c>
      <c r="M163" s="89">
        <f t="shared" si="10"/>
        <v>0.96571857788397197</v>
      </c>
      <c r="N163" s="89">
        <f t="shared" si="9"/>
        <v>0.93096364211548754</v>
      </c>
      <c r="O163" s="89">
        <f t="shared" si="11"/>
        <v>0.93096364211548754</v>
      </c>
    </row>
    <row r="164" spans="1:15" x14ac:dyDescent="0.2">
      <c r="A164" s="21" t="s">
        <v>1167</v>
      </c>
      <c r="B164" s="21" t="s">
        <v>403</v>
      </c>
      <c r="C164" s="21" t="s">
        <v>404</v>
      </c>
      <c r="D164" s="21" t="s">
        <v>3089</v>
      </c>
      <c r="E164" s="21" t="s">
        <v>3090</v>
      </c>
      <c r="F164" s="21" t="s">
        <v>3250</v>
      </c>
      <c r="G164" s="21" t="s">
        <v>3251</v>
      </c>
      <c r="H164" s="21" t="s">
        <v>3462</v>
      </c>
      <c r="I164" s="21">
        <v>392</v>
      </c>
      <c r="J164" s="89">
        <f t="shared" si="8"/>
        <v>1</v>
      </c>
      <c r="K164" s="94">
        <v>1.2215778736098799</v>
      </c>
      <c r="L164" s="94">
        <v>1.22372617041111</v>
      </c>
      <c r="M164" s="89">
        <f t="shared" si="10"/>
        <v>1.2215778736098799</v>
      </c>
      <c r="N164" s="89">
        <f t="shared" si="9"/>
        <v>1.1776148998142011</v>
      </c>
      <c r="O164" s="89">
        <f t="shared" si="11"/>
        <v>1.1776148998142011</v>
      </c>
    </row>
    <row r="165" spans="1:15" x14ac:dyDescent="0.2">
      <c r="A165" s="21" t="s">
        <v>1167</v>
      </c>
      <c r="B165" s="21" t="s">
        <v>2267</v>
      </c>
      <c r="C165" s="21" t="s">
        <v>2268</v>
      </c>
      <c r="D165" s="21" t="s">
        <v>3091</v>
      </c>
      <c r="E165" s="21" t="s">
        <v>3092</v>
      </c>
      <c r="F165" s="21" t="s">
        <v>3252</v>
      </c>
      <c r="G165" s="21" t="s">
        <v>3253</v>
      </c>
      <c r="H165" s="21" t="s">
        <v>1175</v>
      </c>
      <c r="I165" s="21">
        <v>108</v>
      </c>
      <c r="J165" s="89">
        <f t="shared" si="8"/>
        <v>0.10546875</v>
      </c>
      <c r="K165" s="94">
        <v>1.2351634818645401</v>
      </c>
      <c r="L165" s="94">
        <v>1.23598573631637</v>
      </c>
      <c r="M165" s="89">
        <f t="shared" si="10"/>
        <v>1.2351634818645401</v>
      </c>
      <c r="N165" s="89">
        <f t="shared" si="9"/>
        <v>1.1907115799762682</v>
      </c>
      <c r="O165" s="89">
        <f t="shared" si="11"/>
        <v>0.12558286195062204</v>
      </c>
    </row>
    <row r="166" spans="1:15" x14ac:dyDescent="0.2">
      <c r="A166" s="21" t="s">
        <v>1167</v>
      </c>
      <c r="B166" s="21" t="s">
        <v>2267</v>
      </c>
      <c r="C166" s="21" t="s">
        <v>2268</v>
      </c>
      <c r="D166" s="21" t="s">
        <v>3093</v>
      </c>
      <c r="E166" s="21" t="s">
        <v>3094</v>
      </c>
      <c r="F166" s="21" t="s">
        <v>3254</v>
      </c>
      <c r="G166" s="21" t="s">
        <v>3255</v>
      </c>
      <c r="H166" s="21" t="s">
        <v>3449</v>
      </c>
      <c r="I166" s="21">
        <v>248</v>
      </c>
      <c r="J166" s="89">
        <f t="shared" si="8"/>
        <v>0.2421875</v>
      </c>
      <c r="K166" s="94">
        <v>1.24187933596782</v>
      </c>
      <c r="L166" s="94">
        <v>1.24164557190824</v>
      </c>
      <c r="M166" s="89">
        <f t="shared" si="10"/>
        <v>1.24187933596782</v>
      </c>
      <c r="N166" s="89">
        <f t="shared" si="9"/>
        <v>1.1971857393629555</v>
      </c>
      <c r="O166" s="89">
        <f t="shared" si="11"/>
        <v>0.28994342125196576</v>
      </c>
    </row>
    <row r="167" spans="1:15" x14ac:dyDescent="0.2">
      <c r="A167" s="21" t="s">
        <v>1167</v>
      </c>
      <c r="B167" s="21" t="s">
        <v>2267</v>
      </c>
      <c r="C167" s="21" t="s">
        <v>2268</v>
      </c>
      <c r="D167" s="21" t="s">
        <v>3095</v>
      </c>
      <c r="E167" s="21" t="s">
        <v>3096</v>
      </c>
      <c r="F167" s="21" t="s">
        <v>3256</v>
      </c>
      <c r="G167" s="21" t="s">
        <v>3257</v>
      </c>
      <c r="H167" s="21" t="s">
        <v>1175</v>
      </c>
      <c r="I167" s="21">
        <v>668</v>
      </c>
      <c r="J167" s="89">
        <f t="shared" si="8"/>
        <v>0.65234375</v>
      </c>
      <c r="K167" s="94">
        <v>1.2369682896068599</v>
      </c>
      <c r="L167" s="94">
        <v>1.2379225892666399</v>
      </c>
      <c r="M167" s="89">
        <f t="shared" si="10"/>
        <v>1.2369682896068599</v>
      </c>
      <c r="N167" s="89">
        <f t="shared" si="9"/>
        <v>1.1924514350723459</v>
      </c>
      <c r="O167" s="89">
        <f t="shared" si="11"/>
        <v>0.77788824084797559</v>
      </c>
    </row>
    <row r="168" spans="1:15" x14ac:dyDescent="0.2">
      <c r="A168" s="21" t="s">
        <v>2975</v>
      </c>
      <c r="B168" s="21" t="s">
        <v>413</v>
      </c>
      <c r="C168" s="21" t="s">
        <v>3097</v>
      </c>
      <c r="D168" s="21" t="s">
        <v>3098</v>
      </c>
      <c r="E168" s="21" t="s">
        <v>3099</v>
      </c>
      <c r="F168" s="21" t="s">
        <v>3258</v>
      </c>
      <c r="G168" s="21" t="s">
        <v>3259</v>
      </c>
      <c r="H168" s="21" t="s">
        <v>2994</v>
      </c>
      <c r="I168" s="21">
        <v>245</v>
      </c>
      <c r="J168" s="89">
        <f t="shared" si="8"/>
        <v>0.38161993769470404</v>
      </c>
      <c r="K168" s="94">
        <v>0.95207688326409701</v>
      </c>
      <c r="L168" s="94">
        <v>0.95207989574886498</v>
      </c>
      <c r="M168" s="89">
        <f t="shared" si="10"/>
        <v>0.95207688326409701</v>
      </c>
      <c r="N168" s="89">
        <f t="shared" si="9"/>
        <v>0.91781289406239175</v>
      </c>
      <c r="O168" s="89">
        <f t="shared" si="11"/>
        <v>0.35025569944748591</v>
      </c>
    </row>
    <row r="169" spans="1:15" x14ac:dyDescent="0.2">
      <c r="A169" s="21" t="s">
        <v>2975</v>
      </c>
      <c r="B169" s="21" t="s">
        <v>413</v>
      </c>
      <c r="C169" s="21" t="s">
        <v>3097</v>
      </c>
      <c r="D169" s="21" t="s">
        <v>3100</v>
      </c>
      <c r="E169" s="21" t="s">
        <v>3101</v>
      </c>
      <c r="F169" s="21" t="s">
        <v>3260</v>
      </c>
      <c r="G169" s="21" t="s">
        <v>3261</v>
      </c>
      <c r="H169" s="21" t="s">
        <v>2994</v>
      </c>
      <c r="I169" s="21">
        <v>397</v>
      </c>
      <c r="J169" s="89">
        <f t="shared" si="8"/>
        <v>0.61838006230529596</v>
      </c>
      <c r="K169" s="94">
        <v>0.95228092932012298</v>
      </c>
      <c r="L169" s="94">
        <v>0.95226651813981</v>
      </c>
      <c r="M169" s="89">
        <f t="shared" si="10"/>
        <v>0.95228092932012298</v>
      </c>
      <c r="N169" s="89">
        <f t="shared" si="9"/>
        <v>0.91800959677043481</v>
      </c>
      <c r="O169" s="89">
        <f t="shared" si="11"/>
        <v>0.56767883164776112</v>
      </c>
    </row>
    <row r="170" spans="1:15" x14ac:dyDescent="0.2">
      <c r="A170" s="21" t="s">
        <v>3069</v>
      </c>
      <c r="B170" s="21" t="s">
        <v>1341</v>
      </c>
      <c r="C170" s="21" t="s">
        <v>352</v>
      </c>
      <c r="D170" s="21" t="s">
        <v>3102</v>
      </c>
      <c r="E170" s="21" t="s">
        <v>3103</v>
      </c>
      <c r="F170" s="21" t="s">
        <v>3262</v>
      </c>
      <c r="G170" s="21" t="s">
        <v>3263</v>
      </c>
      <c r="H170" s="21" t="s">
        <v>2120</v>
      </c>
      <c r="I170" s="21">
        <v>574</v>
      </c>
      <c r="J170" s="89">
        <f t="shared" si="8"/>
        <v>1</v>
      </c>
      <c r="K170" s="94">
        <v>0.99959080779883103</v>
      </c>
      <c r="L170" s="94">
        <v>0.99991273655163504</v>
      </c>
      <c r="M170" s="89">
        <f t="shared" si="10"/>
        <v>0.99959080779883103</v>
      </c>
      <c r="N170" s="89">
        <f t="shared" si="9"/>
        <v>0.96361685522567275</v>
      </c>
      <c r="O170" s="89">
        <f t="shared" si="11"/>
        <v>0.96361685522567275</v>
      </c>
    </row>
    <row r="171" spans="1:15" x14ac:dyDescent="0.2">
      <c r="A171" s="21" t="s">
        <v>3069</v>
      </c>
      <c r="B171" s="21" t="s">
        <v>3666</v>
      </c>
      <c r="C171" s="21" t="s">
        <v>3667</v>
      </c>
      <c r="D171" s="21" t="s">
        <v>3104</v>
      </c>
      <c r="E171" s="21" t="s">
        <v>3105</v>
      </c>
      <c r="F171" s="21" t="s">
        <v>3264</v>
      </c>
      <c r="G171" s="21" t="s">
        <v>3265</v>
      </c>
      <c r="H171" s="21" t="s">
        <v>2120</v>
      </c>
      <c r="I171" s="21">
        <v>655</v>
      </c>
      <c r="J171" s="89">
        <f t="shared" si="8"/>
        <v>1</v>
      </c>
      <c r="K171" s="94">
        <v>1.00500439261373</v>
      </c>
      <c r="L171" s="94">
        <v>1.00474514259672</v>
      </c>
      <c r="M171" s="89">
        <f t="shared" si="10"/>
        <v>1.00500439261373</v>
      </c>
      <c r="N171" s="89">
        <f t="shared" si="9"/>
        <v>0.96883561227518755</v>
      </c>
      <c r="O171" s="89">
        <f t="shared" si="11"/>
        <v>0.96883561227518755</v>
      </c>
    </row>
    <row r="172" spans="1:15" x14ac:dyDescent="0.2">
      <c r="A172" s="21" t="s">
        <v>3528</v>
      </c>
      <c r="B172" s="21" t="s">
        <v>3734</v>
      </c>
      <c r="C172" s="21" t="s">
        <v>3735</v>
      </c>
      <c r="D172" s="21" t="s">
        <v>3106</v>
      </c>
      <c r="E172" s="21" t="s">
        <v>3107</v>
      </c>
      <c r="F172" s="21" t="s">
        <v>3266</v>
      </c>
      <c r="G172" s="21" t="s">
        <v>3267</v>
      </c>
      <c r="H172" s="21" t="s">
        <v>3532</v>
      </c>
      <c r="I172" s="21">
        <v>570</v>
      </c>
      <c r="J172" s="89">
        <f t="shared" si="8"/>
        <v>1</v>
      </c>
      <c r="K172" s="94">
        <v>1.0284600641597601</v>
      </c>
      <c r="L172" s="94">
        <v>1.0257815981484399</v>
      </c>
      <c r="M172" s="89">
        <f t="shared" si="10"/>
        <v>1.0284600641597601</v>
      </c>
      <c r="N172" s="89">
        <f t="shared" si="9"/>
        <v>0.99144714519050481</v>
      </c>
      <c r="O172" s="89">
        <f t="shared" si="11"/>
        <v>0.99144714519050481</v>
      </c>
    </row>
    <row r="173" spans="1:15" x14ac:dyDescent="0.2">
      <c r="A173" s="21" t="s">
        <v>3069</v>
      </c>
      <c r="B173" s="21" t="s">
        <v>3668</v>
      </c>
      <c r="C173" s="21" t="s">
        <v>3108</v>
      </c>
      <c r="D173" s="21" t="s">
        <v>3109</v>
      </c>
      <c r="E173" s="21" t="s">
        <v>3110</v>
      </c>
      <c r="F173" s="21" t="s">
        <v>3268</v>
      </c>
      <c r="G173" s="21" t="s">
        <v>3269</v>
      </c>
      <c r="H173" s="21" t="s">
        <v>2120</v>
      </c>
      <c r="I173" s="21">
        <v>16</v>
      </c>
      <c r="J173" s="89">
        <f t="shared" si="8"/>
        <v>4.49438202247191E-2</v>
      </c>
      <c r="K173" s="94">
        <v>1.0039385590355501</v>
      </c>
      <c r="L173" s="94">
        <v>1.0033678334868401</v>
      </c>
      <c r="M173" s="89">
        <f t="shared" si="10"/>
        <v>1.0039385590355501</v>
      </c>
      <c r="N173" s="89">
        <f t="shared" si="9"/>
        <v>0.96780813663937082</v>
      </c>
      <c r="O173" s="89">
        <f t="shared" si="11"/>
        <v>4.3496994905140259E-2</v>
      </c>
    </row>
    <row r="174" spans="1:15" x14ac:dyDescent="0.2">
      <c r="A174" s="21" t="s">
        <v>3069</v>
      </c>
      <c r="B174" s="21" t="s">
        <v>3668</v>
      </c>
      <c r="C174" s="21" t="s">
        <v>3108</v>
      </c>
      <c r="D174" s="21" t="s">
        <v>3111</v>
      </c>
      <c r="E174" s="21" t="s">
        <v>3112</v>
      </c>
      <c r="F174" s="21" t="s">
        <v>3268</v>
      </c>
      <c r="G174" s="21" t="s">
        <v>3269</v>
      </c>
      <c r="H174" s="21" t="s">
        <v>2120</v>
      </c>
      <c r="I174" s="21">
        <v>36</v>
      </c>
      <c r="J174" s="89">
        <f t="shared" si="8"/>
        <v>0.10112359550561797</v>
      </c>
      <c r="K174" s="94">
        <v>1.0039385590355501</v>
      </c>
      <c r="L174" s="94">
        <v>1.0033678334868401</v>
      </c>
      <c r="M174" s="89">
        <f t="shared" si="10"/>
        <v>1.0039385590355501</v>
      </c>
      <c r="N174" s="89">
        <f t="shared" si="9"/>
        <v>0.96780813663937082</v>
      </c>
      <c r="O174" s="89">
        <f t="shared" si="11"/>
        <v>9.786823853656558E-2</v>
      </c>
    </row>
    <row r="175" spans="1:15" x14ac:dyDescent="0.2">
      <c r="A175" s="21" t="s">
        <v>3069</v>
      </c>
      <c r="B175" s="21" t="s">
        <v>3668</v>
      </c>
      <c r="C175" s="21" t="s">
        <v>3108</v>
      </c>
      <c r="D175" s="21" t="s">
        <v>3113</v>
      </c>
      <c r="E175" s="21" t="s">
        <v>3114</v>
      </c>
      <c r="F175" s="21" t="s">
        <v>3270</v>
      </c>
      <c r="G175" s="21" t="s">
        <v>3269</v>
      </c>
      <c r="H175" s="21" t="s">
        <v>2120</v>
      </c>
      <c r="I175" s="21">
        <v>59</v>
      </c>
      <c r="J175" s="89">
        <f t="shared" si="8"/>
        <v>0.16573033707865167</v>
      </c>
      <c r="K175" s="94">
        <v>1.0048415842637901</v>
      </c>
      <c r="L175" s="94">
        <v>1.0033678334868401</v>
      </c>
      <c r="M175" s="89">
        <f t="shared" si="10"/>
        <v>1.0048415842637901</v>
      </c>
      <c r="N175" s="89">
        <f t="shared" si="9"/>
        <v>0.96867866318266937</v>
      </c>
      <c r="O175" s="89">
        <f t="shared" si="11"/>
        <v>0.16053944137016149</v>
      </c>
    </row>
    <row r="176" spans="1:15" x14ac:dyDescent="0.2">
      <c r="A176" s="21" t="s">
        <v>3069</v>
      </c>
      <c r="B176" s="21" t="s">
        <v>3668</v>
      </c>
      <c r="C176" s="21" t="s">
        <v>3108</v>
      </c>
      <c r="D176" s="21" t="s">
        <v>3115</v>
      </c>
      <c r="E176" s="21" t="s">
        <v>3116</v>
      </c>
      <c r="F176" s="21" t="s">
        <v>3271</v>
      </c>
      <c r="G176" s="21" t="s">
        <v>3272</v>
      </c>
      <c r="H176" s="21" t="s">
        <v>2120</v>
      </c>
      <c r="I176" s="21">
        <v>84</v>
      </c>
      <c r="J176" s="89">
        <f t="shared" si="8"/>
        <v>0.23595505617977527</v>
      </c>
      <c r="K176" s="94">
        <v>1.0004023744514501</v>
      </c>
      <c r="L176" s="94">
        <v>1.0003212375535799</v>
      </c>
      <c r="M176" s="89">
        <f t="shared" si="10"/>
        <v>1.0004023744514501</v>
      </c>
      <c r="N176" s="89">
        <f t="shared" si="9"/>
        <v>0.96439921466665735</v>
      </c>
      <c r="O176" s="89">
        <f t="shared" si="11"/>
        <v>0.22755487087640228</v>
      </c>
    </row>
    <row r="177" spans="1:15" x14ac:dyDescent="0.2">
      <c r="A177" s="21" t="s">
        <v>3069</v>
      </c>
      <c r="B177" s="21" t="s">
        <v>3668</v>
      </c>
      <c r="C177" s="21" t="s">
        <v>3108</v>
      </c>
      <c r="D177" s="21" t="s">
        <v>728</v>
      </c>
      <c r="E177" s="21" t="s">
        <v>729</v>
      </c>
      <c r="F177" s="21" t="s">
        <v>3271</v>
      </c>
      <c r="G177" s="21" t="s">
        <v>3272</v>
      </c>
      <c r="H177" s="21" t="s">
        <v>2120</v>
      </c>
      <c r="I177" s="21">
        <v>161</v>
      </c>
      <c r="J177" s="89">
        <f t="shared" si="8"/>
        <v>0.45224719101123595</v>
      </c>
      <c r="K177" s="94" t="e">
        <v>#N/A</v>
      </c>
      <c r="L177" s="94">
        <v>1.0003212375535799</v>
      </c>
      <c r="M177" s="89">
        <f t="shared" si="10"/>
        <v>1.0003212375535799</v>
      </c>
      <c r="N177" s="89">
        <f t="shared" si="9"/>
        <v>0.96432099777854829</v>
      </c>
      <c r="O177" s="89">
        <f t="shared" si="11"/>
        <v>0.43611146247850074</v>
      </c>
    </row>
    <row r="178" spans="1:15" x14ac:dyDescent="0.2">
      <c r="A178" s="21" t="s">
        <v>1167</v>
      </c>
      <c r="B178" s="21" t="s">
        <v>2373</v>
      </c>
      <c r="C178" s="21" t="s">
        <v>2374</v>
      </c>
      <c r="D178" s="21" t="s">
        <v>3117</v>
      </c>
      <c r="E178" s="21" t="s">
        <v>3118</v>
      </c>
      <c r="F178" s="21" t="s">
        <v>3273</v>
      </c>
      <c r="G178" s="21" t="s">
        <v>3274</v>
      </c>
      <c r="H178" s="21" t="s">
        <v>3436</v>
      </c>
      <c r="I178" s="21">
        <v>283</v>
      </c>
      <c r="J178" s="89">
        <f t="shared" si="8"/>
        <v>1</v>
      </c>
      <c r="K178" s="94">
        <v>1.2431290406593201</v>
      </c>
      <c r="L178" s="94">
        <v>1.24313919714399</v>
      </c>
      <c r="M178" s="89">
        <f t="shared" si="10"/>
        <v>1.2431290406593201</v>
      </c>
      <c r="N178" s="89">
        <f t="shared" si="9"/>
        <v>1.1983904688336433</v>
      </c>
      <c r="O178" s="89">
        <f t="shared" si="11"/>
        <v>1.1983904688336433</v>
      </c>
    </row>
    <row r="179" spans="1:15" x14ac:dyDescent="0.2">
      <c r="A179" s="21" t="s">
        <v>3034</v>
      </c>
      <c r="B179" s="21" t="s">
        <v>2337</v>
      </c>
      <c r="C179" s="21" t="s">
        <v>2338</v>
      </c>
      <c r="D179" s="21" t="s">
        <v>3119</v>
      </c>
      <c r="E179" s="21" t="s">
        <v>3120</v>
      </c>
      <c r="F179" s="21" t="s">
        <v>3275</v>
      </c>
      <c r="G179" s="21" t="s">
        <v>3276</v>
      </c>
      <c r="H179" s="21" t="s">
        <v>3044</v>
      </c>
      <c r="I179" s="21">
        <v>72</v>
      </c>
      <c r="J179" s="89">
        <f t="shared" si="8"/>
        <v>6.0050041701417846E-2</v>
      </c>
      <c r="K179" s="94">
        <v>0.96490107636380196</v>
      </c>
      <c r="L179" s="94">
        <v>0.96524783544540604</v>
      </c>
      <c r="M179" s="89">
        <f t="shared" si="10"/>
        <v>0.96490107636380196</v>
      </c>
      <c r="N179" s="89">
        <f t="shared" si="9"/>
        <v>0.93017556139499435</v>
      </c>
      <c r="O179" s="89">
        <f t="shared" si="11"/>
        <v>5.5857081251409167E-2</v>
      </c>
    </row>
    <row r="180" spans="1:15" x14ac:dyDescent="0.2">
      <c r="A180" s="21" t="s">
        <v>3034</v>
      </c>
      <c r="B180" s="21" t="s">
        <v>2337</v>
      </c>
      <c r="C180" s="21" t="s">
        <v>2338</v>
      </c>
      <c r="D180" s="21" t="s">
        <v>3121</v>
      </c>
      <c r="E180" s="21" t="s">
        <v>3122</v>
      </c>
      <c r="F180" s="21" t="s">
        <v>3277</v>
      </c>
      <c r="G180" s="21" t="s">
        <v>3278</v>
      </c>
      <c r="H180" s="21" t="s">
        <v>3044</v>
      </c>
      <c r="I180" s="21">
        <v>82</v>
      </c>
      <c r="J180" s="89">
        <f t="shared" si="8"/>
        <v>6.8390325271059219E-2</v>
      </c>
      <c r="K180" s="94">
        <v>0.96181239315357603</v>
      </c>
      <c r="L180" s="94">
        <v>0.96190312453874305</v>
      </c>
      <c r="M180" s="89">
        <f t="shared" si="10"/>
        <v>0.96181239315357603</v>
      </c>
      <c r="N180" s="89">
        <f t="shared" si="9"/>
        <v>0.92719803581292115</v>
      </c>
      <c r="O180" s="89">
        <f t="shared" si="11"/>
        <v>6.3411375259932887E-2</v>
      </c>
    </row>
    <row r="181" spans="1:15" x14ac:dyDescent="0.2">
      <c r="A181" s="21" t="s">
        <v>3034</v>
      </c>
      <c r="B181" s="21" t="s">
        <v>2337</v>
      </c>
      <c r="C181" s="21" t="s">
        <v>2338</v>
      </c>
      <c r="D181" s="21" t="s">
        <v>3123</v>
      </c>
      <c r="E181" s="21" t="s">
        <v>3124</v>
      </c>
      <c r="F181" s="21" t="s">
        <v>3279</v>
      </c>
      <c r="G181" s="21" t="s">
        <v>3280</v>
      </c>
      <c r="H181" s="21" t="s">
        <v>3638</v>
      </c>
      <c r="I181" s="21">
        <v>305</v>
      </c>
      <c r="J181" s="89">
        <f t="shared" si="8"/>
        <v>0.2543786488740617</v>
      </c>
      <c r="K181" s="94">
        <v>0.960460426820132</v>
      </c>
      <c r="L181" s="94">
        <v>0.96048630772915999</v>
      </c>
      <c r="M181" s="89">
        <f t="shared" si="10"/>
        <v>0.960460426820132</v>
      </c>
      <c r="N181" s="89">
        <f t="shared" si="9"/>
        <v>0.92589472496168079</v>
      </c>
      <c r="O181" s="89">
        <f t="shared" si="11"/>
        <v>0.23552784913537333</v>
      </c>
    </row>
    <row r="182" spans="1:15" x14ac:dyDescent="0.2">
      <c r="A182" s="21" t="s">
        <v>3034</v>
      </c>
      <c r="B182" s="21" t="s">
        <v>2337</v>
      </c>
      <c r="C182" s="21" t="s">
        <v>2338</v>
      </c>
      <c r="D182" s="21" t="s">
        <v>3125</v>
      </c>
      <c r="E182" s="21" t="s">
        <v>3126</v>
      </c>
      <c r="F182" s="21" t="s">
        <v>3281</v>
      </c>
      <c r="G182" s="21" t="s">
        <v>3282</v>
      </c>
      <c r="H182" s="21" t="s">
        <v>3044</v>
      </c>
      <c r="I182" s="21">
        <v>740</v>
      </c>
      <c r="J182" s="89">
        <f t="shared" si="8"/>
        <v>0.61718098415346123</v>
      </c>
      <c r="K182" s="94">
        <v>0.96602114072888301</v>
      </c>
      <c r="L182" s="94">
        <v>0.96596649212024599</v>
      </c>
      <c r="M182" s="89">
        <f t="shared" si="10"/>
        <v>0.96602114072888301</v>
      </c>
      <c r="N182" s="89">
        <f t="shared" si="9"/>
        <v>0.93125531612333812</v>
      </c>
      <c r="O182" s="89">
        <f t="shared" si="11"/>
        <v>0.57475307250314445</v>
      </c>
    </row>
    <row r="183" spans="1:15" x14ac:dyDescent="0.2">
      <c r="A183" s="21" t="s">
        <v>1167</v>
      </c>
      <c r="B183" s="21" t="s">
        <v>401</v>
      </c>
      <c r="C183" s="21" t="s">
        <v>402</v>
      </c>
      <c r="D183" s="21" t="s">
        <v>3127</v>
      </c>
      <c r="E183" s="21" t="s">
        <v>3128</v>
      </c>
      <c r="F183" s="21" t="s">
        <v>3283</v>
      </c>
      <c r="G183" s="21" t="s">
        <v>3284</v>
      </c>
      <c r="H183" s="21" t="s">
        <v>3460</v>
      </c>
      <c r="I183" s="21">
        <v>53</v>
      </c>
      <c r="J183" s="89">
        <f t="shared" si="8"/>
        <v>1</v>
      </c>
      <c r="K183" s="94" t="e">
        <v>#N/A</v>
      </c>
      <c r="L183" s="94">
        <v>1.24060940130493</v>
      </c>
      <c r="M183" s="89">
        <f t="shared" si="10"/>
        <v>1.24060940130493</v>
      </c>
      <c r="N183" s="89">
        <f>M183/M$757</f>
        <v>1.1959615079708212</v>
      </c>
      <c r="O183" s="89">
        <f t="shared" si="11"/>
        <v>1.1959615079708212</v>
      </c>
    </row>
    <row r="184" spans="1:15" x14ac:dyDescent="0.2">
      <c r="A184" s="21" t="s">
        <v>3496</v>
      </c>
      <c r="B184" s="21" t="s">
        <v>387</v>
      </c>
      <c r="C184" s="21" t="s">
        <v>388</v>
      </c>
      <c r="D184" s="21" t="s">
        <v>728</v>
      </c>
      <c r="E184" s="21" t="s">
        <v>729</v>
      </c>
      <c r="F184" s="21" t="s">
        <v>3285</v>
      </c>
      <c r="G184" s="21" t="s">
        <v>3286</v>
      </c>
      <c r="H184" s="21" t="s">
        <v>3510</v>
      </c>
      <c r="I184" s="21">
        <v>7</v>
      </c>
      <c r="J184" s="89">
        <f t="shared" si="8"/>
        <v>1.12E-2</v>
      </c>
      <c r="K184" s="94" t="e">
        <v>#N/A</v>
      </c>
      <c r="L184" s="94">
        <v>1.07182592532445</v>
      </c>
      <c r="M184" s="89">
        <f t="shared" si="10"/>
        <v>1.07182592532445</v>
      </c>
      <c r="N184" s="89">
        <f t="shared" si="9"/>
        <v>1.0332523263042566</v>
      </c>
      <c r="O184" s="89">
        <f t="shared" si="11"/>
        <v>1.1572426054607673E-2</v>
      </c>
    </row>
    <row r="185" spans="1:15" x14ac:dyDescent="0.2">
      <c r="A185" s="21" t="s">
        <v>3496</v>
      </c>
      <c r="B185" s="21" t="s">
        <v>387</v>
      </c>
      <c r="C185" s="21" t="s">
        <v>388</v>
      </c>
      <c r="D185" s="21" t="s">
        <v>3129</v>
      </c>
      <c r="E185" s="21" t="s">
        <v>3130</v>
      </c>
      <c r="F185" s="21" t="s">
        <v>3285</v>
      </c>
      <c r="G185" s="21" t="s">
        <v>3286</v>
      </c>
      <c r="H185" s="21" t="s">
        <v>3510</v>
      </c>
      <c r="I185" s="21">
        <v>618</v>
      </c>
      <c r="J185" s="89">
        <f t="shared" si="8"/>
        <v>0.98880000000000001</v>
      </c>
      <c r="K185" s="94">
        <v>1.07132483234858</v>
      </c>
      <c r="L185" s="94">
        <v>1.07182592532445</v>
      </c>
      <c r="M185" s="89">
        <f t="shared" si="10"/>
        <v>1.07132483234858</v>
      </c>
      <c r="N185" s="89">
        <f t="shared" si="9"/>
        <v>1.0327692670025741</v>
      </c>
      <c r="O185" s="89">
        <f t="shared" si="11"/>
        <v>1.0212022512121453</v>
      </c>
    </row>
    <row r="186" spans="1:15" x14ac:dyDescent="0.2">
      <c r="A186" s="21" t="s">
        <v>3496</v>
      </c>
      <c r="B186" s="21" t="s">
        <v>3704</v>
      </c>
      <c r="C186" s="21" t="s">
        <v>3705</v>
      </c>
      <c r="D186" s="21" t="s">
        <v>3131</v>
      </c>
      <c r="E186" s="21" t="s">
        <v>3132</v>
      </c>
      <c r="F186" s="21" t="s">
        <v>3287</v>
      </c>
      <c r="G186" s="21" t="s">
        <v>3288</v>
      </c>
      <c r="H186" s="21" t="s">
        <v>3512</v>
      </c>
      <c r="I186" s="21">
        <v>80</v>
      </c>
      <c r="J186" s="89">
        <f t="shared" si="8"/>
        <v>1</v>
      </c>
      <c r="K186" s="94">
        <v>1.1450361510681499</v>
      </c>
      <c r="L186" s="94">
        <v>1.1400410009699</v>
      </c>
      <c r="M186" s="89">
        <f t="shared" si="10"/>
        <v>1.1450361510681499</v>
      </c>
      <c r="N186" s="89">
        <f t="shared" si="9"/>
        <v>1.1038278127444074</v>
      </c>
      <c r="O186" s="89">
        <f t="shared" si="11"/>
        <v>1.1038278127444074</v>
      </c>
    </row>
    <row r="187" spans="1:15" x14ac:dyDescent="0.2">
      <c r="A187" s="21" t="s">
        <v>1167</v>
      </c>
      <c r="B187" s="21" t="s">
        <v>3688</v>
      </c>
      <c r="C187" s="21" t="s">
        <v>3689</v>
      </c>
      <c r="D187" s="21" t="s">
        <v>3133</v>
      </c>
      <c r="E187" s="21" t="s">
        <v>3134</v>
      </c>
      <c r="F187" s="21" t="s">
        <v>3289</v>
      </c>
      <c r="G187" s="21" t="s">
        <v>3290</v>
      </c>
      <c r="H187" s="21" t="s">
        <v>465</v>
      </c>
      <c r="I187" s="21">
        <v>40</v>
      </c>
      <c r="J187" s="89">
        <f t="shared" si="8"/>
        <v>8.0645161290322578E-2</v>
      </c>
      <c r="K187" s="94">
        <v>1.2029408267987201</v>
      </c>
      <c r="L187" s="94">
        <v>1.20342817213719</v>
      </c>
      <c r="M187" s="89">
        <f t="shared" si="10"/>
        <v>1.2029408267987201</v>
      </c>
      <c r="N187" s="89">
        <f t="shared" si="9"/>
        <v>1.1596485756956247</v>
      </c>
      <c r="O187" s="89">
        <f t="shared" si="11"/>
        <v>9.3520046427066503E-2</v>
      </c>
    </row>
    <row r="188" spans="1:15" x14ac:dyDescent="0.2">
      <c r="A188" s="21" t="s">
        <v>1167</v>
      </c>
      <c r="B188" s="21" t="s">
        <v>3688</v>
      </c>
      <c r="C188" s="21" t="s">
        <v>3689</v>
      </c>
      <c r="D188" s="21" t="s">
        <v>3135</v>
      </c>
      <c r="E188" s="21" t="s">
        <v>3136</v>
      </c>
      <c r="F188" s="21" t="s">
        <v>3291</v>
      </c>
      <c r="G188" s="21" t="s">
        <v>3292</v>
      </c>
      <c r="H188" s="21" t="s">
        <v>465</v>
      </c>
      <c r="I188" s="21">
        <v>45</v>
      </c>
      <c r="J188" s="89">
        <f t="shared" si="8"/>
        <v>9.0725806451612906E-2</v>
      </c>
      <c r="K188" s="94">
        <v>1.2141755562885399</v>
      </c>
      <c r="L188" s="94">
        <v>1.21399112039535</v>
      </c>
      <c r="M188" s="89">
        <f t="shared" si="10"/>
        <v>1.2141755562885399</v>
      </c>
      <c r="N188" s="89">
        <f t="shared" si="9"/>
        <v>1.1704789821137578</v>
      </c>
      <c r="O188" s="89">
        <f t="shared" si="11"/>
        <v>0.10619264958693367</v>
      </c>
    </row>
    <row r="189" spans="1:15" x14ac:dyDescent="0.2">
      <c r="A189" s="21" t="s">
        <v>1167</v>
      </c>
      <c r="B189" s="21" t="s">
        <v>3688</v>
      </c>
      <c r="C189" s="21" t="s">
        <v>3689</v>
      </c>
      <c r="D189" s="21" t="s">
        <v>728</v>
      </c>
      <c r="E189" s="21" t="s">
        <v>729</v>
      </c>
      <c r="F189" s="21" t="s">
        <v>3293</v>
      </c>
      <c r="G189" s="21" t="s">
        <v>3294</v>
      </c>
      <c r="H189" s="21" t="s">
        <v>3470</v>
      </c>
      <c r="I189" s="21">
        <v>64</v>
      </c>
      <c r="J189" s="89">
        <f t="shared" si="8"/>
        <v>0.12903225806451613</v>
      </c>
      <c r="K189" s="94" t="e">
        <v>#N/A</v>
      </c>
      <c r="L189" s="94">
        <v>1.1727243971747801</v>
      </c>
      <c r="M189" s="89">
        <f t="shared" si="10"/>
        <v>1.1727243971747801</v>
      </c>
      <c r="N189" s="89">
        <f t="shared" si="9"/>
        <v>1.1305195954537126</v>
      </c>
      <c r="O189" s="89">
        <f t="shared" si="11"/>
        <v>0.14587349618757581</v>
      </c>
    </row>
    <row r="190" spans="1:15" x14ac:dyDescent="0.2">
      <c r="A190" s="21" t="s">
        <v>1167</v>
      </c>
      <c r="B190" s="21" t="s">
        <v>3688</v>
      </c>
      <c r="C190" s="21" t="s">
        <v>3689</v>
      </c>
      <c r="D190" s="21" t="s">
        <v>3137</v>
      </c>
      <c r="E190" s="21" t="s">
        <v>3138</v>
      </c>
      <c r="F190" s="21" t="s">
        <v>963</v>
      </c>
      <c r="G190" s="21" t="s">
        <v>964</v>
      </c>
      <c r="H190" s="21" t="s">
        <v>3474</v>
      </c>
      <c r="I190" s="21">
        <v>71</v>
      </c>
      <c r="J190" s="89">
        <f t="shared" si="8"/>
        <v>0.14314516129032259</v>
      </c>
      <c r="K190" s="94">
        <v>1.2002681632591901</v>
      </c>
      <c r="L190" s="94">
        <v>1.2017277636799399</v>
      </c>
      <c r="M190" s="89">
        <f t="shared" si="10"/>
        <v>1.2002681632591901</v>
      </c>
      <c r="N190" s="89">
        <f t="shared" si="9"/>
        <v>1.1570720977859192</v>
      </c>
      <c r="O190" s="89">
        <f t="shared" si="11"/>
        <v>0.16562927206209732</v>
      </c>
    </row>
    <row r="191" spans="1:15" x14ac:dyDescent="0.2">
      <c r="A191" s="21" t="s">
        <v>1167</v>
      </c>
      <c r="B191" s="21" t="s">
        <v>3688</v>
      </c>
      <c r="C191" s="21" t="s">
        <v>3689</v>
      </c>
      <c r="D191" s="21" t="s">
        <v>3139</v>
      </c>
      <c r="E191" s="21" t="s">
        <v>3140</v>
      </c>
      <c r="F191" s="21" t="s">
        <v>3295</v>
      </c>
      <c r="G191" s="21" t="s">
        <v>3294</v>
      </c>
      <c r="H191" s="21" t="s">
        <v>3470</v>
      </c>
      <c r="I191" s="21">
        <v>84</v>
      </c>
      <c r="J191" s="89">
        <f t="shared" si="8"/>
        <v>0.16935483870967741</v>
      </c>
      <c r="K191" s="94">
        <v>1.1827169596651099</v>
      </c>
      <c r="L191" s="94">
        <v>1.1727243971747801</v>
      </c>
      <c r="M191" s="89">
        <f t="shared" si="10"/>
        <v>1.1827169596651099</v>
      </c>
      <c r="N191" s="89">
        <f t="shared" si="9"/>
        <v>1.1401525388215907</v>
      </c>
      <c r="O191" s="89">
        <f t="shared" si="11"/>
        <v>0.19309034931655972</v>
      </c>
    </row>
    <row r="192" spans="1:15" x14ac:dyDescent="0.2">
      <c r="A192" s="21" t="s">
        <v>1167</v>
      </c>
      <c r="B192" s="21" t="s">
        <v>3688</v>
      </c>
      <c r="C192" s="21" t="s">
        <v>3689</v>
      </c>
      <c r="D192" s="21" t="s">
        <v>3141</v>
      </c>
      <c r="E192" s="21" t="s">
        <v>3142</v>
      </c>
      <c r="F192" s="21" t="s">
        <v>3296</v>
      </c>
      <c r="G192" s="21" t="s">
        <v>941</v>
      </c>
      <c r="H192" s="21" t="s">
        <v>458</v>
      </c>
      <c r="I192" s="21">
        <v>93</v>
      </c>
      <c r="J192" s="89">
        <f t="shared" si="8"/>
        <v>0.1875</v>
      </c>
      <c r="K192" s="94">
        <v>1.20067786734364</v>
      </c>
      <c r="L192" s="94">
        <v>1.1992342618804199</v>
      </c>
      <c r="M192" s="89">
        <f t="shared" si="10"/>
        <v>1.20067786734364</v>
      </c>
      <c r="N192" s="89">
        <f t="shared" si="9"/>
        <v>1.1574670571616463</v>
      </c>
      <c r="O192" s="89">
        <f t="shared" si="11"/>
        <v>0.21702507321780867</v>
      </c>
    </row>
    <row r="193" spans="1:15" x14ac:dyDescent="0.2">
      <c r="A193" s="21" t="s">
        <v>1167</v>
      </c>
      <c r="B193" s="21" t="s">
        <v>3688</v>
      </c>
      <c r="C193" s="21" t="s">
        <v>3689</v>
      </c>
      <c r="D193" s="21" t="s">
        <v>3143</v>
      </c>
      <c r="E193" s="21" t="s">
        <v>3144</v>
      </c>
      <c r="F193" s="21" t="s">
        <v>936</v>
      </c>
      <c r="G193" s="21" t="s">
        <v>937</v>
      </c>
      <c r="H193" s="21" t="s">
        <v>465</v>
      </c>
      <c r="I193" s="21">
        <v>99</v>
      </c>
      <c r="J193" s="89">
        <f t="shared" si="8"/>
        <v>0.19959677419354838</v>
      </c>
      <c r="K193" s="94">
        <v>1.2177940769172</v>
      </c>
      <c r="L193" s="94">
        <v>1.21693369313512</v>
      </c>
      <c r="M193" s="89">
        <f t="shared" si="10"/>
        <v>1.2177940769172</v>
      </c>
      <c r="N193" s="89">
        <f t="shared" si="9"/>
        <v>1.1739672769655651</v>
      </c>
      <c r="O193" s="89">
        <f t="shared" si="11"/>
        <v>0.23432008149111078</v>
      </c>
    </row>
    <row r="194" spans="1:15" x14ac:dyDescent="0.2">
      <c r="A194" s="21" t="s">
        <v>3496</v>
      </c>
      <c r="B194" s="21" t="s">
        <v>685</v>
      </c>
      <c r="C194" s="21" t="s">
        <v>3145</v>
      </c>
      <c r="D194" s="21" t="s">
        <v>3146</v>
      </c>
      <c r="E194" s="21" t="s">
        <v>3147</v>
      </c>
      <c r="F194" s="21" t="s">
        <v>3297</v>
      </c>
      <c r="G194" s="21" t="s">
        <v>3298</v>
      </c>
      <c r="H194" s="21" t="s">
        <v>3512</v>
      </c>
      <c r="I194" s="21">
        <v>131</v>
      </c>
      <c r="J194" s="89">
        <f t="shared" ref="J194:J257" si="12">I194/SUMIF(B:B,B194,I:I)</f>
        <v>0.13435897435897437</v>
      </c>
      <c r="K194" s="94" t="e">
        <v>#N/A</v>
      </c>
      <c r="L194" s="94">
        <v>1.02012477487805</v>
      </c>
      <c r="M194" s="89">
        <f t="shared" si="10"/>
        <v>1.02012477487805</v>
      </c>
      <c r="N194" s="89">
        <f t="shared" ref="N194:N257" si="13">M194/M$757</f>
        <v>0.98341183195795834</v>
      </c>
      <c r="O194" s="89">
        <f t="shared" si="11"/>
        <v>0.13213020511435133</v>
      </c>
    </row>
    <row r="195" spans="1:15" x14ac:dyDescent="0.2">
      <c r="A195" s="21" t="s">
        <v>3496</v>
      </c>
      <c r="B195" s="21" t="s">
        <v>685</v>
      </c>
      <c r="C195" s="21" t="s">
        <v>3145</v>
      </c>
      <c r="D195" s="21" t="s">
        <v>3148</v>
      </c>
      <c r="E195" s="21" t="s">
        <v>3149</v>
      </c>
      <c r="F195" s="21" t="s">
        <v>3299</v>
      </c>
      <c r="G195" s="21" t="s">
        <v>3300</v>
      </c>
      <c r="H195" s="21" t="s">
        <v>3512</v>
      </c>
      <c r="I195" s="21">
        <v>443</v>
      </c>
      <c r="J195" s="89">
        <f t="shared" si="12"/>
        <v>0.45435897435897438</v>
      </c>
      <c r="K195" s="94" t="e">
        <v>#N/A</v>
      </c>
      <c r="L195" s="94">
        <v>1.02453192881122</v>
      </c>
      <c r="M195" s="89">
        <f t="shared" ref="M195:M258" si="14">IF(ISNA(K195),L195,K195)</f>
        <v>1.02453192881122</v>
      </c>
      <c r="N195" s="89">
        <f t="shared" si="13"/>
        <v>0.98766037824354147</v>
      </c>
      <c r="O195" s="89">
        <f t="shared" ref="O195:O258" si="15">N195*J195</f>
        <v>0.44875235647373218</v>
      </c>
    </row>
    <row r="196" spans="1:15" x14ac:dyDescent="0.2">
      <c r="A196" s="21" t="s">
        <v>3496</v>
      </c>
      <c r="B196" s="21" t="s">
        <v>685</v>
      </c>
      <c r="C196" s="21" t="s">
        <v>3150</v>
      </c>
      <c r="D196" s="21" t="s">
        <v>3151</v>
      </c>
      <c r="E196" s="21" t="s">
        <v>3152</v>
      </c>
      <c r="F196" s="21" t="s">
        <v>3301</v>
      </c>
      <c r="G196" s="21" t="s">
        <v>3302</v>
      </c>
      <c r="H196" s="21" t="s">
        <v>3512</v>
      </c>
      <c r="I196" s="21">
        <v>401</v>
      </c>
      <c r="J196" s="89">
        <f t="shared" si="12"/>
        <v>0.41128205128205131</v>
      </c>
      <c r="K196" s="94" t="e">
        <v>#N/A</v>
      </c>
      <c r="L196" s="94">
        <v>1.0520638336677599</v>
      </c>
      <c r="M196" s="89">
        <f t="shared" si="14"/>
        <v>1.0520638336677599</v>
      </c>
      <c r="N196" s="89">
        <f t="shared" si="13"/>
        <v>1.0142014462177986</v>
      </c>
      <c r="O196" s="89">
        <f t="shared" si="15"/>
        <v>0.41712285121367926</v>
      </c>
    </row>
    <row r="197" spans="1:15" x14ac:dyDescent="0.2">
      <c r="A197" s="21" t="s">
        <v>1167</v>
      </c>
      <c r="B197" s="21" t="s">
        <v>612</v>
      </c>
      <c r="C197" s="21" t="s">
        <v>613</v>
      </c>
      <c r="D197" s="21" t="s">
        <v>3153</v>
      </c>
      <c r="E197" s="21" t="s">
        <v>3154</v>
      </c>
      <c r="F197" s="21" t="s">
        <v>3303</v>
      </c>
      <c r="G197" s="21" t="s">
        <v>3304</v>
      </c>
      <c r="H197" s="21" t="s">
        <v>3439</v>
      </c>
      <c r="I197" s="21">
        <v>81</v>
      </c>
      <c r="J197" s="89">
        <f t="shared" si="12"/>
        <v>0.39705882352941174</v>
      </c>
      <c r="K197" s="94">
        <v>1.24330663868811</v>
      </c>
      <c r="L197" s="94">
        <v>1.2431188667289199</v>
      </c>
      <c r="M197" s="89">
        <f t="shared" si="14"/>
        <v>1.24330663868811</v>
      </c>
      <c r="N197" s="89">
        <f t="shared" si="13"/>
        <v>1.1985616753440091</v>
      </c>
      <c r="O197" s="89">
        <f t="shared" si="15"/>
        <v>0.47589948873953303</v>
      </c>
    </row>
    <row r="198" spans="1:15" x14ac:dyDescent="0.2">
      <c r="A198" s="21" t="s">
        <v>1167</v>
      </c>
      <c r="B198" s="21" t="s">
        <v>612</v>
      </c>
      <c r="C198" s="21" t="s">
        <v>613</v>
      </c>
      <c r="D198" s="21" t="s">
        <v>3155</v>
      </c>
      <c r="E198" s="21" t="s">
        <v>3156</v>
      </c>
      <c r="F198" s="21" t="s">
        <v>3305</v>
      </c>
      <c r="G198" s="21" t="s">
        <v>3306</v>
      </c>
      <c r="H198" s="21" t="s">
        <v>3444</v>
      </c>
      <c r="I198" s="21">
        <v>123</v>
      </c>
      <c r="J198" s="89">
        <f t="shared" si="12"/>
        <v>0.6029411764705882</v>
      </c>
      <c r="K198" s="94">
        <v>1.2139935908594099</v>
      </c>
      <c r="L198" s="94">
        <v>1.21563421047158</v>
      </c>
      <c r="M198" s="89">
        <f t="shared" si="14"/>
        <v>1.2139935908594099</v>
      </c>
      <c r="N198" s="89">
        <f t="shared" si="13"/>
        <v>1.1703035653800204</v>
      </c>
      <c r="O198" s="89">
        <f t="shared" si="15"/>
        <v>0.70562420853795349</v>
      </c>
    </row>
    <row r="199" spans="1:15" x14ac:dyDescent="0.2">
      <c r="A199" s="21" t="s">
        <v>2133</v>
      </c>
      <c r="B199" s="21" t="s">
        <v>2279</v>
      </c>
      <c r="C199" s="21" t="s">
        <v>2280</v>
      </c>
      <c r="D199" s="21" t="s">
        <v>3157</v>
      </c>
      <c r="E199" s="21" t="s">
        <v>3158</v>
      </c>
      <c r="F199" s="21" t="s">
        <v>3307</v>
      </c>
      <c r="G199" s="21" t="s">
        <v>3308</v>
      </c>
      <c r="H199" s="21" t="s">
        <v>2138</v>
      </c>
      <c r="I199" s="21">
        <v>44</v>
      </c>
      <c r="J199" s="89">
        <f t="shared" si="12"/>
        <v>0.17741935483870969</v>
      </c>
      <c r="K199" s="94">
        <v>0.98313760982169796</v>
      </c>
      <c r="L199" s="94">
        <v>0.98325352018544598</v>
      </c>
      <c r="M199" s="89">
        <f t="shared" si="14"/>
        <v>0.98313760982169796</v>
      </c>
      <c r="N199" s="89">
        <f t="shared" si="13"/>
        <v>0.9477557861067567</v>
      </c>
      <c r="O199" s="89">
        <f t="shared" si="15"/>
        <v>0.1681502201157149</v>
      </c>
    </row>
    <row r="200" spans="1:15" x14ac:dyDescent="0.2">
      <c r="A200" s="21" t="s">
        <v>2133</v>
      </c>
      <c r="B200" s="21" t="s">
        <v>2279</v>
      </c>
      <c r="C200" s="21" t="s">
        <v>2280</v>
      </c>
      <c r="D200" s="21" t="s">
        <v>3159</v>
      </c>
      <c r="E200" s="21" t="s">
        <v>3160</v>
      </c>
      <c r="F200" s="21" t="s">
        <v>3309</v>
      </c>
      <c r="G200" s="21" t="s">
        <v>3310</v>
      </c>
      <c r="H200" s="21" t="s">
        <v>2135</v>
      </c>
      <c r="I200" s="21">
        <v>204</v>
      </c>
      <c r="J200" s="89">
        <f t="shared" si="12"/>
        <v>0.82258064516129037</v>
      </c>
      <c r="K200" s="94">
        <v>0.98212108316753799</v>
      </c>
      <c r="L200" s="94">
        <v>0.98206353531417501</v>
      </c>
      <c r="M200" s="89">
        <f t="shared" si="14"/>
        <v>0.98212108316753799</v>
      </c>
      <c r="N200" s="89">
        <f t="shared" si="13"/>
        <v>0.94677584290390582</v>
      </c>
      <c r="O200" s="89">
        <f t="shared" si="15"/>
        <v>0.7787994836790193</v>
      </c>
    </row>
    <row r="201" spans="1:15" x14ac:dyDescent="0.2">
      <c r="A201" s="21" t="s">
        <v>2975</v>
      </c>
      <c r="B201" s="21" t="s">
        <v>3722</v>
      </c>
      <c r="C201" s="21" t="s">
        <v>3723</v>
      </c>
      <c r="D201" s="21" t="s">
        <v>3161</v>
      </c>
      <c r="E201" s="21" t="s">
        <v>3162</v>
      </c>
      <c r="F201" s="21" t="s">
        <v>3311</v>
      </c>
      <c r="G201" s="21" t="s">
        <v>1077</v>
      </c>
      <c r="H201" s="21" t="s">
        <v>2979</v>
      </c>
      <c r="I201" s="21">
        <v>174</v>
      </c>
      <c r="J201" s="89">
        <f t="shared" si="12"/>
        <v>0.17452357071213642</v>
      </c>
      <c r="K201" s="94">
        <v>0.97901192559054795</v>
      </c>
      <c r="L201" s="94">
        <v>0.97913159574725595</v>
      </c>
      <c r="M201" s="89">
        <f t="shared" si="14"/>
        <v>0.97901192559054795</v>
      </c>
      <c r="N201" s="89">
        <f t="shared" si="13"/>
        <v>0.94377857980047886</v>
      </c>
      <c r="O201" s="89">
        <f t="shared" si="15"/>
        <v>0.16471160770840856</v>
      </c>
    </row>
    <row r="202" spans="1:15" x14ac:dyDescent="0.2">
      <c r="A202" s="21" t="s">
        <v>2975</v>
      </c>
      <c r="B202" s="21" t="s">
        <v>3722</v>
      </c>
      <c r="C202" s="21" t="s">
        <v>3723</v>
      </c>
      <c r="D202" s="21" t="s">
        <v>3163</v>
      </c>
      <c r="E202" s="21" t="s">
        <v>3164</v>
      </c>
      <c r="F202" s="21" t="s">
        <v>3312</v>
      </c>
      <c r="G202" s="21" t="s">
        <v>3313</v>
      </c>
      <c r="H202" s="21" t="s">
        <v>2979</v>
      </c>
      <c r="I202" s="21">
        <v>823</v>
      </c>
      <c r="J202" s="89">
        <f t="shared" si="12"/>
        <v>0.82547642928786358</v>
      </c>
      <c r="K202" s="94">
        <v>0.97633889932606899</v>
      </c>
      <c r="L202" s="94">
        <v>0.97656546394629995</v>
      </c>
      <c r="M202" s="89">
        <f t="shared" si="14"/>
        <v>0.97633889932606899</v>
      </c>
      <c r="N202" s="89">
        <f t="shared" si="13"/>
        <v>0.94120175221981617</v>
      </c>
      <c r="O202" s="89">
        <f t="shared" si="15"/>
        <v>0.77693986166189433</v>
      </c>
    </row>
    <row r="203" spans="1:15" x14ac:dyDescent="0.2">
      <c r="A203" s="21" t="s">
        <v>1127</v>
      </c>
      <c r="B203" s="21" t="s">
        <v>393</v>
      </c>
      <c r="C203" s="21" t="s">
        <v>394</v>
      </c>
      <c r="D203" s="21" t="s">
        <v>3165</v>
      </c>
      <c r="E203" s="21" t="s">
        <v>3166</v>
      </c>
      <c r="F203" s="21" t="s">
        <v>3314</v>
      </c>
      <c r="G203" s="21" t="s">
        <v>3315</v>
      </c>
      <c r="H203" s="21" t="s">
        <v>1151</v>
      </c>
      <c r="I203" s="21">
        <v>24</v>
      </c>
      <c r="J203" s="89">
        <f t="shared" si="12"/>
        <v>3.0927835051546393E-2</v>
      </c>
      <c r="K203" s="94">
        <v>1.03430264134921</v>
      </c>
      <c r="L203" s="94">
        <v>1.0363991425866601</v>
      </c>
      <c r="M203" s="89">
        <f t="shared" si="14"/>
        <v>1.03430264134921</v>
      </c>
      <c r="N203" s="89">
        <f t="shared" si="13"/>
        <v>0.99707945574576962</v>
      </c>
      <c r="O203" s="89">
        <f t="shared" si="15"/>
        <v>3.0837508940590813E-2</v>
      </c>
    </row>
    <row r="204" spans="1:15" x14ac:dyDescent="0.2">
      <c r="A204" s="21" t="s">
        <v>1127</v>
      </c>
      <c r="B204" s="21" t="s">
        <v>393</v>
      </c>
      <c r="C204" s="21" t="s">
        <v>394</v>
      </c>
      <c r="D204" s="21" t="s">
        <v>3167</v>
      </c>
      <c r="E204" s="21" t="s">
        <v>3168</v>
      </c>
      <c r="F204" s="21" t="s">
        <v>3316</v>
      </c>
      <c r="G204" s="21" t="s">
        <v>3317</v>
      </c>
      <c r="H204" s="21" t="s">
        <v>1151</v>
      </c>
      <c r="I204" s="21">
        <v>26</v>
      </c>
      <c r="J204" s="89">
        <f t="shared" si="12"/>
        <v>3.3505154639175257E-2</v>
      </c>
      <c r="K204" s="94">
        <v>1.0411106187129</v>
      </c>
      <c r="L204" s="94">
        <v>1.04172870252914</v>
      </c>
      <c r="M204" s="89">
        <f t="shared" si="14"/>
        <v>1.0411106187129</v>
      </c>
      <c r="N204" s="89">
        <f t="shared" si="13"/>
        <v>1.0036424229984324</v>
      </c>
      <c r="O204" s="89">
        <f t="shared" si="15"/>
        <v>3.3627194584999021E-2</v>
      </c>
    </row>
    <row r="205" spans="1:15" x14ac:dyDescent="0.2">
      <c r="A205" s="21" t="s">
        <v>1127</v>
      </c>
      <c r="B205" s="21" t="s">
        <v>393</v>
      </c>
      <c r="C205" s="21" t="s">
        <v>394</v>
      </c>
      <c r="D205" s="21" t="s">
        <v>3169</v>
      </c>
      <c r="E205" s="21" t="s">
        <v>3170</v>
      </c>
      <c r="F205" s="21" t="s">
        <v>3318</v>
      </c>
      <c r="G205" s="21" t="s">
        <v>3319</v>
      </c>
      <c r="H205" s="21" t="s">
        <v>1151</v>
      </c>
      <c r="I205" s="21">
        <v>129</v>
      </c>
      <c r="J205" s="89">
        <f t="shared" si="12"/>
        <v>0.16623711340206185</v>
      </c>
      <c r="K205" s="94">
        <v>1.08276835970798</v>
      </c>
      <c r="L205" s="94">
        <v>1.07695465888599</v>
      </c>
      <c r="M205" s="89">
        <f t="shared" si="14"/>
        <v>1.08276835970798</v>
      </c>
      <c r="N205" s="89">
        <f t="shared" si="13"/>
        <v>1.0438009569308124</v>
      </c>
      <c r="O205" s="89">
        <f t="shared" si="15"/>
        <v>0.17351845804648813</v>
      </c>
    </row>
    <row r="206" spans="1:15" x14ac:dyDescent="0.2">
      <c r="A206" s="21" t="s">
        <v>1127</v>
      </c>
      <c r="B206" s="21" t="s">
        <v>393</v>
      </c>
      <c r="C206" s="21" t="s">
        <v>394</v>
      </c>
      <c r="D206" s="21" t="s">
        <v>3171</v>
      </c>
      <c r="E206" s="21" t="s">
        <v>3172</v>
      </c>
      <c r="F206" s="21" t="s">
        <v>3320</v>
      </c>
      <c r="G206" s="21" t="s">
        <v>3321</v>
      </c>
      <c r="H206" s="21" t="s">
        <v>1151</v>
      </c>
      <c r="I206" s="21">
        <v>597</v>
      </c>
      <c r="J206" s="89">
        <f t="shared" si="12"/>
        <v>0.76932989690721654</v>
      </c>
      <c r="K206" s="94">
        <v>1.0659928728738</v>
      </c>
      <c r="L206" s="94">
        <v>1.0655049709648901</v>
      </c>
      <c r="M206" s="89">
        <f t="shared" si="14"/>
        <v>1.0659928728738</v>
      </c>
      <c r="N206" s="89">
        <f t="shared" si="13"/>
        <v>1.0276291977050258</v>
      </c>
      <c r="O206" s="89">
        <f t="shared" si="15"/>
        <v>0.79058586472925318</v>
      </c>
    </row>
    <row r="207" spans="1:15" x14ac:dyDescent="0.2">
      <c r="A207" s="21" t="s">
        <v>1167</v>
      </c>
      <c r="B207" s="21" t="s">
        <v>2316</v>
      </c>
      <c r="C207" s="21" t="s">
        <v>2317</v>
      </c>
      <c r="D207" s="21" t="s">
        <v>3173</v>
      </c>
      <c r="E207" s="21" t="s">
        <v>3174</v>
      </c>
      <c r="F207" s="21" t="s">
        <v>3322</v>
      </c>
      <c r="G207" s="21" t="s">
        <v>3323</v>
      </c>
      <c r="H207" s="21" t="s">
        <v>3439</v>
      </c>
      <c r="I207" s="21">
        <v>429</v>
      </c>
      <c r="J207" s="89">
        <f t="shared" si="12"/>
        <v>1</v>
      </c>
      <c r="K207" s="94">
        <v>1.2423053143457901</v>
      </c>
      <c r="L207" s="94">
        <v>1.2424037077276699</v>
      </c>
      <c r="M207" s="89">
        <f t="shared" si="14"/>
        <v>1.2423053143457901</v>
      </c>
      <c r="N207" s="89">
        <f t="shared" si="13"/>
        <v>1.1975963873418796</v>
      </c>
      <c r="O207" s="89">
        <f t="shared" si="15"/>
        <v>1.1975963873418796</v>
      </c>
    </row>
    <row r="208" spans="1:15" x14ac:dyDescent="0.2">
      <c r="A208" s="21" t="s">
        <v>1127</v>
      </c>
      <c r="B208" s="21" t="s">
        <v>1322</v>
      </c>
      <c r="C208" s="21" t="s">
        <v>1323</v>
      </c>
      <c r="D208" s="21" t="s">
        <v>3175</v>
      </c>
      <c r="E208" s="21" t="s">
        <v>3176</v>
      </c>
      <c r="F208" s="21" t="s">
        <v>3324</v>
      </c>
      <c r="G208" s="21" t="s">
        <v>3325</v>
      </c>
      <c r="H208" s="21" t="s">
        <v>1133</v>
      </c>
      <c r="I208" s="21">
        <v>266</v>
      </c>
      <c r="J208" s="89">
        <f t="shared" si="12"/>
        <v>1</v>
      </c>
      <c r="K208" s="94">
        <v>1.04029258299502</v>
      </c>
      <c r="L208" s="94">
        <v>1.03994696057002</v>
      </c>
      <c r="M208" s="89">
        <f t="shared" si="14"/>
        <v>1.04029258299502</v>
      </c>
      <c r="N208" s="89">
        <f t="shared" si="13"/>
        <v>1.0028538273052992</v>
      </c>
      <c r="O208" s="89">
        <f t="shared" si="15"/>
        <v>1.0028538273052992</v>
      </c>
    </row>
    <row r="209" spans="1:15" x14ac:dyDescent="0.2">
      <c r="A209" s="21" t="s">
        <v>1127</v>
      </c>
      <c r="B209" s="21" t="s">
        <v>604</v>
      </c>
      <c r="C209" s="21" t="s">
        <v>605</v>
      </c>
      <c r="D209" s="21" t="s">
        <v>3177</v>
      </c>
      <c r="E209" s="21" t="s">
        <v>3178</v>
      </c>
      <c r="F209" s="21" t="s">
        <v>3326</v>
      </c>
      <c r="G209" s="21" t="s">
        <v>3327</v>
      </c>
      <c r="H209" s="21" t="s">
        <v>1159</v>
      </c>
      <c r="I209" s="21">
        <v>511</v>
      </c>
      <c r="J209" s="89">
        <f t="shared" si="12"/>
        <v>1</v>
      </c>
      <c r="K209" s="94">
        <v>1.1625078804959501</v>
      </c>
      <c r="L209" s="94">
        <v>1.16204663318827</v>
      </c>
      <c r="M209" s="89">
        <f t="shared" si="14"/>
        <v>1.1625078804959501</v>
      </c>
      <c r="N209" s="89">
        <f t="shared" si="13"/>
        <v>1.1206707577127037</v>
      </c>
      <c r="O209" s="89">
        <f t="shared" si="15"/>
        <v>1.1206707577127037</v>
      </c>
    </row>
    <row r="210" spans="1:15" x14ac:dyDescent="0.2">
      <c r="A210" s="21" t="s">
        <v>1167</v>
      </c>
      <c r="B210" s="21" t="s">
        <v>1324</v>
      </c>
      <c r="C210" s="21" t="s">
        <v>1325</v>
      </c>
      <c r="D210" s="21" t="s">
        <v>3179</v>
      </c>
      <c r="E210" s="21" t="s">
        <v>3180</v>
      </c>
      <c r="F210" s="21" t="s">
        <v>3328</v>
      </c>
      <c r="G210" s="21" t="s">
        <v>3329</v>
      </c>
      <c r="H210" s="21" t="s">
        <v>3449</v>
      </c>
      <c r="I210" s="21">
        <v>50</v>
      </c>
      <c r="J210" s="89">
        <f t="shared" si="12"/>
        <v>0.11210762331838565</v>
      </c>
      <c r="K210" s="94" t="e">
        <v>#N/A</v>
      </c>
      <c r="L210" s="94">
        <v>1.2336737820859101</v>
      </c>
      <c r="M210" s="89">
        <f t="shared" si="14"/>
        <v>1.2336737820859101</v>
      </c>
      <c r="N210" s="89">
        <f t="shared" si="13"/>
        <v>1.189275492524569</v>
      </c>
      <c r="O210" s="89">
        <f t="shared" si="15"/>
        <v>0.13332684893773195</v>
      </c>
    </row>
    <row r="211" spans="1:15" x14ac:dyDescent="0.2">
      <c r="A211" s="21" t="s">
        <v>1167</v>
      </c>
      <c r="B211" s="21" t="s">
        <v>1324</v>
      </c>
      <c r="C211" s="21" t="s">
        <v>1325</v>
      </c>
      <c r="D211" s="21" t="s">
        <v>3181</v>
      </c>
      <c r="E211" s="21" t="s">
        <v>3182</v>
      </c>
      <c r="F211" s="21" t="s">
        <v>3328</v>
      </c>
      <c r="G211" s="21" t="s">
        <v>3329</v>
      </c>
      <c r="H211" s="21" t="s">
        <v>3449</v>
      </c>
      <c r="I211" s="21">
        <v>396</v>
      </c>
      <c r="J211" s="89">
        <f t="shared" si="12"/>
        <v>0.88789237668161436</v>
      </c>
      <c r="K211" s="94" t="e">
        <v>#N/A</v>
      </c>
      <c r="L211" s="94">
        <v>1.2336737820859101</v>
      </c>
      <c r="M211" s="89">
        <f t="shared" si="14"/>
        <v>1.2336737820859101</v>
      </c>
      <c r="N211" s="89">
        <f t="shared" si="13"/>
        <v>1.189275492524569</v>
      </c>
      <c r="O211" s="89">
        <f t="shared" si="15"/>
        <v>1.055948643586837</v>
      </c>
    </row>
    <row r="212" spans="1:15" x14ac:dyDescent="0.2">
      <c r="A212" s="21" t="s">
        <v>2133</v>
      </c>
      <c r="B212" s="21" t="s">
        <v>2389</v>
      </c>
      <c r="C212" s="21" t="s">
        <v>2390</v>
      </c>
      <c r="D212" s="21" t="s">
        <v>3183</v>
      </c>
      <c r="E212" s="21" t="s">
        <v>3184</v>
      </c>
      <c r="F212" s="21" t="s">
        <v>3330</v>
      </c>
      <c r="G212" s="21" t="s">
        <v>3331</v>
      </c>
      <c r="H212" s="21" t="s">
        <v>1401</v>
      </c>
      <c r="I212" s="21">
        <v>260</v>
      </c>
      <c r="J212" s="89">
        <f t="shared" si="12"/>
        <v>0.14994232987312572</v>
      </c>
      <c r="K212" s="94">
        <v>0.99339178580139598</v>
      </c>
      <c r="L212" s="94">
        <v>0.99369315786713897</v>
      </c>
      <c r="M212" s="89">
        <f t="shared" si="14"/>
        <v>0.99339178580139598</v>
      </c>
      <c r="N212" s="89">
        <f t="shared" si="13"/>
        <v>0.95764092784014865</v>
      </c>
      <c r="O212" s="89">
        <f t="shared" si="15"/>
        <v>0.14359091190221376</v>
      </c>
    </row>
    <row r="213" spans="1:15" x14ac:dyDescent="0.2">
      <c r="A213" s="21" t="s">
        <v>2133</v>
      </c>
      <c r="B213" s="21" t="s">
        <v>2389</v>
      </c>
      <c r="C213" s="21" t="s">
        <v>2390</v>
      </c>
      <c r="D213" s="21" t="s">
        <v>3185</v>
      </c>
      <c r="E213" s="21" t="s">
        <v>3186</v>
      </c>
      <c r="F213" s="21" t="s">
        <v>3332</v>
      </c>
      <c r="G213" s="21" t="s">
        <v>3333</v>
      </c>
      <c r="H213" s="21" t="s">
        <v>2148</v>
      </c>
      <c r="I213" s="21">
        <v>595</v>
      </c>
      <c r="J213" s="89">
        <f t="shared" si="12"/>
        <v>0.34313725490196079</v>
      </c>
      <c r="K213" s="94">
        <v>0.98026730386483796</v>
      </c>
      <c r="L213" s="94">
        <v>0.98110852172984298</v>
      </c>
      <c r="M213" s="89">
        <f t="shared" si="14"/>
        <v>0.98026730386483796</v>
      </c>
      <c r="N213" s="89">
        <f t="shared" si="13"/>
        <v>0.94498877866920772</v>
      </c>
      <c r="O213" s="89">
        <f t="shared" si="15"/>
        <v>0.32426085542570854</v>
      </c>
    </row>
    <row r="214" spans="1:15" x14ac:dyDescent="0.2">
      <c r="A214" s="21" t="s">
        <v>2133</v>
      </c>
      <c r="B214" s="21" t="s">
        <v>2389</v>
      </c>
      <c r="C214" s="21" t="s">
        <v>2390</v>
      </c>
      <c r="D214" s="21" t="s">
        <v>3187</v>
      </c>
      <c r="E214" s="21" t="s">
        <v>3188</v>
      </c>
      <c r="F214" s="21" t="s">
        <v>3334</v>
      </c>
      <c r="G214" s="21" t="s">
        <v>3335</v>
      </c>
      <c r="H214" s="21" t="s">
        <v>2148</v>
      </c>
      <c r="I214" s="21">
        <v>879</v>
      </c>
      <c r="J214" s="89">
        <f t="shared" si="12"/>
        <v>0.50692041522491349</v>
      </c>
      <c r="K214" s="94">
        <v>0.98602203266273702</v>
      </c>
      <c r="L214" s="94">
        <v>0.98546078996934605</v>
      </c>
      <c r="M214" s="89">
        <f t="shared" si="14"/>
        <v>0.98602203266273702</v>
      </c>
      <c r="N214" s="89">
        <f t="shared" si="13"/>
        <v>0.95053640238047354</v>
      </c>
      <c r="O214" s="89">
        <f t="shared" si="15"/>
        <v>0.4818463077811051</v>
      </c>
    </row>
    <row r="215" spans="1:15" x14ac:dyDescent="0.2">
      <c r="A215" s="21" t="s">
        <v>708</v>
      </c>
      <c r="B215" s="21" t="s">
        <v>2367</v>
      </c>
      <c r="C215" s="21" t="s">
        <v>2368</v>
      </c>
      <c r="D215" s="21" t="s">
        <v>3189</v>
      </c>
      <c r="E215" s="21" t="s">
        <v>3190</v>
      </c>
      <c r="F215" s="21" t="s">
        <v>3336</v>
      </c>
      <c r="G215" s="21" t="s">
        <v>3337</v>
      </c>
      <c r="H215" s="21" t="s">
        <v>714</v>
      </c>
      <c r="I215" s="21">
        <v>63</v>
      </c>
      <c r="J215" s="89">
        <f t="shared" si="12"/>
        <v>8.3333333333333329E-2</v>
      </c>
      <c r="K215" s="94">
        <v>0.95998781501150299</v>
      </c>
      <c r="L215" s="94">
        <v>0.959576859574649</v>
      </c>
      <c r="M215" s="89">
        <f t="shared" si="14"/>
        <v>0.95998781501150299</v>
      </c>
      <c r="N215" s="89">
        <f t="shared" si="13"/>
        <v>0.92543912182765786</v>
      </c>
      <c r="O215" s="89">
        <f t="shared" si="15"/>
        <v>7.7119926818971479E-2</v>
      </c>
    </row>
    <row r="216" spans="1:15" x14ac:dyDescent="0.2">
      <c r="A216" s="21" t="s">
        <v>708</v>
      </c>
      <c r="B216" s="21" t="s">
        <v>2367</v>
      </c>
      <c r="C216" s="21" t="s">
        <v>2368</v>
      </c>
      <c r="D216" s="21" t="s">
        <v>3191</v>
      </c>
      <c r="E216" s="21" t="s">
        <v>3192</v>
      </c>
      <c r="F216" s="21" t="s">
        <v>3338</v>
      </c>
      <c r="G216" s="21" t="s">
        <v>3339</v>
      </c>
      <c r="H216" s="21" t="s">
        <v>714</v>
      </c>
      <c r="I216" s="21">
        <v>693</v>
      </c>
      <c r="J216" s="89">
        <f t="shared" si="12"/>
        <v>0.91666666666666663</v>
      </c>
      <c r="K216" s="94">
        <v>0.95649501264857795</v>
      </c>
      <c r="L216" s="94">
        <v>0.95672919607372098</v>
      </c>
      <c r="M216" s="89">
        <f t="shared" si="14"/>
        <v>0.95649501264857795</v>
      </c>
      <c r="N216" s="89">
        <f t="shared" si="13"/>
        <v>0.92207202080729322</v>
      </c>
      <c r="O216" s="89">
        <f t="shared" si="15"/>
        <v>0.84523268574001875</v>
      </c>
    </row>
    <row r="217" spans="1:15" x14ac:dyDescent="0.2">
      <c r="A217" s="21" t="s">
        <v>3034</v>
      </c>
      <c r="B217" s="21" t="s">
        <v>363</v>
      </c>
      <c r="C217" s="21" t="s">
        <v>364</v>
      </c>
      <c r="D217" s="21" t="s">
        <v>3193</v>
      </c>
      <c r="E217" s="21" t="s">
        <v>3194</v>
      </c>
      <c r="F217" s="21" t="s">
        <v>3340</v>
      </c>
      <c r="G217" s="21" t="s">
        <v>3341</v>
      </c>
      <c r="H217" s="21" t="s">
        <v>3052</v>
      </c>
      <c r="I217" s="21">
        <v>21</v>
      </c>
      <c r="J217" s="89">
        <f t="shared" si="12"/>
        <v>9.9573257467994308E-3</v>
      </c>
      <c r="K217" s="94">
        <v>0.97186882222394</v>
      </c>
      <c r="L217" s="94">
        <v>0.97212019113009296</v>
      </c>
      <c r="M217" s="89">
        <f t="shared" si="14"/>
        <v>0.97186882222394</v>
      </c>
      <c r="N217" s="89">
        <f t="shared" si="13"/>
        <v>0.93689254728699467</v>
      </c>
      <c r="O217" s="89">
        <f t="shared" si="15"/>
        <v>9.3289442830852953E-3</v>
      </c>
    </row>
    <row r="218" spans="1:15" x14ac:dyDescent="0.2">
      <c r="A218" s="21" t="s">
        <v>3034</v>
      </c>
      <c r="B218" s="21" t="s">
        <v>363</v>
      </c>
      <c r="C218" s="21" t="s">
        <v>364</v>
      </c>
      <c r="D218" s="21" t="s">
        <v>3195</v>
      </c>
      <c r="E218" s="21" t="s">
        <v>3196</v>
      </c>
      <c r="F218" s="21" t="s">
        <v>3342</v>
      </c>
      <c r="G218" s="21" t="s">
        <v>3343</v>
      </c>
      <c r="H218" s="21" t="s">
        <v>3052</v>
      </c>
      <c r="I218" s="21">
        <v>75</v>
      </c>
      <c r="J218" s="89">
        <f t="shared" si="12"/>
        <v>3.5561877667140827E-2</v>
      </c>
      <c r="K218" s="94">
        <v>0.97870467255534299</v>
      </c>
      <c r="L218" s="94">
        <v>0.97869756590062995</v>
      </c>
      <c r="M218" s="89">
        <f t="shared" si="14"/>
        <v>0.97870467255534299</v>
      </c>
      <c r="N218" s="89">
        <f t="shared" si="13"/>
        <v>0.94348238439608656</v>
      </c>
      <c r="O218" s="89">
        <f t="shared" si="15"/>
        <v>3.3552005134995969E-2</v>
      </c>
    </row>
    <row r="219" spans="1:15" x14ac:dyDescent="0.2">
      <c r="A219" s="21" t="s">
        <v>3034</v>
      </c>
      <c r="B219" s="21" t="s">
        <v>363</v>
      </c>
      <c r="C219" s="21" t="s">
        <v>364</v>
      </c>
      <c r="D219" s="21" t="s">
        <v>3197</v>
      </c>
      <c r="E219" s="21" t="s">
        <v>3198</v>
      </c>
      <c r="F219" s="21" t="s">
        <v>3344</v>
      </c>
      <c r="G219" s="21" t="s">
        <v>3345</v>
      </c>
      <c r="H219" s="21" t="s">
        <v>3052</v>
      </c>
      <c r="I219" s="21">
        <v>996</v>
      </c>
      <c r="J219" s="89">
        <f t="shared" si="12"/>
        <v>0.47226173541963018</v>
      </c>
      <c r="K219" s="94">
        <v>0.97910819418203598</v>
      </c>
      <c r="L219" s="94">
        <v>0.97910575408969902</v>
      </c>
      <c r="M219" s="89">
        <f t="shared" si="14"/>
        <v>0.97910819418203598</v>
      </c>
      <c r="N219" s="89">
        <f t="shared" si="13"/>
        <v>0.94387138381254354</v>
      </c>
      <c r="O219" s="89">
        <f t="shared" si="15"/>
        <v>0.44575433773223966</v>
      </c>
    </row>
    <row r="220" spans="1:15" x14ac:dyDescent="0.2">
      <c r="A220" s="21" t="s">
        <v>3034</v>
      </c>
      <c r="B220" s="21" t="s">
        <v>363</v>
      </c>
      <c r="C220" s="21" t="s">
        <v>364</v>
      </c>
      <c r="D220" s="21" t="s">
        <v>3199</v>
      </c>
      <c r="E220" s="21" t="s">
        <v>3200</v>
      </c>
      <c r="F220" s="21" t="s">
        <v>3346</v>
      </c>
      <c r="G220" s="21" t="s">
        <v>3347</v>
      </c>
      <c r="H220" s="21" t="s">
        <v>3052</v>
      </c>
      <c r="I220" s="21">
        <v>1017</v>
      </c>
      <c r="J220" s="89">
        <f t="shared" si="12"/>
        <v>0.4822190611664296</v>
      </c>
      <c r="K220" s="94">
        <v>0.97885488022223499</v>
      </c>
      <c r="L220" s="94">
        <v>0.978858242067982</v>
      </c>
      <c r="M220" s="89">
        <f t="shared" si="14"/>
        <v>0.97885488022223499</v>
      </c>
      <c r="N220" s="89">
        <f t="shared" si="13"/>
        <v>0.94362718628749254</v>
      </c>
      <c r="O220" s="89">
        <f t="shared" si="15"/>
        <v>0.4550350158626742</v>
      </c>
    </row>
    <row r="221" spans="1:15" x14ac:dyDescent="0.2">
      <c r="A221" s="21" t="s">
        <v>2975</v>
      </c>
      <c r="B221" s="21" t="s">
        <v>699</v>
      </c>
      <c r="C221" s="21" t="s">
        <v>700</v>
      </c>
      <c r="D221" s="21" t="s">
        <v>3201</v>
      </c>
      <c r="E221" s="21" t="s">
        <v>3202</v>
      </c>
      <c r="F221" s="21" t="s">
        <v>3348</v>
      </c>
      <c r="G221" s="21" t="s">
        <v>3349</v>
      </c>
      <c r="H221" s="21" t="s">
        <v>3033</v>
      </c>
      <c r="I221" s="21">
        <v>19</v>
      </c>
      <c r="J221" s="89">
        <f t="shared" si="12"/>
        <v>2.6388888888888889E-2</v>
      </c>
      <c r="K221" s="94">
        <v>0.98152448963955796</v>
      </c>
      <c r="L221" s="94">
        <v>0.98187494899133199</v>
      </c>
      <c r="M221" s="89">
        <f t="shared" si="14"/>
        <v>0.98152448963955796</v>
      </c>
      <c r="N221" s="89">
        <f t="shared" si="13"/>
        <v>0.94620071998881417</v>
      </c>
      <c r="O221" s="89">
        <f t="shared" si="15"/>
        <v>2.4969185666371484E-2</v>
      </c>
    </row>
    <row r="222" spans="1:15" x14ac:dyDescent="0.2">
      <c r="A222" s="21" t="s">
        <v>2975</v>
      </c>
      <c r="B222" s="21" t="s">
        <v>699</v>
      </c>
      <c r="C222" s="21" t="s">
        <v>700</v>
      </c>
      <c r="D222" s="21" t="s">
        <v>3203</v>
      </c>
      <c r="E222" s="21" t="s">
        <v>3204</v>
      </c>
      <c r="F222" s="21" t="s">
        <v>3350</v>
      </c>
      <c r="G222" s="21" t="s">
        <v>3351</v>
      </c>
      <c r="H222" s="21" t="s">
        <v>3033</v>
      </c>
      <c r="I222" s="21">
        <v>67</v>
      </c>
      <c r="J222" s="89">
        <f t="shared" si="12"/>
        <v>9.3055555555555558E-2</v>
      </c>
      <c r="K222" s="94">
        <v>0.98937957019738798</v>
      </c>
      <c r="L222" s="94">
        <v>0.98933862431484998</v>
      </c>
      <c r="M222" s="89">
        <f t="shared" si="14"/>
        <v>0.98937957019738798</v>
      </c>
      <c r="N222" s="89">
        <f t="shared" si="13"/>
        <v>0.95377310657502989</v>
      </c>
      <c r="O222" s="89">
        <f t="shared" si="15"/>
        <v>8.8753886306287513E-2</v>
      </c>
    </row>
    <row r="223" spans="1:15" x14ac:dyDescent="0.2">
      <c r="A223" s="21" t="s">
        <v>2975</v>
      </c>
      <c r="B223" s="21" t="s">
        <v>699</v>
      </c>
      <c r="C223" s="21" t="s">
        <v>700</v>
      </c>
      <c r="D223" s="21" t="s">
        <v>3205</v>
      </c>
      <c r="E223" s="21" t="s">
        <v>3206</v>
      </c>
      <c r="F223" s="21" t="s">
        <v>3352</v>
      </c>
      <c r="G223" s="21" t="s">
        <v>3353</v>
      </c>
      <c r="H223" s="21" t="s">
        <v>3002</v>
      </c>
      <c r="I223" s="21">
        <v>116</v>
      </c>
      <c r="J223" s="89">
        <f t="shared" si="12"/>
        <v>0.16111111111111112</v>
      </c>
      <c r="K223" s="94">
        <v>0.97687332062655197</v>
      </c>
      <c r="L223" s="94">
        <v>0.97669370916954501</v>
      </c>
      <c r="M223" s="89">
        <f t="shared" si="14"/>
        <v>0.97687332062655197</v>
      </c>
      <c r="N223" s="89">
        <f t="shared" si="13"/>
        <v>0.94171694040374021</v>
      </c>
      <c r="O223" s="89">
        <f t="shared" si="15"/>
        <v>0.15172106262060259</v>
      </c>
    </row>
    <row r="224" spans="1:15" x14ac:dyDescent="0.2">
      <c r="A224" s="21" t="s">
        <v>2975</v>
      </c>
      <c r="B224" s="21" t="s">
        <v>699</v>
      </c>
      <c r="C224" s="21" t="s">
        <v>700</v>
      </c>
      <c r="D224" s="21" t="s">
        <v>3207</v>
      </c>
      <c r="E224" s="21" t="s">
        <v>3208</v>
      </c>
      <c r="F224" s="21" t="s">
        <v>3354</v>
      </c>
      <c r="G224" s="21" t="s">
        <v>3355</v>
      </c>
      <c r="H224" s="21" t="s">
        <v>3033</v>
      </c>
      <c r="I224" s="21">
        <v>518</v>
      </c>
      <c r="J224" s="89">
        <f t="shared" si="12"/>
        <v>0.71944444444444444</v>
      </c>
      <c r="K224" s="94">
        <v>0.98107121024084198</v>
      </c>
      <c r="L224" s="94">
        <v>0.98056236323241897</v>
      </c>
      <c r="M224" s="89">
        <f t="shared" si="14"/>
        <v>0.98107121024084198</v>
      </c>
      <c r="N224" s="89">
        <f t="shared" si="13"/>
        <v>0.9457637535168123</v>
      </c>
      <c r="O224" s="89">
        <f t="shared" si="15"/>
        <v>0.68042447822459551</v>
      </c>
    </row>
    <row r="225" spans="1:15" x14ac:dyDescent="0.2">
      <c r="A225" s="21" t="s">
        <v>2133</v>
      </c>
      <c r="B225" s="21" t="s">
        <v>614</v>
      </c>
      <c r="C225" s="21" t="s">
        <v>3209</v>
      </c>
      <c r="D225" s="21" t="s">
        <v>3210</v>
      </c>
      <c r="E225" s="21" t="s">
        <v>3211</v>
      </c>
      <c r="F225" s="21" t="s">
        <v>3356</v>
      </c>
      <c r="G225" s="21" t="s">
        <v>3357</v>
      </c>
      <c r="H225" s="21" t="s">
        <v>2138</v>
      </c>
      <c r="I225" s="21">
        <v>137</v>
      </c>
      <c r="J225" s="89">
        <f t="shared" si="12"/>
        <v>1</v>
      </c>
      <c r="K225" s="94">
        <v>0.979460544722219</v>
      </c>
      <c r="L225" s="94">
        <v>0.97903082587032997</v>
      </c>
      <c r="M225" s="89">
        <f t="shared" si="14"/>
        <v>0.979460544722219</v>
      </c>
      <c r="N225" s="89">
        <f t="shared" si="13"/>
        <v>0.94421105372228975</v>
      </c>
      <c r="O225" s="89">
        <f t="shared" si="15"/>
        <v>0.94421105372228975</v>
      </c>
    </row>
    <row r="226" spans="1:15" x14ac:dyDescent="0.2">
      <c r="A226" s="21" t="s">
        <v>2133</v>
      </c>
      <c r="B226" s="21" t="s">
        <v>3880</v>
      </c>
      <c r="C226" s="21" t="s">
        <v>3881</v>
      </c>
      <c r="D226" s="21" t="s">
        <v>3212</v>
      </c>
      <c r="E226" s="21" t="s">
        <v>3213</v>
      </c>
      <c r="F226" s="21" t="s">
        <v>3358</v>
      </c>
      <c r="G226" s="21" t="s">
        <v>3359</v>
      </c>
      <c r="H226" s="21" t="s">
        <v>2138</v>
      </c>
      <c r="I226" s="21">
        <v>460</v>
      </c>
      <c r="J226" s="89">
        <f t="shared" si="12"/>
        <v>0.44273339749759383</v>
      </c>
      <c r="K226" s="94">
        <v>0.98065990451115703</v>
      </c>
      <c r="L226" s="94">
        <v>0.98026350491688596</v>
      </c>
      <c r="M226" s="89">
        <f t="shared" si="14"/>
        <v>0.98065990451115703</v>
      </c>
      <c r="N226" s="89">
        <f t="shared" si="13"/>
        <v>0.94536725013694622</v>
      </c>
      <c r="O226" s="89">
        <f t="shared" si="15"/>
        <v>0.41854565453608783</v>
      </c>
    </row>
    <row r="227" spans="1:15" x14ac:dyDescent="0.2">
      <c r="A227" s="21" t="s">
        <v>2133</v>
      </c>
      <c r="B227" s="21" t="s">
        <v>3880</v>
      </c>
      <c r="C227" s="21" t="s">
        <v>3881</v>
      </c>
      <c r="D227" s="21" t="s">
        <v>3214</v>
      </c>
      <c r="E227" s="21" t="s">
        <v>1928</v>
      </c>
      <c r="F227" s="21" t="s">
        <v>3360</v>
      </c>
      <c r="G227" s="21" t="s">
        <v>1052</v>
      </c>
      <c r="H227" s="21" t="s">
        <v>2138</v>
      </c>
      <c r="I227" s="21">
        <v>579</v>
      </c>
      <c r="J227" s="89">
        <f t="shared" si="12"/>
        <v>0.55726660250240612</v>
      </c>
      <c r="K227" s="94">
        <v>0.98034699355143995</v>
      </c>
      <c r="L227" s="94">
        <v>0.98136170333805295</v>
      </c>
      <c r="M227" s="89">
        <f t="shared" si="14"/>
        <v>0.98034699355143995</v>
      </c>
      <c r="N227" s="89">
        <f t="shared" si="13"/>
        <v>0.94506560042927013</v>
      </c>
      <c r="O227" s="89">
        <f t="shared" si="15"/>
        <v>0.52665349629311586</v>
      </c>
    </row>
    <row r="228" spans="1:15" x14ac:dyDescent="0.2">
      <c r="A228" s="21" t="s">
        <v>1167</v>
      </c>
      <c r="B228" s="21" t="s">
        <v>3878</v>
      </c>
      <c r="C228" s="21" t="s">
        <v>3215</v>
      </c>
      <c r="D228" s="21" t="s">
        <v>3216</v>
      </c>
      <c r="E228" s="21" t="s">
        <v>3217</v>
      </c>
      <c r="F228" s="21" t="s">
        <v>3361</v>
      </c>
      <c r="G228" s="21" t="s">
        <v>3362</v>
      </c>
      <c r="H228" s="21" t="s">
        <v>3436</v>
      </c>
      <c r="I228" s="21">
        <v>35</v>
      </c>
      <c r="J228" s="89">
        <f t="shared" si="12"/>
        <v>3.5000000000000003E-2</v>
      </c>
      <c r="K228" s="94">
        <v>1.2437287670275601</v>
      </c>
      <c r="L228" s="94">
        <v>1.2432361312393301</v>
      </c>
      <c r="M228" s="89">
        <f t="shared" si="14"/>
        <v>1.2437287670275601</v>
      </c>
      <c r="N228" s="89">
        <f t="shared" si="13"/>
        <v>1.1989686118422129</v>
      </c>
      <c r="O228" s="89">
        <f t="shared" si="15"/>
        <v>4.1963901414477457E-2</v>
      </c>
    </row>
    <row r="229" spans="1:15" x14ac:dyDescent="0.2">
      <c r="A229" s="21" t="s">
        <v>1167</v>
      </c>
      <c r="B229" s="21" t="s">
        <v>3878</v>
      </c>
      <c r="C229" s="21" t="s">
        <v>3215</v>
      </c>
      <c r="D229" s="21" t="s">
        <v>3218</v>
      </c>
      <c r="E229" s="21" t="s">
        <v>3219</v>
      </c>
      <c r="F229" s="21" t="s">
        <v>3363</v>
      </c>
      <c r="G229" s="21" t="s">
        <v>3364</v>
      </c>
      <c r="H229" s="21" t="s">
        <v>3451</v>
      </c>
      <c r="I229" s="21">
        <v>85</v>
      </c>
      <c r="J229" s="89">
        <f t="shared" si="12"/>
        <v>8.5000000000000006E-2</v>
      </c>
      <c r="K229" s="94">
        <v>1.24436676623158</v>
      </c>
      <c r="L229" s="94">
        <v>1.24440031062148</v>
      </c>
      <c r="M229" s="89">
        <f t="shared" si="14"/>
        <v>1.24436676623158</v>
      </c>
      <c r="N229" s="89">
        <f t="shared" si="13"/>
        <v>1.1995836502977666</v>
      </c>
      <c r="O229" s="89">
        <f t="shared" si="15"/>
        <v>0.10196461027531016</v>
      </c>
    </row>
    <row r="230" spans="1:15" x14ac:dyDescent="0.2">
      <c r="A230" s="21" t="s">
        <v>1167</v>
      </c>
      <c r="B230" s="21" t="s">
        <v>3878</v>
      </c>
      <c r="C230" s="21" t="s">
        <v>3215</v>
      </c>
      <c r="D230" s="21" t="s">
        <v>3220</v>
      </c>
      <c r="E230" s="21" t="s">
        <v>3221</v>
      </c>
      <c r="F230" s="21" t="s">
        <v>3365</v>
      </c>
      <c r="G230" s="21" t="s">
        <v>3274</v>
      </c>
      <c r="H230" s="21" t="s">
        <v>3436</v>
      </c>
      <c r="I230" s="21">
        <v>212</v>
      </c>
      <c r="J230" s="89">
        <f t="shared" si="12"/>
        <v>0.21199999999999999</v>
      </c>
      <c r="K230" s="94">
        <v>1.2432807524901199</v>
      </c>
      <c r="L230" s="94">
        <v>1.24313919714399</v>
      </c>
      <c r="M230" s="89">
        <f t="shared" si="14"/>
        <v>1.2432807524901199</v>
      </c>
      <c r="N230" s="89">
        <f t="shared" si="13"/>
        <v>1.1985367207560853</v>
      </c>
      <c r="O230" s="89">
        <f t="shared" si="15"/>
        <v>0.2540897848002901</v>
      </c>
    </row>
    <row r="231" spans="1:15" x14ac:dyDescent="0.2">
      <c r="A231" s="21" t="s">
        <v>1167</v>
      </c>
      <c r="B231" s="21" t="s">
        <v>3878</v>
      </c>
      <c r="C231" s="21" t="s">
        <v>3215</v>
      </c>
      <c r="D231" s="21" t="s">
        <v>3222</v>
      </c>
      <c r="E231" s="21" t="s">
        <v>3223</v>
      </c>
      <c r="F231" s="21" t="s">
        <v>3361</v>
      </c>
      <c r="G231" s="21" t="s">
        <v>3362</v>
      </c>
      <c r="H231" s="21" t="s">
        <v>3436</v>
      </c>
      <c r="I231" s="21">
        <v>668</v>
      </c>
      <c r="J231" s="89">
        <f t="shared" si="12"/>
        <v>0.66800000000000004</v>
      </c>
      <c r="K231" s="94">
        <v>1.2437287670275601</v>
      </c>
      <c r="L231" s="94">
        <v>1.2432361312393301</v>
      </c>
      <c r="M231" s="89">
        <f t="shared" si="14"/>
        <v>1.2437287670275601</v>
      </c>
      <c r="N231" s="89">
        <f t="shared" si="13"/>
        <v>1.1989686118422129</v>
      </c>
      <c r="O231" s="89">
        <f t="shared" si="15"/>
        <v>0.80091103271059827</v>
      </c>
    </row>
    <row r="232" spans="1:15" x14ac:dyDescent="0.2">
      <c r="A232" s="21" t="s">
        <v>1167</v>
      </c>
      <c r="B232" s="21" t="s">
        <v>3714</v>
      </c>
      <c r="C232" s="21" t="s">
        <v>2158</v>
      </c>
      <c r="D232" s="21" t="s">
        <v>2159</v>
      </c>
      <c r="E232" s="21" t="s">
        <v>3825</v>
      </c>
      <c r="F232" s="21" t="s">
        <v>3366</v>
      </c>
      <c r="G232" s="21" t="s">
        <v>3367</v>
      </c>
      <c r="H232" s="21" t="s">
        <v>3480</v>
      </c>
      <c r="I232" s="21">
        <v>145</v>
      </c>
      <c r="J232" s="89">
        <f t="shared" si="12"/>
        <v>0.35024154589371981</v>
      </c>
      <c r="K232" s="94">
        <v>1.19766645986748</v>
      </c>
      <c r="L232" s="94">
        <v>1.19869692439207</v>
      </c>
      <c r="M232" s="89">
        <f t="shared" si="14"/>
        <v>1.19766645986748</v>
      </c>
      <c r="N232" s="89">
        <f t="shared" si="13"/>
        <v>1.1545640262620622</v>
      </c>
      <c r="O232" s="89">
        <f t="shared" si="15"/>
        <v>0.40437628939130199</v>
      </c>
    </row>
    <row r="233" spans="1:15" x14ac:dyDescent="0.2">
      <c r="A233" s="21" t="s">
        <v>1167</v>
      </c>
      <c r="B233" s="21" t="s">
        <v>3714</v>
      </c>
      <c r="C233" s="21" t="s">
        <v>2158</v>
      </c>
      <c r="D233" s="21" t="s">
        <v>2160</v>
      </c>
      <c r="E233" s="21" t="s">
        <v>2161</v>
      </c>
      <c r="F233" s="21" t="s">
        <v>3398</v>
      </c>
      <c r="G233" s="21" t="s">
        <v>3304</v>
      </c>
      <c r="H233" s="21" t="s">
        <v>3439</v>
      </c>
      <c r="I233" s="21">
        <v>269</v>
      </c>
      <c r="J233" s="89">
        <f t="shared" si="12"/>
        <v>0.64975845410628019</v>
      </c>
      <c r="K233" s="94">
        <v>1.2432692555459299</v>
      </c>
      <c r="L233" s="94">
        <v>1.2431188667289199</v>
      </c>
      <c r="M233" s="89">
        <f t="shared" si="14"/>
        <v>1.2432692555459299</v>
      </c>
      <c r="N233" s="89">
        <f t="shared" si="13"/>
        <v>1.1985256375717277</v>
      </c>
      <c r="O233" s="89">
        <f t="shared" si="15"/>
        <v>0.77875216547534964</v>
      </c>
    </row>
    <row r="234" spans="1:15" x14ac:dyDescent="0.2">
      <c r="A234" s="21" t="s">
        <v>708</v>
      </c>
      <c r="B234" s="21" t="s">
        <v>602</v>
      </c>
      <c r="C234" s="21" t="s">
        <v>603</v>
      </c>
      <c r="D234" s="21" t="s">
        <v>2162</v>
      </c>
      <c r="E234" s="21" t="s">
        <v>2163</v>
      </c>
      <c r="F234" s="21" t="s">
        <v>3399</v>
      </c>
      <c r="G234" s="21" t="s">
        <v>3400</v>
      </c>
      <c r="H234" s="21" t="s">
        <v>716</v>
      </c>
      <c r="I234" s="21">
        <v>80</v>
      </c>
      <c r="J234" s="89">
        <f t="shared" si="12"/>
        <v>4.6296296296296294E-2</v>
      </c>
      <c r="K234" s="94">
        <v>0.95621636195465298</v>
      </c>
      <c r="L234" s="94">
        <v>0.95591027795005001</v>
      </c>
      <c r="M234" s="89">
        <f t="shared" si="14"/>
        <v>0.95621636195465298</v>
      </c>
      <c r="N234" s="89">
        <f t="shared" si="13"/>
        <v>0.92180339838370595</v>
      </c>
      <c r="O234" s="89">
        <f t="shared" si="15"/>
        <v>4.2676083258504902E-2</v>
      </c>
    </row>
    <row r="235" spans="1:15" x14ac:dyDescent="0.2">
      <c r="A235" s="21" t="s">
        <v>708</v>
      </c>
      <c r="B235" s="21" t="s">
        <v>602</v>
      </c>
      <c r="C235" s="21" t="s">
        <v>603</v>
      </c>
      <c r="D235" s="21" t="s">
        <v>2164</v>
      </c>
      <c r="E235" s="21" t="s">
        <v>2165</v>
      </c>
      <c r="F235" s="21" t="s">
        <v>3401</v>
      </c>
      <c r="G235" s="21" t="s">
        <v>3402</v>
      </c>
      <c r="H235" s="21" t="s">
        <v>716</v>
      </c>
      <c r="I235" s="21">
        <v>303</v>
      </c>
      <c r="J235" s="89">
        <f t="shared" si="12"/>
        <v>0.17534722222222221</v>
      </c>
      <c r="K235" s="94">
        <v>0.95919983755743399</v>
      </c>
      <c r="L235" s="94">
        <v>0.95903423416932598</v>
      </c>
      <c r="M235" s="89">
        <f t="shared" si="14"/>
        <v>0.95919983755743399</v>
      </c>
      <c r="N235" s="89">
        <f t="shared" si="13"/>
        <v>0.92467950264113219</v>
      </c>
      <c r="O235" s="89">
        <f t="shared" si="15"/>
        <v>0.16213998223394852</v>
      </c>
    </row>
    <row r="236" spans="1:15" x14ac:dyDescent="0.2">
      <c r="A236" s="21" t="s">
        <v>708</v>
      </c>
      <c r="B236" s="21" t="s">
        <v>602</v>
      </c>
      <c r="C236" s="21" t="s">
        <v>603</v>
      </c>
      <c r="D236" s="21" t="s">
        <v>2166</v>
      </c>
      <c r="E236" s="21" t="s">
        <v>2167</v>
      </c>
      <c r="F236" s="21" t="s">
        <v>3403</v>
      </c>
      <c r="G236" s="21" t="s">
        <v>3404</v>
      </c>
      <c r="H236" s="21" t="s">
        <v>716</v>
      </c>
      <c r="I236" s="21">
        <v>672</v>
      </c>
      <c r="J236" s="89">
        <f t="shared" si="12"/>
        <v>0.3888888888888889</v>
      </c>
      <c r="K236" s="94">
        <v>0.95726199657214295</v>
      </c>
      <c r="L236" s="94">
        <v>0.95682221013018198</v>
      </c>
      <c r="M236" s="89">
        <f t="shared" si="14"/>
        <v>0.95726199657214295</v>
      </c>
      <c r="N236" s="89">
        <f t="shared" si="13"/>
        <v>0.92281140199274236</v>
      </c>
      <c r="O236" s="89">
        <f t="shared" si="15"/>
        <v>0.35887110077495538</v>
      </c>
    </row>
    <row r="237" spans="1:15" x14ac:dyDescent="0.2">
      <c r="A237" s="21" t="s">
        <v>708</v>
      </c>
      <c r="B237" s="21" t="s">
        <v>602</v>
      </c>
      <c r="C237" s="21" t="s">
        <v>603</v>
      </c>
      <c r="D237" s="21" t="s">
        <v>2168</v>
      </c>
      <c r="E237" s="21" t="s">
        <v>2169</v>
      </c>
      <c r="F237" s="21" t="s">
        <v>3405</v>
      </c>
      <c r="G237" s="21" t="s">
        <v>3406</v>
      </c>
      <c r="H237" s="21" t="s">
        <v>716</v>
      </c>
      <c r="I237" s="21">
        <v>673</v>
      </c>
      <c r="J237" s="89">
        <f t="shared" si="12"/>
        <v>0.38946759259259262</v>
      </c>
      <c r="K237" s="94">
        <v>0.95838769074698804</v>
      </c>
      <c r="L237" s="94">
        <v>0.95853506146650402</v>
      </c>
      <c r="M237" s="89">
        <f t="shared" si="14"/>
        <v>0.95838769074698804</v>
      </c>
      <c r="N237" s="89">
        <f t="shared" si="13"/>
        <v>0.92389658392143448</v>
      </c>
      <c r="O237" s="89">
        <f t="shared" si="15"/>
        <v>0.35982777834440127</v>
      </c>
    </row>
    <row r="238" spans="1:15" x14ac:dyDescent="0.2">
      <c r="A238" s="21" t="s">
        <v>3528</v>
      </c>
      <c r="B238" s="21" t="s">
        <v>2371</v>
      </c>
      <c r="C238" s="21" t="s">
        <v>2372</v>
      </c>
      <c r="D238" s="21" t="s">
        <v>2170</v>
      </c>
      <c r="E238" s="21" t="s">
        <v>2171</v>
      </c>
      <c r="F238" s="21" t="s">
        <v>3407</v>
      </c>
      <c r="G238" s="21" t="s">
        <v>3408</v>
      </c>
      <c r="H238" s="21" t="s">
        <v>3530</v>
      </c>
      <c r="I238" s="21">
        <v>56</v>
      </c>
      <c r="J238" s="89">
        <f t="shared" si="12"/>
        <v>4.6434494195688222E-2</v>
      </c>
      <c r="K238" s="94">
        <v>0.99923718412446905</v>
      </c>
      <c r="L238" s="94">
        <v>0.99988619489157005</v>
      </c>
      <c r="M238" s="89">
        <f t="shared" si="14"/>
        <v>0.99923718412446905</v>
      </c>
      <c r="N238" s="89">
        <f t="shared" si="13"/>
        <v>0.96327595800016463</v>
      </c>
      <c r="O238" s="89">
        <f t="shared" si="15"/>
        <v>4.472923188060466E-2</v>
      </c>
    </row>
    <row r="239" spans="1:15" x14ac:dyDescent="0.2">
      <c r="A239" s="21" t="s">
        <v>3528</v>
      </c>
      <c r="B239" s="21" t="s">
        <v>2371</v>
      </c>
      <c r="C239" s="21" t="s">
        <v>2372</v>
      </c>
      <c r="D239" s="21" t="s">
        <v>2172</v>
      </c>
      <c r="E239" s="21" t="s">
        <v>2173</v>
      </c>
      <c r="F239" s="21" t="s">
        <v>3409</v>
      </c>
      <c r="G239" s="21" t="s">
        <v>3410</v>
      </c>
      <c r="H239" s="21" t="s">
        <v>3530</v>
      </c>
      <c r="I239" s="21">
        <v>432</v>
      </c>
      <c r="J239" s="89">
        <f t="shared" si="12"/>
        <v>0.35820895522388058</v>
      </c>
      <c r="K239" s="94">
        <v>0.99880375866182203</v>
      </c>
      <c r="L239" s="94">
        <v>0.99889521535901105</v>
      </c>
      <c r="M239" s="89">
        <f t="shared" si="14"/>
        <v>0.99880375866182203</v>
      </c>
      <c r="N239" s="89">
        <f t="shared" si="13"/>
        <v>0.96285813094730244</v>
      </c>
      <c r="O239" s="89">
        <f t="shared" si="15"/>
        <v>0.34490440511545162</v>
      </c>
    </row>
    <row r="240" spans="1:15" x14ac:dyDescent="0.2">
      <c r="A240" s="21" t="s">
        <v>3528</v>
      </c>
      <c r="B240" s="21" t="s">
        <v>2371</v>
      </c>
      <c r="C240" s="21" t="s">
        <v>2372</v>
      </c>
      <c r="D240" s="21" t="s">
        <v>2174</v>
      </c>
      <c r="E240" s="21" t="s">
        <v>2175</v>
      </c>
      <c r="F240" s="21" t="s">
        <v>3411</v>
      </c>
      <c r="G240" s="21" t="s">
        <v>3412</v>
      </c>
      <c r="H240" s="21" t="s">
        <v>3530</v>
      </c>
      <c r="I240" s="21">
        <v>718</v>
      </c>
      <c r="J240" s="89">
        <f t="shared" si="12"/>
        <v>0.59535655058043113</v>
      </c>
      <c r="K240" s="94">
        <v>0.99857476264508305</v>
      </c>
      <c r="L240" s="94">
        <v>0.99848486936368597</v>
      </c>
      <c r="M240" s="89">
        <f t="shared" si="14"/>
        <v>0.99857476264508305</v>
      </c>
      <c r="N240" s="89">
        <f t="shared" si="13"/>
        <v>0.96263737619467016</v>
      </c>
      <c r="O240" s="89">
        <f t="shared" si="15"/>
        <v>0.57311246775105562</v>
      </c>
    </row>
    <row r="241" spans="1:15" x14ac:dyDescent="0.2">
      <c r="A241" s="21" t="s">
        <v>708</v>
      </c>
      <c r="B241" s="21" t="s">
        <v>3676</v>
      </c>
      <c r="C241" s="21" t="s">
        <v>3677</v>
      </c>
      <c r="D241" s="21" t="s">
        <v>2176</v>
      </c>
      <c r="E241" s="21" t="s">
        <v>2177</v>
      </c>
      <c r="F241" s="21" t="s">
        <v>3413</v>
      </c>
      <c r="G241" s="21" t="s">
        <v>3414</v>
      </c>
      <c r="H241" s="21" t="s">
        <v>3587</v>
      </c>
      <c r="I241" s="21">
        <v>12</v>
      </c>
      <c r="J241" s="89">
        <f t="shared" si="12"/>
        <v>9.2236740968485772E-3</v>
      </c>
      <c r="K241" s="94">
        <v>0.964559266198728</v>
      </c>
      <c r="L241" s="94">
        <v>0.96441029242395104</v>
      </c>
      <c r="M241" s="89">
        <f t="shared" si="14"/>
        <v>0.964559266198728</v>
      </c>
      <c r="N241" s="89">
        <f t="shared" si="13"/>
        <v>0.92984605252618224</v>
      </c>
      <c r="O241" s="89">
        <f t="shared" si="15"/>
        <v>8.5765969487426492E-3</v>
      </c>
    </row>
    <row r="242" spans="1:15" x14ac:dyDescent="0.2">
      <c r="A242" s="21" t="s">
        <v>708</v>
      </c>
      <c r="B242" s="21" t="s">
        <v>3676</v>
      </c>
      <c r="C242" s="21" t="s">
        <v>3677</v>
      </c>
      <c r="D242" s="21" t="s">
        <v>2178</v>
      </c>
      <c r="E242" s="21" t="s">
        <v>2179</v>
      </c>
      <c r="F242" s="21" t="s">
        <v>3415</v>
      </c>
      <c r="G242" s="21" t="s">
        <v>3416</v>
      </c>
      <c r="H242" s="21" t="s">
        <v>3587</v>
      </c>
      <c r="I242" s="21">
        <v>19</v>
      </c>
      <c r="J242" s="89">
        <f t="shared" si="12"/>
        <v>1.4604150653343582E-2</v>
      </c>
      <c r="K242" s="94">
        <v>0.95697061134417905</v>
      </c>
      <c r="L242" s="94">
        <v>0.95711690920164405</v>
      </c>
      <c r="M242" s="89">
        <f t="shared" si="14"/>
        <v>0.95697061134417905</v>
      </c>
      <c r="N242" s="89">
        <f t="shared" si="13"/>
        <v>0.92253050333417208</v>
      </c>
      <c r="O242" s="89">
        <f t="shared" si="15"/>
        <v>1.3472774452997133E-2</v>
      </c>
    </row>
    <row r="243" spans="1:15" x14ac:dyDescent="0.2">
      <c r="A243" s="21" t="s">
        <v>708</v>
      </c>
      <c r="B243" s="21" t="s">
        <v>3676</v>
      </c>
      <c r="C243" s="21" t="s">
        <v>3677</v>
      </c>
      <c r="D243" s="21" t="s">
        <v>728</v>
      </c>
      <c r="E243" s="21" t="s">
        <v>729</v>
      </c>
      <c r="F243" s="21" t="s">
        <v>3417</v>
      </c>
      <c r="G243" s="21" t="s">
        <v>3418</v>
      </c>
      <c r="H243" s="21" t="s">
        <v>642</v>
      </c>
      <c r="I243" s="21">
        <v>42</v>
      </c>
      <c r="J243" s="89">
        <f t="shared" si="12"/>
        <v>3.2282859338970023E-2</v>
      </c>
      <c r="K243" s="94" t="e">
        <v>#N/A</v>
      </c>
      <c r="L243" s="94">
        <v>0.95410300254441904</v>
      </c>
      <c r="M243" s="89">
        <f t="shared" si="14"/>
        <v>0.95410300254441904</v>
      </c>
      <c r="N243" s="89">
        <f t="shared" si="13"/>
        <v>0.91976609598660242</v>
      </c>
      <c r="O243" s="89">
        <f t="shared" si="15"/>
        <v>2.9692679501489086E-2</v>
      </c>
    </row>
    <row r="244" spans="1:15" x14ac:dyDescent="0.2">
      <c r="A244" s="21" t="s">
        <v>708</v>
      </c>
      <c r="B244" s="21" t="s">
        <v>3676</v>
      </c>
      <c r="C244" s="21" t="s">
        <v>3677</v>
      </c>
      <c r="D244" s="21" t="s">
        <v>2180</v>
      </c>
      <c r="E244" s="21" t="s">
        <v>2181</v>
      </c>
      <c r="F244" s="21" t="s">
        <v>3419</v>
      </c>
      <c r="G244" s="21" t="s">
        <v>3420</v>
      </c>
      <c r="H244" s="21" t="s">
        <v>3587</v>
      </c>
      <c r="I244" s="21">
        <v>42</v>
      </c>
      <c r="J244" s="89">
        <f t="shared" si="12"/>
        <v>3.2282859338970023E-2</v>
      </c>
      <c r="K244" s="94">
        <v>0.96217176155152595</v>
      </c>
      <c r="L244" s="94">
        <v>0.96220476236548902</v>
      </c>
      <c r="M244" s="89">
        <f t="shared" si="14"/>
        <v>0.96217176155152595</v>
      </c>
      <c r="N244" s="89">
        <f t="shared" si="13"/>
        <v>0.92754447101700488</v>
      </c>
      <c r="O244" s="89">
        <f t="shared" si="15"/>
        <v>2.9943787688481327E-2</v>
      </c>
    </row>
    <row r="245" spans="1:15" x14ac:dyDescent="0.2">
      <c r="A245" s="21" t="s">
        <v>708</v>
      </c>
      <c r="B245" s="21" t="s">
        <v>3676</v>
      </c>
      <c r="C245" s="21" t="s">
        <v>3677</v>
      </c>
      <c r="D245" s="21" t="s">
        <v>2182</v>
      </c>
      <c r="E245" s="21" t="s">
        <v>2183</v>
      </c>
      <c r="F245" s="21" t="s">
        <v>3421</v>
      </c>
      <c r="G245" s="21" t="s">
        <v>3422</v>
      </c>
      <c r="H245" s="21" t="s">
        <v>3587</v>
      </c>
      <c r="I245" s="21">
        <v>48</v>
      </c>
      <c r="J245" s="89">
        <f t="shared" si="12"/>
        <v>3.6894696387394309E-2</v>
      </c>
      <c r="K245" s="94">
        <v>0.96638338805392598</v>
      </c>
      <c r="L245" s="94">
        <v>0.96634919455629298</v>
      </c>
      <c r="M245" s="89">
        <f t="shared" si="14"/>
        <v>0.96638338805392598</v>
      </c>
      <c r="N245" s="89">
        <f t="shared" si="13"/>
        <v>0.93160452664573223</v>
      </c>
      <c r="O245" s="89">
        <f t="shared" si="15"/>
        <v>3.4371266163716482E-2</v>
      </c>
    </row>
    <row r="246" spans="1:15" x14ac:dyDescent="0.2">
      <c r="A246" s="21" t="s">
        <v>708</v>
      </c>
      <c r="B246" s="21" t="s">
        <v>3676</v>
      </c>
      <c r="C246" s="21" t="s">
        <v>3677</v>
      </c>
      <c r="D246" s="21" t="s">
        <v>2184</v>
      </c>
      <c r="E246" s="21" t="s">
        <v>2185</v>
      </c>
      <c r="F246" s="21" t="s">
        <v>3423</v>
      </c>
      <c r="G246" s="21" t="s">
        <v>3424</v>
      </c>
      <c r="H246" s="21" t="s">
        <v>3587</v>
      </c>
      <c r="I246" s="21">
        <v>54</v>
      </c>
      <c r="J246" s="89">
        <f t="shared" si="12"/>
        <v>4.1506533435818602E-2</v>
      </c>
      <c r="K246" s="94">
        <v>0.96394803598107703</v>
      </c>
      <c r="L246" s="94">
        <v>0.96403863638853005</v>
      </c>
      <c r="M246" s="89">
        <f t="shared" si="14"/>
        <v>0.96394803598107703</v>
      </c>
      <c r="N246" s="89">
        <f t="shared" si="13"/>
        <v>0.92925681967654383</v>
      </c>
      <c r="O246" s="89">
        <f t="shared" si="15"/>
        <v>3.8570229256366925E-2</v>
      </c>
    </row>
    <row r="247" spans="1:15" x14ac:dyDescent="0.2">
      <c r="A247" s="21" t="s">
        <v>708</v>
      </c>
      <c r="B247" s="21" t="s">
        <v>3676</v>
      </c>
      <c r="C247" s="21" t="s">
        <v>3677</v>
      </c>
      <c r="D247" s="21" t="s">
        <v>2186</v>
      </c>
      <c r="E247" s="21" t="s">
        <v>2187</v>
      </c>
      <c r="F247" s="21" t="s">
        <v>3425</v>
      </c>
      <c r="G247" s="21" t="s">
        <v>3426</v>
      </c>
      <c r="H247" s="21" t="s">
        <v>3587</v>
      </c>
      <c r="I247" s="21">
        <v>78</v>
      </c>
      <c r="J247" s="89">
        <f t="shared" si="12"/>
        <v>5.9953881629515759E-2</v>
      </c>
      <c r="K247" s="94">
        <v>0.95728287814123303</v>
      </c>
      <c r="L247" s="94">
        <v>0.95745051505634304</v>
      </c>
      <c r="M247" s="89">
        <f t="shared" si="14"/>
        <v>0.95728287814123303</v>
      </c>
      <c r="N247" s="89">
        <f t="shared" si="13"/>
        <v>0.92283153206174839</v>
      </c>
      <c r="O247" s="89">
        <f t="shared" si="15"/>
        <v>5.5327332437214743E-2</v>
      </c>
    </row>
    <row r="248" spans="1:15" x14ac:dyDescent="0.2">
      <c r="A248" s="21" t="s">
        <v>708</v>
      </c>
      <c r="B248" s="21" t="s">
        <v>3676</v>
      </c>
      <c r="C248" s="21" t="s">
        <v>3677</v>
      </c>
      <c r="D248" s="21" t="s">
        <v>2188</v>
      </c>
      <c r="E248" s="21" t="s">
        <v>2189</v>
      </c>
      <c r="F248" s="21" t="s">
        <v>3427</v>
      </c>
      <c r="G248" s="21" t="s">
        <v>3428</v>
      </c>
      <c r="H248" s="21" t="s">
        <v>3587</v>
      </c>
      <c r="I248" s="21">
        <v>101</v>
      </c>
      <c r="J248" s="89">
        <f t="shared" si="12"/>
        <v>7.7632590315142191E-2</v>
      </c>
      <c r="K248" s="94">
        <v>0.95853679922467305</v>
      </c>
      <c r="L248" s="94">
        <v>0.95834202712106697</v>
      </c>
      <c r="M248" s="89">
        <f t="shared" si="14"/>
        <v>0.95853679922467305</v>
      </c>
      <c r="N248" s="89">
        <f t="shared" si="13"/>
        <v>0.92404032618200083</v>
      </c>
      <c r="O248" s="89">
        <f t="shared" si="15"/>
        <v>7.1735644077157629E-2</v>
      </c>
    </row>
    <row r="249" spans="1:15" x14ac:dyDescent="0.2">
      <c r="A249" s="21" t="s">
        <v>708</v>
      </c>
      <c r="B249" s="21" t="s">
        <v>3676</v>
      </c>
      <c r="C249" s="21" t="s">
        <v>3677</v>
      </c>
      <c r="D249" s="21" t="s">
        <v>2190</v>
      </c>
      <c r="E249" s="21" t="s">
        <v>2191</v>
      </c>
      <c r="F249" s="21" t="s">
        <v>3429</v>
      </c>
      <c r="G249" s="21" t="s">
        <v>3430</v>
      </c>
      <c r="H249" s="21" t="s">
        <v>3587</v>
      </c>
      <c r="I249" s="21">
        <v>369</v>
      </c>
      <c r="J249" s="89">
        <f t="shared" si="12"/>
        <v>0.28362797847809379</v>
      </c>
      <c r="K249" s="94">
        <v>0.95984476164160104</v>
      </c>
      <c r="L249" s="94">
        <v>0.95981925344474295</v>
      </c>
      <c r="M249" s="89">
        <f t="shared" si="14"/>
        <v>0.95984476164160104</v>
      </c>
      <c r="N249" s="89">
        <f t="shared" si="13"/>
        <v>0.92530121675954524</v>
      </c>
      <c r="O249" s="89">
        <f t="shared" si="15"/>
        <v>0.26244131359283029</v>
      </c>
    </row>
    <row r="250" spans="1:15" x14ac:dyDescent="0.2">
      <c r="A250" s="21" t="s">
        <v>708</v>
      </c>
      <c r="B250" s="21" t="s">
        <v>3676</v>
      </c>
      <c r="C250" s="21" t="s">
        <v>3677</v>
      </c>
      <c r="D250" s="21" t="s">
        <v>2192</v>
      </c>
      <c r="E250" s="21" t="s">
        <v>2193</v>
      </c>
      <c r="F250" s="21" t="s">
        <v>3417</v>
      </c>
      <c r="G250" s="21" t="s">
        <v>3418</v>
      </c>
      <c r="H250" s="21" t="s">
        <v>642</v>
      </c>
      <c r="I250" s="21">
        <v>536</v>
      </c>
      <c r="J250" s="89">
        <f t="shared" si="12"/>
        <v>0.41199077632590314</v>
      </c>
      <c r="K250" s="94">
        <v>0.95400353982540298</v>
      </c>
      <c r="L250" s="94">
        <v>0.95410300254441904</v>
      </c>
      <c r="M250" s="89">
        <f t="shared" si="14"/>
        <v>0.95400353982540298</v>
      </c>
      <c r="N250" s="89">
        <f t="shared" si="13"/>
        <v>0.91967021279943961</v>
      </c>
      <c r="O250" s="89">
        <f t="shared" si="15"/>
        <v>0.37889564493504968</v>
      </c>
    </row>
    <row r="251" spans="1:15" x14ac:dyDescent="0.2">
      <c r="A251" s="21" t="s">
        <v>3069</v>
      </c>
      <c r="B251" s="21" t="s">
        <v>2329</v>
      </c>
      <c r="C251" s="21" t="s">
        <v>2330</v>
      </c>
      <c r="D251" s="21" t="s">
        <v>2194</v>
      </c>
      <c r="E251" s="21" t="s">
        <v>2195</v>
      </c>
      <c r="F251" s="21" t="s">
        <v>3431</v>
      </c>
      <c r="G251" s="21" t="s">
        <v>3432</v>
      </c>
      <c r="H251" s="21" t="s">
        <v>3073</v>
      </c>
      <c r="I251" s="21">
        <v>451</v>
      </c>
      <c r="J251" s="89">
        <f t="shared" si="12"/>
        <v>0.41682070240295749</v>
      </c>
      <c r="K251" s="94">
        <v>0.97382844559775705</v>
      </c>
      <c r="L251" s="94">
        <v>0.97270844154807501</v>
      </c>
      <c r="M251" s="89">
        <f t="shared" si="14"/>
        <v>0.97382844559775705</v>
      </c>
      <c r="N251" s="89">
        <f t="shared" si="13"/>
        <v>0.93878164640452511</v>
      </c>
      <c r="O251" s="89">
        <f t="shared" si="15"/>
        <v>0.39130362525733903</v>
      </c>
    </row>
    <row r="252" spans="1:15" x14ac:dyDescent="0.2">
      <c r="A252" s="21" t="s">
        <v>3069</v>
      </c>
      <c r="B252" s="21" t="s">
        <v>2329</v>
      </c>
      <c r="C252" s="21" t="s">
        <v>2330</v>
      </c>
      <c r="D252" s="21" t="s">
        <v>2196</v>
      </c>
      <c r="E252" s="21" t="s">
        <v>2197</v>
      </c>
      <c r="F252" s="21" t="s">
        <v>3433</v>
      </c>
      <c r="G252" s="21" t="s">
        <v>3434</v>
      </c>
      <c r="H252" s="21" t="s">
        <v>3073</v>
      </c>
      <c r="I252" s="21">
        <v>631</v>
      </c>
      <c r="J252" s="89">
        <f t="shared" si="12"/>
        <v>0.58317929759704257</v>
      </c>
      <c r="K252" s="94">
        <v>0.97268523953659702</v>
      </c>
      <c r="L252" s="94">
        <v>0.97235230228813796</v>
      </c>
      <c r="M252" s="89">
        <f t="shared" si="14"/>
        <v>0.97268523953659702</v>
      </c>
      <c r="N252" s="89">
        <f t="shared" si="13"/>
        <v>0.93767958281917074</v>
      </c>
      <c r="O252" s="89">
        <f t="shared" si="15"/>
        <v>0.54683532047957195</v>
      </c>
    </row>
    <row r="253" spans="1:15" x14ac:dyDescent="0.2">
      <c r="A253" s="21" t="s">
        <v>191</v>
      </c>
      <c r="B253" s="21" t="s">
        <v>3682</v>
      </c>
      <c r="C253" s="21" t="s">
        <v>2198</v>
      </c>
      <c r="D253" s="21" t="s">
        <v>2199</v>
      </c>
      <c r="E253" s="21" t="s">
        <v>2200</v>
      </c>
      <c r="F253" s="21" t="s">
        <v>12</v>
      </c>
      <c r="G253" s="21" t="s">
        <v>1065</v>
      </c>
      <c r="H253" s="21" t="s">
        <v>201</v>
      </c>
      <c r="I253" s="21">
        <v>174</v>
      </c>
      <c r="J253" s="89">
        <f t="shared" si="12"/>
        <v>0.12654545454545454</v>
      </c>
      <c r="K253" s="94">
        <v>1.0768428154343199</v>
      </c>
      <c r="L253" s="94">
        <v>1.0768447113383199</v>
      </c>
      <c r="M253" s="89">
        <f t="shared" si="14"/>
        <v>1.0768428154343199</v>
      </c>
      <c r="N253" s="89">
        <f t="shared" si="13"/>
        <v>1.0380886651670871</v>
      </c>
      <c r="O253" s="89">
        <f t="shared" si="15"/>
        <v>0.13136540199205321</v>
      </c>
    </row>
    <row r="254" spans="1:15" x14ac:dyDescent="0.2">
      <c r="A254" s="21" t="s">
        <v>191</v>
      </c>
      <c r="B254" s="21" t="s">
        <v>3682</v>
      </c>
      <c r="C254" s="21" t="s">
        <v>2198</v>
      </c>
      <c r="D254" s="21" t="s">
        <v>2201</v>
      </c>
      <c r="E254" s="21" t="s">
        <v>2202</v>
      </c>
      <c r="F254" s="21" t="s">
        <v>13</v>
      </c>
      <c r="G254" s="21" t="s">
        <v>14</v>
      </c>
      <c r="H254" s="21" t="s">
        <v>201</v>
      </c>
      <c r="I254" s="21">
        <v>225</v>
      </c>
      <c r="J254" s="89">
        <f t="shared" si="12"/>
        <v>0.16363636363636364</v>
      </c>
      <c r="K254" s="94">
        <v>1.0363284073452299</v>
      </c>
      <c r="L254" s="94">
        <v>1.0367367826132401</v>
      </c>
      <c r="M254" s="89">
        <f t="shared" si="14"/>
        <v>1.0363284073452299</v>
      </c>
      <c r="N254" s="89">
        <f t="shared" si="13"/>
        <v>0.99903231709991347</v>
      </c>
      <c r="O254" s="89">
        <f t="shared" si="15"/>
        <v>0.16347801552544039</v>
      </c>
    </row>
    <row r="255" spans="1:15" x14ac:dyDescent="0.2">
      <c r="A255" s="21" t="s">
        <v>191</v>
      </c>
      <c r="B255" s="21" t="s">
        <v>3682</v>
      </c>
      <c r="C255" s="21" t="s">
        <v>2198</v>
      </c>
      <c r="D255" s="21" t="s">
        <v>2203</v>
      </c>
      <c r="E255" s="21" t="s">
        <v>2204</v>
      </c>
      <c r="F255" s="21" t="s">
        <v>15</v>
      </c>
      <c r="G255" s="21" t="s">
        <v>16</v>
      </c>
      <c r="H255" s="21" t="s">
        <v>201</v>
      </c>
      <c r="I255" s="21">
        <v>837</v>
      </c>
      <c r="J255" s="89">
        <f t="shared" si="12"/>
        <v>0.60872727272727267</v>
      </c>
      <c r="K255" s="94">
        <v>1.0755247502676399</v>
      </c>
      <c r="L255" s="94">
        <v>1.0766747883982299</v>
      </c>
      <c r="M255" s="89">
        <f t="shared" si="14"/>
        <v>1.0755247502676399</v>
      </c>
      <c r="N255" s="89">
        <f t="shared" si="13"/>
        <v>1.0368180354244072</v>
      </c>
      <c r="O255" s="89">
        <f t="shared" si="15"/>
        <v>0.63113941501834814</v>
      </c>
    </row>
    <row r="256" spans="1:15" x14ac:dyDescent="0.2">
      <c r="A256" s="21" t="s">
        <v>3496</v>
      </c>
      <c r="B256" s="21" t="s">
        <v>3384</v>
      </c>
      <c r="C256" s="21" t="s">
        <v>3385</v>
      </c>
      <c r="D256" s="21" t="s">
        <v>2205</v>
      </c>
      <c r="E256" s="21" t="s">
        <v>2206</v>
      </c>
      <c r="F256" s="21" t="s">
        <v>17</v>
      </c>
      <c r="G256" s="21" t="s">
        <v>18</v>
      </c>
      <c r="H256" s="21" t="s">
        <v>3498</v>
      </c>
      <c r="I256" s="21">
        <v>67</v>
      </c>
      <c r="J256" s="89">
        <f t="shared" si="12"/>
        <v>0.10618066561014262</v>
      </c>
      <c r="K256" s="94">
        <v>1.2051773592713599</v>
      </c>
      <c r="L256" s="94">
        <v>1.20387527798164</v>
      </c>
      <c r="M256" s="89">
        <f t="shared" si="14"/>
        <v>1.2051773592713599</v>
      </c>
      <c r="N256" s="89">
        <f t="shared" si="13"/>
        <v>1.1618046183193469</v>
      </c>
      <c r="O256" s="89">
        <f t="shared" si="15"/>
        <v>0.12336118768208595</v>
      </c>
    </row>
    <row r="257" spans="1:15" x14ac:dyDescent="0.2">
      <c r="A257" s="21" t="s">
        <v>3496</v>
      </c>
      <c r="B257" s="21" t="s">
        <v>3384</v>
      </c>
      <c r="C257" s="21" t="s">
        <v>3385</v>
      </c>
      <c r="D257" s="21" t="s">
        <v>2207</v>
      </c>
      <c r="E257" s="21" t="s">
        <v>2208</v>
      </c>
      <c r="F257" s="21" t="s">
        <v>19</v>
      </c>
      <c r="G257" s="21" t="s">
        <v>20</v>
      </c>
      <c r="H257" s="21" t="s">
        <v>3498</v>
      </c>
      <c r="I257" s="21">
        <v>564</v>
      </c>
      <c r="J257" s="89">
        <f t="shared" si="12"/>
        <v>0.89381933438985739</v>
      </c>
      <c r="K257" s="94">
        <v>1.1898613634914399</v>
      </c>
      <c r="L257" s="94">
        <v>1.18784215528454</v>
      </c>
      <c r="M257" s="89">
        <f t="shared" si="14"/>
        <v>1.1898613634914399</v>
      </c>
      <c r="N257" s="89">
        <f t="shared" si="13"/>
        <v>1.1470398249929696</v>
      </c>
      <c r="O257" s="89">
        <f t="shared" si="15"/>
        <v>1.0252463728938745</v>
      </c>
    </row>
    <row r="258" spans="1:15" x14ac:dyDescent="0.2">
      <c r="A258" s="21" t="s">
        <v>3496</v>
      </c>
      <c r="B258" s="21" t="s">
        <v>582</v>
      </c>
      <c r="C258" s="21" t="s">
        <v>583</v>
      </c>
      <c r="D258" s="21" t="s">
        <v>2209</v>
      </c>
      <c r="E258" s="21" t="s">
        <v>2210</v>
      </c>
      <c r="F258" s="21" t="s">
        <v>21</v>
      </c>
      <c r="G258" s="21" t="s">
        <v>22</v>
      </c>
      <c r="H258" s="21" t="s">
        <v>3498</v>
      </c>
      <c r="I258" s="21">
        <v>493</v>
      </c>
      <c r="J258" s="89">
        <f t="shared" ref="J258:J321" si="16">I258/SUMIF(B:B,B258,I:I)</f>
        <v>1</v>
      </c>
      <c r="K258" s="94">
        <v>1.18603832146008</v>
      </c>
      <c r="L258" s="94">
        <v>1.18277046115483</v>
      </c>
      <c r="M258" s="89">
        <f t="shared" si="14"/>
        <v>1.18603832146008</v>
      </c>
      <c r="N258" s="89">
        <f t="shared" ref="N258:N321" si="17">M258/M$757</f>
        <v>1.1433543691935444</v>
      </c>
      <c r="O258" s="89">
        <f t="shared" si="15"/>
        <v>1.1433543691935444</v>
      </c>
    </row>
    <row r="259" spans="1:15" x14ac:dyDescent="0.2">
      <c r="A259" s="21" t="s">
        <v>708</v>
      </c>
      <c r="B259" s="21" t="s">
        <v>556</v>
      </c>
      <c r="C259" s="21" t="s">
        <v>2211</v>
      </c>
      <c r="D259" s="21" t="s">
        <v>2212</v>
      </c>
      <c r="E259" s="21" t="s">
        <v>2213</v>
      </c>
      <c r="F259" s="21" t="s">
        <v>23</v>
      </c>
      <c r="G259" s="21" t="s">
        <v>24</v>
      </c>
      <c r="H259" s="21" t="s">
        <v>3046</v>
      </c>
      <c r="I259" s="21">
        <v>201</v>
      </c>
      <c r="J259" s="89">
        <f t="shared" si="16"/>
        <v>0.16904962153069805</v>
      </c>
      <c r="K259" s="94">
        <v>0.95975468109637796</v>
      </c>
      <c r="L259" s="94">
        <v>0.96009590790672406</v>
      </c>
      <c r="M259" s="89">
        <f t="shared" ref="M259:M322" si="18">IF(ISNA(K259),L259,K259)</f>
        <v>0.95975468109637796</v>
      </c>
      <c r="N259" s="89">
        <f t="shared" si="17"/>
        <v>0.92521437809413565</v>
      </c>
      <c r="O259" s="89">
        <f t="shared" ref="O259:O322" si="19">N259*J259</f>
        <v>0.15640714045157381</v>
      </c>
    </row>
    <row r="260" spans="1:15" x14ac:dyDescent="0.2">
      <c r="A260" s="21" t="s">
        <v>708</v>
      </c>
      <c r="B260" s="21" t="s">
        <v>556</v>
      </c>
      <c r="C260" s="21" t="s">
        <v>2211</v>
      </c>
      <c r="D260" s="21" t="s">
        <v>2214</v>
      </c>
      <c r="E260" s="21" t="s">
        <v>2215</v>
      </c>
      <c r="F260" s="21" t="s">
        <v>25</v>
      </c>
      <c r="G260" s="21" t="s">
        <v>26</v>
      </c>
      <c r="H260" s="21" t="s">
        <v>644</v>
      </c>
      <c r="I260" s="21">
        <v>988</v>
      </c>
      <c r="J260" s="89">
        <f t="shared" si="16"/>
        <v>0.83095037846930198</v>
      </c>
      <c r="K260" s="94">
        <v>0.95038238076807502</v>
      </c>
      <c r="L260" s="94">
        <v>0.950297995677858</v>
      </c>
      <c r="M260" s="89">
        <f t="shared" si="18"/>
        <v>0.95038238076807502</v>
      </c>
      <c r="N260" s="89">
        <f t="shared" si="17"/>
        <v>0.9161793744725264</v>
      </c>
      <c r="O260" s="89">
        <f t="shared" si="19"/>
        <v>0.76129959796371416</v>
      </c>
    </row>
    <row r="261" spans="1:15" x14ac:dyDescent="0.2">
      <c r="A261" s="21" t="s">
        <v>2975</v>
      </c>
      <c r="B261" s="21" t="s">
        <v>670</v>
      </c>
      <c r="C261" s="21" t="s">
        <v>671</v>
      </c>
      <c r="D261" s="21" t="s">
        <v>2216</v>
      </c>
      <c r="E261" s="21" t="s">
        <v>2217</v>
      </c>
      <c r="F261" s="21" t="s">
        <v>27</v>
      </c>
      <c r="G261" s="21" t="s">
        <v>28</v>
      </c>
      <c r="H261" s="21" t="s">
        <v>2994</v>
      </c>
      <c r="I261" s="21">
        <v>113</v>
      </c>
      <c r="J261" s="89">
        <f t="shared" si="16"/>
        <v>0.12625698324022347</v>
      </c>
      <c r="K261" s="94">
        <v>0.952957853836784</v>
      </c>
      <c r="L261" s="94">
        <v>0.95286192216093102</v>
      </c>
      <c r="M261" s="89">
        <f t="shared" si="18"/>
        <v>0.952957853836784</v>
      </c>
      <c r="N261" s="89">
        <f t="shared" si="17"/>
        <v>0.91866215966805331</v>
      </c>
      <c r="O261" s="89">
        <f t="shared" si="19"/>
        <v>0.1159875128966369</v>
      </c>
    </row>
    <row r="262" spans="1:15" x14ac:dyDescent="0.2">
      <c r="A262" s="21" t="s">
        <v>2975</v>
      </c>
      <c r="B262" s="21" t="s">
        <v>670</v>
      </c>
      <c r="C262" s="21" t="s">
        <v>671</v>
      </c>
      <c r="D262" s="21" t="s">
        <v>2218</v>
      </c>
      <c r="E262" s="21" t="s">
        <v>2219</v>
      </c>
      <c r="F262" s="21" t="s">
        <v>29</v>
      </c>
      <c r="G262" s="21" t="s">
        <v>30</v>
      </c>
      <c r="H262" s="21" t="s">
        <v>2994</v>
      </c>
      <c r="I262" s="21">
        <v>317</v>
      </c>
      <c r="J262" s="89">
        <f t="shared" si="16"/>
        <v>0.35418994413407823</v>
      </c>
      <c r="K262" s="94">
        <v>0.95349758503752702</v>
      </c>
      <c r="L262" s="94">
        <v>0.953436403174444</v>
      </c>
      <c r="M262" s="89">
        <f t="shared" si="18"/>
        <v>0.95349758503752702</v>
      </c>
      <c r="N262" s="89">
        <f t="shared" si="17"/>
        <v>0.91918246665594217</v>
      </c>
      <c r="O262" s="89">
        <f t="shared" si="19"/>
        <v>0.32556518651389238</v>
      </c>
    </row>
    <row r="263" spans="1:15" x14ac:dyDescent="0.2">
      <c r="A263" s="21" t="s">
        <v>2975</v>
      </c>
      <c r="B263" s="21" t="s">
        <v>670</v>
      </c>
      <c r="C263" s="21" t="s">
        <v>671</v>
      </c>
      <c r="D263" s="21" t="s">
        <v>2220</v>
      </c>
      <c r="E263" s="21" t="s">
        <v>2221</v>
      </c>
      <c r="F263" s="21" t="s">
        <v>31</v>
      </c>
      <c r="G263" s="21" t="s">
        <v>32</v>
      </c>
      <c r="H263" s="21" t="s">
        <v>3610</v>
      </c>
      <c r="I263" s="21">
        <v>465</v>
      </c>
      <c r="J263" s="89">
        <f t="shared" si="16"/>
        <v>0.51955307262569828</v>
      </c>
      <c r="K263" s="94">
        <v>0.95636424812995902</v>
      </c>
      <c r="L263" s="94">
        <v>0.95649994965877505</v>
      </c>
      <c r="M263" s="89">
        <f t="shared" si="18"/>
        <v>0.95636424812995902</v>
      </c>
      <c r="N263" s="89">
        <f t="shared" si="17"/>
        <v>0.92194596233094106</v>
      </c>
      <c r="O263" s="89">
        <f t="shared" si="19"/>
        <v>0.47899985752389673</v>
      </c>
    </row>
    <row r="264" spans="1:15" x14ac:dyDescent="0.2">
      <c r="A264" s="21" t="s">
        <v>1167</v>
      </c>
      <c r="B264" s="21" t="s">
        <v>550</v>
      </c>
      <c r="C264" s="21" t="s">
        <v>551</v>
      </c>
      <c r="D264" s="21" t="s">
        <v>2222</v>
      </c>
      <c r="E264" s="21" t="s">
        <v>2223</v>
      </c>
      <c r="F264" s="21" t="s">
        <v>33</v>
      </c>
      <c r="G264" s="21" t="s">
        <v>34</v>
      </c>
      <c r="H264" s="21" t="s">
        <v>3453</v>
      </c>
      <c r="I264" s="21">
        <v>12</v>
      </c>
      <c r="J264" s="89">
        <f t="shared" si="16"/>
        <v>1.3544018058690745E-2</v>
      </c>
      <c r="K264" s="94">
        <v>1.2395773134999899</v>
      </c>
      <c r="L264" s="94">
        <v>1.2396665853408699</v>
      </c>
      <c r="M264" s="89">
        <f t="shared" si="18"/>
        <v>1.2395773134999899</v>
      </c>
      <c r="N264" s="89">
        <f t="shared" si="17"/>
        <v>1.1949665636424482</v>
      </c>
      <c r="O264" s="89">
        <f t="shared" si="19"/>
        <v>1.6184648717504944E-2</v>
      </c>
    </row>
    <row r="265" spans="1:15" x14ac:dyDescent="0.2">
      <c r="A265" s="21" t="s">
        <v>1167</v>
      </c>
      <c r="B265" s="21" t="s">
        <v>550</v>
      </c>
      <c r="C265" s="21" t="s">
        <v>551</v>
      </c>
      <c r="D265" s="21" t="s">
        <v>2224</v>
      </c>
      <c r="E265" s="21" t="s">
        <v>2225</v>
      </c>
      <c r="F265" s="21" t="s">
        <v>35</v>
      </c>
      <c r="G265" s="21" t="s">
        <v>36</v>
      </c>
      <c r="H265" s="21" t="s">
        <v>3458</v>
      </c>
      <c r="I265" s="21">
        <v>18</v>
      </c>
      <c r="J265" s="89">
        <f t="shared" si="16"/>
        <v>2.0316027088036117E-2</v>
      </c>
      <c r="K265" s="94">
        <v>1.2209298044644901</v>
      </c>
      <c r="L265" s="94">
        <v>1.2210331282548601</v>
      </c>
      <c r="M265" s="89">
        <f t="shared" si="18"/>
        <v>1.2209298044644901</v>
      </c>
      <c r="N265" s="89">
        <f t="shared" si="17"/>
        <v>1.1769901538211638</v>
      </c>
      <c r="O265" s="89">
        <f t="shared" si="19"/>
        <v>2.3911763847382559E-2</v>
      </c>
    </row>
    <row r="266" spans="1:15" x14ac:dyDescent="0.2">
      <c r="A266" s="21" t="s">
        <v>1167</v>
      </c>
      <c r="B266" s="21" t="s">
        <v>550</v>
      </c>
      <c r="C266" s="21" t="s">
        <v>551</v>
      </c>
      <c r="D266" s="21" t="s">
        <v>2226</v>
      </c>
      <c r="E266" s="21" t="s">
        <v>2227</v>
      </c>
      <c r="F266" s="21" t="s">
        <v>37</v>
      </c>
      <c r="G266" s="21" t="s">
        <v>38</v>
      </c>
      <c r="H266" s="21" t="s">
        <v>3453</v>
      </c>
      <c r="I266" s="21">
        <v>28</v>
      </c>
      <c r="J266" s="89">
        <f t="shared" si="16"/>
        <v>3.160270880361174E-2</v>
      </c>
      <c r="K266" s="94">
        <v>1.2416899253270599</v>
      </c>
      <c r="L266" s="94">
        <v>1.24166148427919</v>
      </c>
      <c r="M266" s="89">
        <f t="shared" si="18"/>
        <v>1.2416899253270599</v>
      </c>
      <c r="N266" s="89">
        <f t="shared" si="17"/>
        <v>1.1970031453609182</v>
      </c>
      <c r="O266" s="89">
        <f t="shared" si="19"/>
        <v>3.7828541839848434E-2</v>
      </c>
    </row>
    <row r="267" spans="1:15" x14ac:dyDescent="0.2">
      <c r="A267" s="21" t="s">
        <v>1167</v>
      </c>
      <c r="B267" s="21" t="s">
        <v>550</v>
      </c>
      <c r="C267" s="21" t="s">
        <v>551</v>
      </c>
      <c r="D267" s="21" t="s">
        <v>2228</v>
      </c>
      <c r="E267" s="21" t="s">
        <v>2229</v>
      </c>
      <c r="F267" s="21" t="s">
        <v>39</v>
      </c>
      <c r="G267" s="21" t="s">
        <v>986</v>
      </c>
      <c r="H267" s="21" t="s">
        <v>3482</v>
      </c>
      <c r="I267" s="21">
        <v>29</v>
      </c>
      <c r="J267" s="89">
        <f t="shared" si="16"/>
        <v>3.2731376975169299E-2</v>
      </c>
      <c r="K267" s="94">
        <v>1.22463900574257</v>
      </c>
      <c r="L267" s="94">
        <v>1.2257871557978901</v>
      </c>
      <c r="M267" s="89">
        <f t="shared" si="18"/>
        <v>1.22463900574257</v>
      </c>
      <c r="N267" s="89">
        <f t="shared" si="17"/>
        <v>1.1805658658456202</v>
      </c>
      <c r="O267" s="89">
        <f t="shared" si="19"/>
        <v>3.8641546399010143E-2</v>
      </c>
    </row>
    <row r="268" spans="1:15" x14ac:dyDescent="0.2">
      <c r="A268" s="21" t="s">
        <v>1167</v>
      </c>
      <c r="B268" s="21" t="s">
        <v>550</v>
      </c>
      <c r="C268" s="21" t="s">
        <v>551</v>
      </c>
      <c r="D268" s="21" t="s">
        <v>2230</v>
      </c>
      <c r="E268" s="21" t="s">
        <v>2231</v>
      </c>
      <c r="F268" s="21" t="s">
        <v>40</v>
      </c>
      <c r="G268" s="21" t="s">
        <v>41</v>
      </c>
      <c r="H268" s="21" t="s">
        <v>3453</v>
      </c>
      <c r="I268" s="21">
        <v>29</v>
      </c>
      <c r="J268" s="89">
        <f t="shared" si="16"/>
        <v>3.2731376975169299E-2</v>
      </c>
      <c r="K268" s="94">
        <v>1.2301724253905599</v>
      </c>
      <c r="L268" s="94">
        <v>1.2296494628432999</v>
      </c>
      <c r="M268" s="89">
        <f t="shared" si="18"/>
        <v>1.2301724253905599</v>
      </c>
      <c r="N268" s="89">
        <f t="shared" si="17"/>
        <v>1.1859001450309017</v>
      </c>
      <c r="O268" s="89">
        <f t="shared" si="19"/>
        <v>3.8816144701914385E-2</v>
      </c>
    </row>
    <row r="269" spans="1:15" x14ac:dyDescent="0.2">
      <c r="A269" s="21" t="s">
        <v>1167</v>
      </c>
      <c r="B269" s="21" t="s">
        <v>550</v>
      </c>
      <c r="C269" s="21" t="s">
        <v>551</v>
      </c>
      <c r="D269" s="21" t="s">
        <v>728</v>
      </c>
      <c r="E269" s="21" t="s">
        <v>729</v>
      </c>
      <c r="F269" s="21" t="s">
        <v>42</v>
      </c>
      <c r="G269" s="21" t="s">
        <v>43</v>
      </c>
      <c r="H269" s="21" t="s">
        <v>3447</v>
      </c>
      <c r="I269" s="21">
        <v>70</v>
      </c>
      <c r="J269" s="89">
        <f t="shared" si="16"/>
        <v>7.900677200902935E-2</v>
      </c>
      <c r="K269" s="94" t="e">
        <v>#N/A</v>
      </c>
      <c r="L269" s="94">
        <v>1.2373669892266901</v>
      </c>
      <c r="M269" s="89">
        <f t="shared" si="18"/>
        <v>1.2373669892266901</v>
      </c>
      <c r="N269" s="89">
        <f t="shared" si="17"/>
        <v>1.1928357860195964</v>
      </c>
      <c r="O269" s="89">
        <f t="shared" si="19"/>
        <v>9.4242104990261574E-2</v>
      </c>
    </row>
    <row r="270" spans="1:15" x14ac:dyDescent="0.2">
      <c r="A270" s="21" t="s">
        <v>1167</v>
      </c>
      <c r="B270" s="21" t="s">
        <v>550</v>
      </c>
      <c r="C270" s="21" t="s">
        <v>551</v>
      </c>
      <c r="D270" s="21" t="s">
        <v>2232</v>
      </c>
      <c r="E270" s="21" t="s">
        <v>2233</v>
      </c>
      <c r="F270" s="21" t="s">
        <v>44</v>
      </c>
      <c r="G270" s="21" t="s">
        <v>34</v>
      </c>
      <c r="H270" s="21" t="s">
        <v>3453</v>
      </c>
      <c r="I270" s="21">
        <v>134</v>
      </c>
      <c r="J270" s="89">
        <f t="shared" si="16"/>
        <v>0.15124153498871332</v>
      </c>
      <c r="K270" s="94" t="e">
        <v>#N/A</v>
      </c>
      <c r="L270" s="94">
        <v>1.2396665853408699</v>
      </c>
      <c r="M270" s="89">
        <f t="shared" si="18"/>
        <v>1.2396665853408699</v>
      </c>
      <c r="N270" s="89">
        <f t="shared" si="17"/>
        <v>1.1950526227077156</v>
      </c>
      <c r="O270" s="89">
        <f t="shared" si="19"/>
        <v>0.18074159305060258</v>
      </c>
    </row>
    <row r="271" spans="1:15" x14ac:dyDescent="0.2">
      <c r="A271" s="21" t="s">
        <v>1167</v>
      </c>
      <c r="B271" s="21" t="s">
        <v>550</v>
      </c>
      <c r="C271" s="21" t="s">
        <v>551</v>
      </c>
      <c r="D271" s="21" t="s">
        <v>2234</v>
      </c>
      <c r="E271" s="21" t="s">
        <v>2235</v>
      </c>
      <c r="F271" s="21" t="s">
        <v>42</v>
      </c>
      <c r="G271" s="21" t="s">
        <v>43</v>
      </c>
      <c r="H271" s="21" t="s">
        <v>3447</v>
      </c>
      <c r="I271" s="21">
        <v>185</v>
      </c>
      <c r="J271" s="89">
        <f t="shared" si="16"/>
        <v>0.20880361173814899</v>
      </c>
      <c r="K271" s="94">
        <v>1.23785884842714</v>
      </c>
      <c r="L271" s="94">
        <v>1.2373669892266901</v>
      </c>
      <c r="M271" s="89">
        <f t="shared" si="18"/>
        <v>1.23785884842714</v>
      </c>
      <c r="N271" s="89">
        <f t="shared" si="17"/>
        <v>1.193309943857237</v>
      </c>
      <c r="O271" s="89">
        <f t="shared" si="19"/>
        <v>0.24916742620043889</v>
      </c>
    </row>
    <row r="272" spans="1:15" x14ac:dyDescent="0.2">
      <c r="A272" s="21" t="s">
        <v>1167</v>
      </c>
      <c r="B272" s="21" t="s">
        <v>550</v>
      </c>
      <c r="C272" s="21" t="s">
        <v>551</v>
      </c>
      <c r="D272" s="21" t="s">
        <v>2236</v>
      </c>
      <c r="E272" s="21" t="s">
        <v>2237</v>
      </c>
      <c r="F272" s="21" t="s">
        <v>45</v>
      </c>
      <c r="G272" s="21" t="s">
        <v>46</v>
      </c>
      <c r="H272" s="21" t="s">
        <v>458</v>
      </c>
      <c r="I272" s="21">
        <v>381</v>
      </c>
      <c r="J272" s="89">
        <f t="shared" si="16"/>
        <v>0.43002257336343114</v>
      </c>
      <c r="K272" s="94" t="e">
        <v>#N/A</v>
      </c>
      <c r="L272" s="94">
        <v>1.21822562842103</v>
      </c>
      <c r="M272" s="89">
        <f t="shared" si="18"/>
        <v>1.21822562842103</v>
      </c>
      <c r="N272" s="89">
        <f t="shared" si="17"/>
        <v>1.1743832975009123</v>
      </c>
      <c r="O272" s="89">
        <f t="shared" si="19"/>
        <v>0.50501132770637425</v>
      </c>
    </row>
    <row r="273" spans="1:15" x14ac:dyDescent="0.2">
      <c r="A273" s="21" t="s">
        <v>1127</v>
      </c>
      <c r="B273" s="21" t="s">
        <v>2273</v>
      </c>
      <c r="C273" s="21" t="s">
        <v>2238</v>
      </c>
      <c r="D273" s="21" t="s">
        <v>2239</v>
      </c>
      <c r="E273" s="21" t="s">
        <v>2240</v>
      </c>
      <c r="F273" s="21" t="s">
        <v>47</v>
      </c>
      <c r="G273" s="21" t="s">
        <v>48</v>
      </c>
      <c r="H273" s="21" t="s">
        <v>1149</v>
      </c>
      <c r="I273" s="21">
        <v>14</v>
      </c>
      <c r="J273" s="89">
        <f t="shared" si="16"/>
        <v>4.8951048951048952E-2</v>
      </c>
      <c r="K273" s="94">
        <v>1.1132350719541</v>
      </c>
      <c r="L273" s="94">
        <v>1.11251912297799</v>
      </c>
      <c r="M273" s="89">
        <f t="shared" si="18"/>
        <v>1.1132350719541</v>
      </c>
      <c r="N273" s="89">
        <f t="shared" si="17"/>
        <v>1.0731712124539905</v>
      </c>
      <c r="O273" s="89">
        <f t="shared" si="19"/>
        <v>5.2532856553691845E-2</v>
      </c>
    </row>
    <row r="274" spans="1:15" x14ac:dyDescent="0.2">
      <c r="A274" s="21" t="s">
        <v>1127</v>
      </c>
      <c r="B274" s="21" t="s">
        <v>2273</v>
      </c>
      <c r="C274" s="21" t="s">
        <v>2238</v>
      </c>
      <c r="D274" s="21" t="s">
        <v>2241</v>
      </c>
      <c r="E274" s="21" t="s">
        <v>2242</v>
      </c>
      <c r="F274" s="21" t="s">
        <v>49</v>
      </c>
      <c r="G274" s="21" t="s">
        <v>863</v>
      </c>
      <c r="H274" s="21" t="s">
        <v>1149</v>
      </c>
      <c r="I274" s="21">
        <v>16</v>
      </c>
      <c r="J274" s="89">
        <f t="shared" si="16"/>
        <v>5.5944055944055944E-2</v>
      </c>
      <c r="K274" s="94">
        <v>1.1041985457633601</v>
      </c>
      <c r="L274" s="94">
        <v>1.104206176063</v>
      </c>
      <c r="M274" s="89">
        <f t="shared" si="18"/>
        <v>1.1041985457633601</v>
      </c>
      <c r="N274" s="89">
        <f t="shared" si="17"/>
        <v>1.0644598989023382</v>
      </c>
      <c r="O274" s="89">
        <f t="shared" si="19"/>
        <v>5.9550204134396538E-2</v>
      </c>
    </row>
    <row r="275" spans="1:15" x14ac:dyDescent="0.2">
      <c r="A275" s="21" t="s">
        <v>1127</v>
      </c>
      <c r="B275" s="21" t="s">
        <v>2273</v>
      </c>
      <c r="C275" s="21" t="s">
        <v>2238</v>
      </c>
      <c r="D275" s="21" t="s">
        <v>2243</v>
      </c>
      <c r="E275" s="21" t="s">
        <v>2244</v>
      </c>
      <c r="F275" s="21" t="s">
        <v>50</v>
      </c>
      <c r="G275" s="21" t="s">
        <v>51</v>
      </c>
      <c r="H275" s="21" t="s">
        <v>1131</v>
      </c>
      <c r="I275" s="21">
        <v>16</v>
      </c>
      <c r="J275" s="89">
        <f t="shared" si="16"/>
        <v>5.5944055944055944E-2</v>
      </c>
      <c r="K275" s="94">
        <v>1.1001196510925599</v>
      </c>
      <c r="L275" s="94">
        <v>1.1001532890347101</v>
      </c>
      <c r="M275" s="89">
        <f t="shared" si="18"/>
        <v>1.1001196510925599</v>
      </c>
      <c r="N275" s="89">
        <f t="shared" si="17"/>
        <v>1.0605277982619485</v>
      </c>
      <c r="O275" s="89">
        <f t="shared" si="19"/>
        <v>5.9330226476192925E-2</v>
      </c>
    </row>
    <row r="276" spans="1:15" x14ac:dyDescent="0.2">
      <c r="A276" s="21" t="s">
        <v>1127</v>
      </c>
      <c r="B276" s="21" t="s">
        <v>2273</v>
      </c>
      <c r="C276" s="21" t="s">
        <v>2238</v>
      </c>
      <c r="D276" s="21" t="s">
        <v>2245</v>
      </c>
      <c r="E276" s="21" t="s">
        <v>2246</v>
      </c>
      <c r="F276" s="21" t="s">
        <v>52</v>
      </c>
      <c r="G276" s="21" t="s">
        <v>53</v>
      </c>
      <c r="H276" s="21" t="s">
        <v>1149</v>
      </c>
      <c r="I276" s="21">
        <v>16</v>
      </c>
      <c r="J276" s="89">
        <f t="shared" si="16"/>
        <v>5.5944055944055944E-2</v>
      </c>
      <c r="K276" s="94" t="e">
        <v>#N/A</v>
      </c>
      <c r="L276" s="94">
        <v>1.10902304383321</v>
      </c>
      <c r="M276" s="89">
        <f t="shared" si="18"/>
        <v>1.10902304383321</v>
      </c>
      <c r="N276" s="89">
        <f t="shared" si="17"/>
        <v>1.069110769660492</v>
      </c>
      <c r="O276" s="89">
        <f t="shared" si="19"/>
        <v>5.9810392708279272E-2</v>
      </c>
    </row>
    <row r="277" spans="1:15" x14ac:dyDescent="0.2">
      <c r="A277" s="21" t="s">
        <v>1127</v>
      </c>
      <c r="B277" s="21" t="s">
        <v>2273</v>
      </c>
      <c r="C277" s="21" t="s">
        <v>2238</v>
      </c>
      <c r="D277" s="21" t="s">
        <v>2247</v>
      </c>
      <c r="E277" s="21" t="s">
        <v>2248</v>
      </c>
      <c r="F277" s="21" t="s">
        <v>54</v>
      </c>
      <c r="G277" s="21" t="s">
        <v>55</v>
      </c>
      <c r="H277" s="21" t="s">
        <v>1131</v>
      </c>
      <c r="I277" s="21">
        <v>16</v>
      </c>
      <c r="J277" s="89">
        <f t="shared" si="16"/>
        <v>5.5944055944055944E-2</v>
      </c>
      <c r="K277" s="94">
        <v>1.1047496152858001</v>
      </c>
      <c r="L277" s="94">
        <v>1.1020232121546101</v>
      </c>
      <c r="M277" s="89">
        <f t="shared" si="18"/>
        <v>1.1047496152858001</v>
      </c>
      <c r="N277" s="89">
        <f t="shared" si="17"/>
        <v>1.0649911361607054</v>
      </c>
      <c r="O277" s="89">
        <f t="shared" si="19"/>
        <v>5.9579923701298207E-2</v>
      </c>
    </row>
    <row r="278" spans="1:15" x14ac:dyDescent="0.2">
      <c r="A278" s="21" t="s">
        <v>1127</v>
      </c>
      <c r="B278" s="21" t="s">
        <v>2273</v>
      </c>
      <c r="C278" s="21" t="s">
        <v>2238</v>
      </c>
      <c r="D278" s="21" t="s">
        <v>2249</v>
      </c>
      <c r="E278" s="21" t="s">
        <v>2250</v>
      </c>
      <c r="F278" s="21" t="s">
        <v>56</v>
      </c>
      <c r="G278" s="21" t="s">
        <v>57</v>
      </c>
      <c r="H278" s="21" t="s">
        <v>1131</v>
      </c>
      <c r="I278" s="21">
        <v>16</v>
      </c>
      <c r="J278" s="89">
        <f t="shared" si="16"/>
        <v>5.5944055944055944E-2</v>
      </c>
      <c r="K278" s="94">
        <v>1.04984161321767</v>
      </c>
      <c r="L278" s="94">
        <v>1.04935412097457</v>
      </c>
      <c r="M278" s="89">
        <f t="shared" si="18"/>
        <v>1.04984161321767</v>
      </c>
      <c r="N278" s="89">
        <f t="shared" si="17"/>
        <v>1.0120592005458429</v>
      </c>
      <c r="O278" s="89">
        <f t="shared" si="19"/>
        <v>5.6618696534033168E-2</v>
      </c>
    </row>
    <row r="279" spans="1:15" x14ac:dyDescent="0.2">
      <c r="A279" s="21" t="s">
        <v>1127</v>
      </c>
      <c r="B279" s="21" t="s">
        <v>2273</v>
      </c>
      <c r="C279" s="21" t="s">
        <v>2238</v>
      </c>
      <c r="D279" s="21" t="s">
        <v>2251</v>
      </c>
      <c r="E279" s="21" t="s">
        <v>2252</v>
      </c>
      <c r="F279" s="21" t="s">
        <v>52</v>
      </c>
      <c r="G279" s="21" t="s">
        <v>53</v>
      </c>
      <c r="H279" s="21" t="s">
        <v>1149</v>
      </c>
      <c r="I279" s="21">
        <v>21</v>
      </c>
      <c r="J279" s="89">
        <f t="shared" si="16"/>
        <v>7.3426573426573424E-2</v>
      </c>
      <c r="K279" s="94" t="e">
        <v>#N/A</v>
      </c>
      <c r="L279" s="94">
        <v>1.10902304383321</v>
      </c>
      <c r="M279" s="89">
        <f t="shared" si="18"/>
        <v>1.10902304383321</v>
      </c>
      <c r="N279" s="89">
        <f t="shared" si="17"/>
        <v>1.069110769660492</v>
      </c>
      <c r="O279" s="89">
        <f t="shared" si="19"/>
        <v>7.8501140429616548E-2</v>
      </c>
    </row>
    <row r="280" spans="1:15" x14ac:dyDescent="0.2">
      <c r="A280" s="21" t="s">
        <v>1127</v>
      </c>
      <c r="B280" s="21" t="s">
        <v>2273</v>
      </c>
      <c r="C280" s="21" t="s">
        <v>2238</v>
      </c>
      <c r="D280" s="21" t="s">
        <v>2253</v>
      </c>
      <c r="E280" s="21" t="s">
        <v>2254</v>
      </c>
      <c r="F280" s="21" t="s">
        <v>54</v>
      </c>
      <c r="G280" s="21" t="s">
        <v>55</v>
      </c>
      <c r="H280" s="21" t="s">
        <v>1131</v>
      </c>
      <c r="I280" s="21">
        <v>25</v>
      </c>
      <c r="J280" s="89">
        <f t="shared" si="16"/>
        <v>8.7412587412587409E-2</v>
      </c>
      <c r="K280" s="94">
        <v>1.1047496152858001</v>
      </c>
      <c r="L280" s="94">
        <v>1.1020232121546101</v>
      </c>
      <c r="M280" s="89">
        <f t="shared" si="18"/>
        <v>1.1047496152858001</v>
      </c>
      <c r="N280" s="89">
        <f t="shared" si="17"/>
        <v>1.0649911361607054</v>
      </c>
      <c r="O280" s="89">
        <f t="shared" si="19"/>
        <v>9.3093630783278439E-2</v>
      </c>
    </row>
    <row r="281" spans="1:15" x14ac:dyDescent="0.2">
      <c r="A281" s="21" t="s">
        <v>1127</v>
      </c>
      <c r="B281" s="21" t="s">
        <v>2273</v>
      </c>
      <c r="C281" s="21" t="s">
        <v>2238</v>
      </c>
      <c r="D281" s="21" t="s">
        <v>2255</v>
      </c>
      <c r="E281" s="21" t="s">
        <v>2256</v>
      </c>
      <c r="F281" s="21" t="s">
        <v>58</v>
      </c>
      <c r="G281" s="21" t="s">
        <v>57</v>
      </c>
      <c r="H281" s="21" t="s">
        <v>1131</v>
      </c>
      <c r="I281" s="21">
        <v>26</v>
      </c>
      <c r="J281" s="89">
        <f t="shared" si="16"/>
        <v>9.0909090909090912E-2</v>
      </c>
      <c r="K281" s="94">
        <v>1.0498068174186199</v>
      </c>
      <c r="L281" s="94">
        <v>1.04935412097457</v>
      </c>
      <c r="M281" s="89">
        <f t="shared" si="18"/>
        <v>1.0498068174186199</v>
      </c>
      <c r="N281" s="89">
        <f t="shared" si="17"/>
        <v>1.0120256570016304</v>
      </c>
      <c r="O281" s="89">
        <f t="shared" si="19"/>
        <v>9.2002332454693678E-2</v>
      </c>
    </row>
    <row r="282" spans="1:15" x14ac:dyDescent="0.2">
      <c r="A282" s="21" t="s">
        <v>1127</v>
      </c>
      <c r="B282" s="21" t="s">
        <v>2273</v>
      </c>
      <c r="C282" s="21" t="s">
        <v>2238</v>
      </c>
      <c r="D282" s="21" t="s">
        <v>2257</v>
      </c>
      <c r="E282" s="21" t="s">
        <v>2258</v>
      </c>
      <c r="F282" s="21" t="s">
        <v>59</v>
      </c>
      <c r="G282" s="21" t="s">
        <v>60</v>
      </c>
      <c r="H282" s="21" t="s">
        <v>1149</v>
      </c>
      <c r="I282" s="21">
        <v>35</v>
      </c>
      <c r="J282" s="89">
        <f t="shared" si="16"/>
        <v>0.12237762237762238</v>
      </c>
      <c r="K282" s="94">
        <v>1.1041170109170599</v>
      </c>
      <c r="L282" s="94">
        <v>1.1021237438004701</v>
      </c>
      <c r="M282" s="89">
        <f t="shared" si="18"/>
        <v>1.1041170109170599</v>
      </c>
      <c r="N282" s="89">
        <f t="shared" si="17"/>
        <v>1.0643812983874372</v>
      </c>
      <c r="O282" s="89">
        <f t="shared" si="19"/>
        <v>0.13025645259986121</v>
      </c>
    </row>
    <row r="283" spans="1:15" x14ac:dyDescent="0.2">
      <c r="A283" s="21" t="s">
        <v>1127</v>
      </c>
      <c r="B283" s="21" t="s">
        <v>2273</v>
      </c>
      <c r="C283" s="21" t="s">
        <v>2238</v>
      </c>
      <c r="D283" s="21" t="s">
        <v>728</v>
      </c>
      <c r="E283" s="21" t="s">
        <v>729</v>
      </c>
      <c r="F283" s="21" t="s">
        <v>52</v>
      </c>
      <c r="G283" s="21" t="s">
        <v>53</v>
      </c>
      <c r="H283" s="21" t="s">
        <v>1149</v>
      </c>
      <c r="I283" s="21">
        <v>85</v>
      </c>
      <c r="J283" s="89">
        <f t="shared" si="16"/>
        <v>0.29720279720279719</v>
      </c>
      <c r="K283" s="94" t="e">
        <v>#N/A</v>
      </c>
      <c r="L283" s="94">
        <v>1.10902304383321</v>
      </c>
      <c r="M283" s="89">
        <f t="shared" si="18"/>
        <v>1.10902304383321</v>
      </c>
      <c r="N283" s="89">
        <f t="shared" si="17"/>
        <v>1.069110769660492</v>
      </c>
      <c r="O283" s="89">
        <f t="shared" si="19"/>
        <v>0.31774271126273362</v>
      </c>
    </row>
    <row r="284" spans="1:15" x14ac:dyDescent="0.2">
      <c r="A284" s="21" t="s">
        <v>1167</v>
      </c>
      <c r="B284" s="21" t="s">
        <v>3664</v>
      </c>
      <c r="C284" s="21" t="s">
        <v>3665</v>
      </c>
      <c r="D284" s="21" t="s">
        <v>2259</v>
      </c>
      <c r="E284" s="21" t="s">
        <v>2260</v>
      </c>
      <c r="F284" s="21" t="s">
        <v>61</v>
      </c>
      <c r="G284" s="21" t="s">
        <v>62</v>
      </c>
      <c r="H284" s="21" t="s">
        <v>3468</v>
      </c>
      <c r="I284" s="21">
        <v>168</v>
      </c>
      <c r="J284" s="89">
        <f t="shared" si="16"/>
        <v>0.24207492795389049</v>
      </c>
      <c r="K284" s="94">
        <v>1.23272039879381</v>
      </c>
      <c r="L284" s="94">
        <v>1.2317990364613101</v>
      </c>
      <c r="M284" s="89">
        <f t="shared" si="18"/>
        <v>1.23272039879381</v>
      </c>
      <c r="N284" s="89">
        <f t="shared" si="17"/>
        <v>1.1883564202375987</v>
      </c>
      <c r="O284" s="89">
        <f t="shared" si="19"/>
        <v>0.28767129481255993</v>
      </c>
    </row>
    <row r="285" spans="1:15" x14ac:dyDescent="0.2">
      <c r="A285" s="21" t="s">
        <v>1167</v>
      </c>
      <c r="B285" s="21" t="s">
        <v>3664</v>
      </c>
      <c r="C285" s="21" t="s">
        <v>3665</v>
      </c>
      <c r="D285" s="21" t="s">
        <v>2261</v>
      </c>
      <c r="E285" s="21" t="s">
        <v>1178</v>
      </c>
      <c r="F285" s="21" t="s">
        <v>63</v>
      </c>
      <c r="G285" s="21" t="s">
        <v>64</v>
      </c>
      <c r="H285" s="21" t="s">
        <v>3468</v>
      </c>
      <c r="I285" s="21">
        <v>526</v>
      </c>
      <c r="J285" s="89">
        <f t="shared" si="16"/>
        <v>0.75792507204610948</v>
      </c>
      <c r="K285" s="94">
        <v>1.2206282964486199</v>
      </c>
      <c r="L285" s="94">
        <v>1.2197433579860799</v>
      </c>
      <c r="M285" s="89">
        <f t="shared" si="18"/>
        <v>1.2206282964486199</v>
      </c>
      <c r="N285" s="89">
        <f t="shared" si="17"/>
        <v>1.1766994966804505</v>
      </c>
      <c r="O285" s="89">
        <f t="shared" si="19"/>
        <v>0.89185005079815116</v>
      </c>
    </row>
    <row r="286" spans="1:15" x14ac:dyDescent="0.2">
      <c r="A286" s="21" t="s">
        <v>1167</v>
      </c>
      <c r="B286" s="21" t="s">
        <v>3224</v>
      </c>
      <c r="C286" s="21" t="s">
        <v>2262</v>
      </c>
      <c r="D286" s="21" t="s">
        <v>1179</v>
      </c>
      <c r="E286" s="21" t="s">
        <v>1180</v>
      </c>
      <c r="F286" s="21" t="s">
        <v>65</v>
      </c>
      <c r="G286" s="21" t="s">
        <v>66</v>
      </c>
      <c r="H286" s="21" t="s">
        <v>1171</v>
      </c>
      <c r="I286" s="21">
        <v>430</v>
      </c>
      <c r="J286" s="89">
        <f t="shared" si="16"/>
        <v>0.48478015783540024</v>
      </c>
      <c r="K286" s="94">
        <v>1.21278823863461</v>
      </c>
      <c r="L286" s="94">
        <v>1.21292448684056</v>
      </c>
      <c r="M286" s="89">
        <f t="shared" si="18"/>
        <v>1.21278823863461</v>
      </c>
      <c r="N286" s="89">
        <f t="shared" si="17"/>
        <v>1.1691415921893518</v>
      </c>
      <c r="O286" s="89">
        <f t="shared" si="19"/>
        <v>0.56677664559348506</v>
      </c>
    </row>
    <row r="287" spans="1:15" x14ac:dyDescent="0.2">
      <c r="A287" s="21" t="s">
        <v>1167</v>
      </c>
      <c r="B287" s="21" t="s">
        <v>3224</v>
      </c>
      <c r="C287" s="21" t="s">
        <v>2262</v>
      </c>
      <c r="D287" s="21" t="s">
        <v>1181</v>
      </c>
      <c r="E287" s="21" t="s">
        <v>1182</v>
      </c>
      <c r="F287" s="21" t="s">
        <v>67</v>
      </c>
      <c r="G287" s="21" t="s">
        <v>68</v>
      </c>
      <c r="H287" s="21" t="s">
        <v>3466</v>
      </c>
      <c r="I287" s="21">
        <v>457</v>
      </c>
      <c r="J287" s="89">
        <f t="shared" si="16"/>
        <v>0.51521984216459982</v>
      </c>
      <c r="K287" s="94">
        <v>1.21066599129908</v>
      </c>
      <c r="L287" s="94">
        <v>1.21193195262228</v>
      </c>
      <c r="M287" s="89">
        <f t="shared" si="18"/>
        <v>1.21066599129908</v>
      </c>
      <c r="N287" s="89">
        <f t="shared" si="17"/>
        <v>1.1670957217316413</v>
      </c>
      <c r="O287" s="89">
        <f t="shared" si="19"/>
        <v>0.60131087354155599</v>
      </c>
    </row>
    <row r="288" spans="1:15" x14ac:dyDescent="0.2">
      <c r="A288" s="21" t="s">
        <v>1167</v>
      </c>
      <c r="B288" s="21" t="s">
        <v>2363</v>
      </c>
      <c r="C288" s="21" t="s">
        <v>2364</v>
      </c>
      <c r="D288" s="21" t="s">
        <v>1183</v>
      </c>
      <c r="E288" s="21" t="s">
        <v>1184</v>
      </c>
      <c r="F288" s="21" t="s">
        <v>69</v>
      </c>
      <c r="G288" s="21" t="s">
        <v>70</v>
      </c>
      <c r="H288" s="21" t="s">
        <v>3498</v>
      </c>
      <c r="I288" s="21">
        <v>306</v>
      </c>
      <c r="J288" s="89">
        <f t="shared" si="16"/>
        <v>0.37135922330097088</v>
      </c>
      <c r="K288" s="94">
        <v>1.2056799420858699</v>
      </c>
      <c r="L288" s="94">
        <v>1.20567783878868</v>
      </c>
      <c r="M288" s="89">
        <f t="shared" si="18"/>
        <v>1.2056799420858699</v>
      </c>
      <c r="N288" s="89">
        <f t="shared" si="17"/>
        <v>1.162289113842345</v>
      </c>
      <c r="O288" s="89">
        <f t="shared" si="19"/>
        <v>0.43162678256766696</v>
      </c>
    </row>
    <row r="289" spans="1:15" x14ac:dyDescent="0.2">
      <c r="A289" s="21" t="s">
        <v>1167</v>
      </c>
      <c r="B289" s="21" t="s">
        <v>2363</v>
      </c>
      <c r="C289" s="21" t="s">
        <v>2364</v>
      </c>
      <c r="D289" s="21" t="s">
        <v>1185</v>
      </c>
      <c r="E289" s="21" t="s">
        <v>1186</v>
      </c>
      <c r="F289" s="21" t="s">
        <v>71</v>
      </c>
      <c r="G289" s="21" t="s">
        <v>72</v>
      </c>
      <c r="H289" s="21" t="s">
        <v>3444</v>
      </c>
      <c r="I289" s="21">
        <v>518</v>
      </c>
      <c r="J289" s="89">
        <f t="shared" si="16"/>
        <v>0.62864077669902918</v>
      </c>
      <c r="K289" s="94">
        <v>1.22046377311734</v>
      </c>
      <c r="L289" s="94">
        <v>1.2214860186440399</v>
      </c>
      <c r="M289" s="89">
        <f t="shared" si="18"/>
        <v>1.22046377311734</v>
      </c>
      <c r="N289" s="89">
        <f t="shared" si="17"/>
        <v>1.176540894326505</v>
      </c>
      <c r="O289" s="89">
        <f t="shared" si="19"/>
        <v>0.73962158162758451</v>
      </c>
    </row>
    <row r="290" spans="1:15" x14ac:dyDescent="0.2">
      <c r="A290" s="21" t="s">
        <v>3496</v>
      </c>
      <c r="B290" s="21" t="s">
        <v>2351</v>
      </c>
      <c r="C290" s="21" t="s">
        <v>2352</v>
      </c>
      <c r="D290" s="21" t="s">
        <v>1187</v>
      </c>
      <c r="E290" s="21" t="s">
        <v>1188</v>
      </c>
      <c r="F290" s="21" t="s">
        <v>73</v>
      </c>
      <c r="G290" s="21" t="s">
        <v>74</v>
      </c>
      <c r="H290" s="21" t="s">
        <v>3503</v>
      </c>
      <c r="I290" s="21">
        <v>260</v>
      </c>
      <c r="J290" s="89">
        <f t="shared" si="16"/>
        <v>0.25974025974025972</v>
      </c>
      <c r="K290" s="94">
        <v>0.97680472177367195</v>
      </c>
      <c r="L290" s="94">
        <v>0.97694999231432</v>
      </c>
      <c r="M290" s="89">
        <f t="shared" si="18"/>
        <v>0.97680472177367195</v>
      </c>
      <c r="N290" s="89">
        <f t="shared" si="17"/>
        <v>0.94165081033294662</v>
      </c>
      <c r="O290" s="89">
        <f t="shared" si="19"/>
        <v>0.2445846260605056</v>
      </c>
    </row>
    <row r="291" spans="1:15" x14ac:dyDescent="0.2">
      <c r="A291" s="21" t="s">
        <v>3496</v>
      </c>
      <c r="B291" s="21" t="s">
        <v>2351</v>
      </c>
      <c r="C291" s="21" t="s">
        <v>2352</v>
      </c>
      <c r="D291" s="21" t="s">
        <v>1189</v>
      </c>
      <c r="E291" s="21" t="s">
        <v>1190</v>
      </c>
      <c r="F291" s="21" t="s">
        <v>75</v>
      </c>
      <c r="G291" s="21" t="s">
        <v>76</v>
      </c>
      <c r="H291" s="21" t="s">
        <v>3503</v>
      </c>
      <c r="I291" s="21">
        <v>346</v>
      </c>
      <c r="J291" s="89">
        <f t="shared" si="16"/>
        <v>0.34565434565434566</v>
      </c>
      <c r="K291" s="94">
        <v>0.97880362715823499</v>
      </c>
      <c r="L291" s="94">
        <v>0.97863521608677195</v>
      </c>
      <c r="M291" s="89">
        <f t="shared" si="18"/>
        <v>0.97880362715823499</v>
      </c>
      <c r="N291" s="89">
        <f t="shared" si="17"/>
        <v>0.94357777775355334</v>
      </c>
      <c r="O291" s="89">
        <f t="shared" si="19"/>
        <v>0.32615175934338608</v>
      </c>
    </row>
    <row r="292" spans="1:15" x14ac:dyDescent="0.2">
      <c r="A292" s="21" t="s">
        <v>3496</v>
      </c>
      <c r="B292" s="21" t="s">
        <v>2351</v>
      </c>
      <c r="C292" s="21" t="s">
        <v>2352</v>
      </c>
      <c r="D292" s="21" t="s">
        <v>1191</v>
      </c>
      <c r="E292" s="21" t="s">
        <v>1192</v>
      </c>
      <c r="F292" s="21" t="s">
        <v>77</v>
      </c>
      <c r="G292" s="21" t="s">
        <v>78</v>
      </c>
      <c r="H292" s="21" t="s">
        <v>3503</v>
      </c>
      <c r="I292" s="21">
        <v>395</v>
      </c>
      <c r="J292" s="89">
        <f t="shared" si="16"/>
        <v>0.39460539460539462</v>
      </c>
      <c r="K292" s="94">
        <v>0.98436366122707497</v>
      </c>
      <c r="L292" s="94">
        <v>0.98635647987884001</v>
      </c>
      <c r="M292" s="89">
        <f t="shared" si="18"/>
        <v>0.98436366122707497</v>
      </c>
      <c r="N292" s="89">
        <f t="shared" si="17"/>
        <v>0.94893771354183987</v>
      </c>
      <c r="O292" s="89">
        <f t="shared" si="19"/>
        <v>0.37445594090811862</v>
      </c>
    </row>
    <row r="293" spans="1:15" x14ac:dyDescent="0.2">
      <c r="A293" s="21" t="s">
        <v>708</v>
      </c>
      <c r="B293" s="21" t="s">
        <v>3660</v>
      </c>
      <c r="C293" s="21" t="s">
        <v>3661</v>
      </c>
      <c r="D293" s="21" t="s">
        <v>1193</v>
      </c>
      <c r="E293" s="21" t="s">
        <v>1194</v>
      </c>
      <c r="F293" s="21" t="s">
        <v>79</v>
      </c>
      <c r="G293" s="21" t="s">
        <v>80</v>
      </c>
      <c r="H293" s="21" t="s">
        <v>639</v>
      </c>
      <c r="I293" s="21">
        <v>245</v>
      </c>
      <c r="J293" s="89">
        <f t="shared" si="16"/>
        <v>0.330188679245283</v>
      </c>
      <c r="K293" s="94">
        <v>0.94403948419334305</v>
      </c>
      <c r="L293" s="94">
        <v>0.94399860579897499</v>
      </c>
      <c r="M293" s="89">
        <f t="shared" si="18"/>
        <v>0.94403948419334305</v>
      </c>
      <c r="N293" s="89">
        <f t="shared" si="17"/>
        <v>0.91006475036566381</v>
      </c>
      <c r="O293" s="89">
        <f t="shared" si="19"/>
        <v>0.30049307795092672</v>
      </c>
    </row>
    <row r="294" spans="1:15" x14ac:dyDescent="0.2">
      <c r="A294" s="21" t="s">
        <v>708</v>
      </c>
      <c r="B294" s="21" t="s">
        <v>3660</v>
      </c>
      <c r="C294" s="21" t="s">
        <v>3661</v>
      </c>
      <c r="D294" s="21" t="s">
        <v>1195</v>
      </c>
      <c r="E294" s="21" t="s">
        <v>1196</v>
      </c>
      <c r="F294" s="21" t="s">
        <v>81</v>
      </c>
      <c r="G294" s="21" t="s">
        <v>82</v>
      </c>
      <c r="H294" s="21" t="s">
        <v>3591</v>
      </c>
      <c r="I294" s="21">
        <v>497</v>
      </c>
      <c r="J294" s="89">
        <f t="shared" si="16"/>
        <v>0.66981132075471694</v>
      </c>
      <c r="K294" s="94">
        <v>0.94839654560599596</v>
      </c>
      <c r="L294" s="94">
        <v>0.94841232429583</v>
      </c>
      <c r="M294" s="89">
        <f t="shared" si="18"/>
        <v>0.94839654560599596</v>
      </c>
      <c r="N294" s="89">
        <f t="shared" si="17"/>
        <v>0.91426500689436396</v>
      </c>
      <c r="O294" s="89">
        <f t="shared" si="19"/>
        <v>0.61238505178773428</v>
      </c>
    </row>
    <row r="295" spans="1:15" x14ac:dyDescent="0.2">
      <c r="A295" s="21" t="s">
        <v>2975</v>
      </c>
      <c r="B295" s="21" t="s">
        <v>571</v>
      </c>
      <c r="C295" s="21" t="s">
        <v>572</v>
      </c>
      <c r="D295" s="21" t="s">
        <v>1197</v>
      </c>
      <c r="E295" s="21" t="s">
        <v>1198</v>
      </c>
      <c r="F295" s="21" t="s">
        <v>83</v>
      </c>
      <c r="G295" s="21" t="s">
        <v>84</v>
      </c>
      <c r="H295" s="21" t="s">
        <v>3002</v>
      </c>
      <c r="I295" s="21">
        <v>142</v>
      </c>
      <c r="J295" s="89">
        <f t="shared" si="16"/>
        <v>0.27255278310940501</v>
      </c>
      <c r="K295" s="94">
        <v>0.975918181781539</v>
      </c>
      <c r="L295" s="94">
        <v>0.97555044064190199</v>
      </c>
      <c r="M295" s="89">
        <f t="shared" si="18"/>
        <v>0.975918181781539</v>
      </c>
      <c r="N295" s="89">
        <f t="shared" si="17"/>
        <v>0.94079617574388696</v>
      </c>
      <c r="O295" s="89">
        <f t="shared" si="19"/>
        <v>0.25641661603768129</v>
      </c>
    </row>
    <row r="296" spans="1:15" x14ac:dyDescent="0.2">
      <c r="A296" s="21" t="s">
        <v>2975</v>
      </c>
      <c r="B296" s="21" t="s">
        <v>571</v>
      </c>
      <c r="C296" s="21" t="s">
        <v>572</v>
      </c>
      <c r="D296" s="21" t="s">
        <v>1199</v>
      </c>
      <c r="E296" s="21" t="s">
        <v>1200</v>
      </c>
      <c r="F296" s="21" t="s">
        <v>85</v>
      </c>
      <c r="G296" s="21" t="s">
        <v>86</v>
      </c>
      <c r="H296" s="21" t="s">
        <v>3019</v>
      </c>
      <c r="I296" s="21">
        <v>379</v>
      </c>
      <c r="J296" s="89">
        <f t="shared" si="16"/>
        <v>0.72744721689059499</v>
      </c>
      <c r="K296" s="94">
        <v>0.96993645007640605</v>
      </c>
      <c r="L296" s="94">
        <v>0.96944886966785904</v>
      </c>
      <c r="M296" s="89">
        <f t="shared" si="18"/>
        <v>0.96993645007640605</v>
      </c>
      <c r="N296" s="89">
        <f t="shared" si="17"/>
        <v>0.93502971866011608</v>
      </c>
      <c r="O296" s="89">
        <f t="shared" si="19"/>
        <v>0.68018476654929749</v>
      </c>
    </row>
    <row r="297" spans="1:15" x14ac:dyDescent="0.2">
      <c r="A297" s="21" t="s">
        <v>191</v>
      </c>
      <c r="B297" s="21" t="s">
        <v>2385</v>
      </c>
      <c r="C297" s="21" t="s">
        <v>1201</v>
      </c>
      <c r="D297" s="21" t="s">
        <v>1202</v>
      </c>
      <c r="E297" s="21" t="s">
        <v>1203</v>
      </c>
      <c r="F297" s="21" t="s">
        <v>87</v>
      </c>
      <c r="G297" s="21" t="s">
        <v>88</v>
      </c>
      <c r="H297" s="21" t="s">
        <v>192</v>
      </c>
      <c r="I297" s="21">
        <v>14</v>
      </c>
      <c r="J297" s="89">
        <f t="shared" si="16"/>
        <v>1.7699115044247787E-2</v>
      </c>
      <c r="K297" s="94">
        <v>1.0549308602877301</v>
      </c>
      <c r="L297" s="94">
        <v>1.05501324436719</v>
      </c>
      <c r="M297" s="89">
        <f t="shared" si="18"/>
        <v>1.0549308602877301</v>
      </c>
      <c r="N297" s="89">
        <f t="shared" si="17"/>
        <v>1.0169652923374599</v>
      </c>
      <c r="O297" s="89">
        <f t="shared" si="19"/>
        <v>1.7999385705087786E-2</v>
      </c>
    </row>
    <row r="298" spans="1:15" x14ac:dyDescent="0.2">
      <c r="A298" s="21" t="s">
        <v>191</v>
      </c>
      <c r="B298" s="21" t="s">
        <v>2385</v>
      </c>
      <c r="C298" s="21" t="s">
        <v>1201</v>
      </c>
      <c r="D298" s="21" t="s">
        <v>1204</v>
      </c>
      <c r="E298" s="21" t="s">
        <v>1205</v>
      </c>
      <c r="F298" s="21" t="s">
        <v>89</v>
      </c>
      <c r="G298" s="21" t="s">
        <v>90</v>
      </c>
      <c r="H298" s="21" t="s">
        <v>192</v>
      </c>
      <c r="I298" s="21">
        <v>18</v>
      </c>
      <c r="J298" s="89">
        <f t="shared" si="16"/>
        <v>2.2756005056890013E-2</v>
      </c>
      <c r="K298" s="94">
        <v>1.04718042072629</v>
      </c>
      <c r="L298" s="94">
        <v>1.04671967691412</v>
      </c>
      <c r="M298" s="89">
        <f t="shared" si="18"/>
        <v>1.04718042072629</v>
      </c>
      <c r="N298" s="89">
        <f t="shared" si="17"/>
        <v>1.0094937808564195</v>
      </c>
      <c r="O298" s="89">
        <f t="shared" si="19"/>
        <v>2.29720455820677E-2</v>
      </c>
    </row>
    <row r="299" spans="1:15" x14ac:dyDescent="0.2">
      <c r="A299" s="21" t="s">
        <v>191</v>
      </c>
      <c r="B299" s="21" t="s">
        <v>2385</v>
      </c>
      <c r="C299" s="21" t="s">
        <v>1201</v>
      </c>
      <c r="D299" s="21" t="s">
        <v>1206</v>
      </c>
      <c r="E299" s="21" t="s">
        <v>1207</v>
      </c>
      <c r="F299" s="21" t="s">
        <v>91</v>
      </c>
      <c r="G299" s="21" t="s">
        <v>92</v>
      </c>
      <c r="H299" s="21" t="s">
        <v>192</v>
      </c>
      <c r="I299" s="21">
        <v>20</v>
      </c>
      <c r="J299" s="89">
        <f t="shared" si="16"/>
        <v>2.5284450063211124E-2</v>
      </c>
      <c r="K299" s="94">
        <v>1.0211878855365699</v>
      </c>
      <c r="L299" s="94">
        <v>1.0200603674357001</v>
      </c>
      <c r="M299" s="89">
        <f t="shared" si="18"/>
        <v>1.0211878855365699</v>
      </c>
      <c r="N299" s="89">
        <f t="shared" si="17"/>
        <v>0.98443668266839635</v>
      </c>
      <c r="O299" s="89">
        <f t="shared" si="19"/>
        <v>2.4890940143322281E-2</v>
      </c>
    </row>
    <row r="300" spans="1:15" x14ac:dyDescent="0.2">
      <c r="A300" s="21" t="s">
        <v>191</v>
      </c>
      <c r="B300" s="21" t="s">
        <v>2385</v>
      </c>
      <c r="C300" s="21" t="s">
        <v>1201</v>
      </c>
      <c r="D300" s="21" t="s">
        <v>1208</v>
      </c>
      <c r="E300" s="21" t="s">
        <v>1209</v>
      </c>
      <c r="F300" s="21" t="s">
        <v>93</v>
      </c>
      <c r="G300" s="21" t="s">
        <v>94</v>
      </c>
      <c r="H300" s="21" t="s">
        <v>192</v>
      </c>
      <c r="I300" s="21">
        <v>20</v>
      </c>
      <c r="J300" s="89">
        <f t="shared" si="16"/>
        <v>2.5284450063211124E-2</v>
      </c>
      <c r="K300" s="94">
        <v>1.0599265503297499</v>
      </c>
      <c r="L300" s="94">
        <v>1.0590748234945</v>
      </c>
      <c r="M300" s="89">
        <f t="shared" si="18"/>
        <v>1.0599265503297499</v>
      </c>
      <c r="N300" s="89">
        <f t="shared" si="17"/>
        <v>1.021781194094874</v>
      </c>
      <c r="O300" s="89">
        <f t="shared" si="19"/>
        <v>2.5835175577620075E-2</v>
      </c>
    </row>
    <row r="301" spans="1:15" x14ac:dyDescent="0.2">
      <c r="A301" s="21" t="s">
        <v>191</v>
      </c>
      <c r="B301" s="21" t="s">
        <v>2385</v>
      </c>
      <c r="C301" s="21" t="s">
        <v>1201</v>
      </c>
      <c r="D301" s="21" t="s">
        <v>1210</v>
      </c>
      <c r="E301" s="21" t="s">
        <v>1211</v>
      </c>
      <c r="F301" s="21" t="s">
        <v>89</v>
      </c>
      <c r="G301" s="21" t="s">
        <v>90</v>
      </c>
      <c r="H301" s="21" t="s">
        <v>192</v>
      </c>
      <c r="I301" s="21">
        <v>25</v>
      </c>
      <c r="J301" s="89">
        <f t="shared" si="16"/>
        <v>3.1605562579013903E-2</v>
      </c>
      <c r="K301" s="94">
        <v>1.04718042072629</v>
      </c>
      <c r="L301" s="94">
        <v>1.04671967691412</v>
      </c>
      <c r="M301" s="89">
        <f t="shared" si="18"/>
        <v>1.04718042072629</v>
      </c>
      <c r="N301" s="89">
        <f t="shared" si="17"/>
        <v>1.0094937808564195</v>
      </c>
      <c r="O301" s="89">
        <f t="shared" si="19"/>
        <v>3.1905618863982917E-2</v>
      </c>
    </row>
    <row r="302" spans="1:15" x14ac:dyDescent="0.2">
      <c r="A302" s="21" t="s">
        <v>191</v>
      </c>
      <c r="B302" s="21" t="s">
        <v>2385</v>
      </c>
      <c r="C302" s="21" t="s">
        <v>1201</v>
      </c>
      <c r="D302" s="21" t="s">
        <v>1212</v>
      </c>
      <c r="E302" s="21" t="s">
        <v>1213</v>
      </c>
      <c r="F302" s="21" t="s">
        <v>95</v>
      </c>
      <c r="G302" s="21" t="s">
        <v>96</v>
      </c>
      <c r="H302" s="21" t="s">
        <v>192</v>
      </c>
      <c r="I302" s="21">
        <v>27</v>
      </c>
      <c r="J302" s="89">
        <f t="shared" si="16"/>
        <v>3.4134007585335017E-2</v>
      </c>
      <c r="K302" s="94">
        <v>1.0508837791566099</v>
      </c>
      <c r="L302" s="94">
        <v>1.05091144915808</v>
      </c>
      <c r="M302" s="89">
        <f t="shared" si="18"/>
        <v>1.0508837791566099</v>
      </c>
      <c r="N302" s="89">
        <f t="shared" si="17"/>
        <v>1.0130638603094875</v>
      </c>
      <c r="O302" s="89">
        <f t="shared" si="19"/>
        <v>3.4579929492232819E-2</v>
      </c>
    </row>
    <row r="303" spans="1:15" x14ac:dyDescent="0.2">
      <c r="A303" s="21" t="s">
        <v>191</v>
      </c>
      <c r="B303" s="21" t="s">
        <v>2385</v>
      </c>
      <c r="C303" s="21" t="s">
        <v>1201</v>
      </c>
      <c r="D303" s="21" t="s">
        <v>1214</v>
      </c>
      <c r="E303" s="21" t="s">
        <v>1215</v>
      </c>
      <c r="F303" s="21" t="s">
        <v>97</v>
      </c>
      <c r="G303" s="21" t="s">
        <v>88</v>
      </c>
      <c r="H303" s="21" t="s">
        <v>192</v>
      </c>
      <c r="I303" s="21">
        <v>28</v>
      </c>
      <c r="J303" s="89">
        <f t="shared" si="16"/>
        <v>3.5398230088495575E-2</v>
      </c>
      <c r="K303" s="94">
        <v>1.05487737080319</v>
      </c>
      <c r="L303" s="94">
        <v>1.05501324436719</v>
      </c>
      <c r="M303" s="89">
        <f t="shared" si="18"/>
        <v>1.05487737080319</v>
      </c>
      <c r="N303" s="89">
        <f t="shared" si="17"/>
        <v>1.0169137278688014</v>
      </c>
      <c r="O303" s="89">
        <f t="shared" si="19"/>
        <v>3.5996946119249605E-2</v>
      </c>
    </row>
    <row r="304" spans="1:15" x14ac:dyDescent="0.2">
      <c r="A304" s="21" t="s">
        <v>191</v>
      </c>
      <c r="B304" s="21" t="s">
        <v>2385</v>
      </c>
      <c r="C304" s="21" t="s">
        <v>1201</v>
      </c>
      <c r="D304" s="21" t="s">
        <v>1216</v>
      </c>
      <c r="E304" s="21" t="s">
        <v>1217</v>
      </c>
      <c r="F304" s="21" t="s">
        <v>98</v>
      </c>
      <c r="G304" s="21" t="s">
        <v>90</v>
      </c>
      <c r="H304" s="21" t="s">
        <v>192</v>
      </c>
      <c r="I304" s="21">
        <v>36</v>
      </c>
      <c r="J304" s="89">
        <f t="shared" si="16"/>
        <v>4.5512010113780026E-2</v>
      </c>
      <c r="K304" s="94">
        <v>1.04734054201385</v>
      </c>
      <c r="L304" s="94">
        <v>1.04671967691412</v>
      </c>
      <c r="M304" s="89">
        <f t="shared" si="18"/>
        <v>1.04734054201385</v>
      </c>
      <c r="N304" s="89">
        <f t="shared" si="17"/>
        <v>1.0096481395903829</v>
      </c>
      <c r="O304" s="89">
        <f t="shared" si="19"/>
        <v>4.5951116340396697E-2</v>
      </c>
    </row>
    <row r="305" spans="1:15" x14ac:dyDescent="0.2">
      <c r="A305" s="21" t="s">
        <v>191</v>
      </c>
      <c r="B305" s="21" t="s">
        <v>2385</v>
      </c>
      <c r="C305" s="21" t="s">
        <v>1201</v>
      </c>
      <c r="D305" s="21" t="s">
        <v>1218</v>
      </c>
      <c r="E305" s="21" t="s">
        <v>1219</v>
      </c>
      <c r="F305" s="21" t="s">
        <v>99</v>
      </c>
      <c r="G305" s="21" t="s">
        <v>3241</v>
      </c>
      <c r="H305" s="21" t="s">
        <v>192</v>
      </c>
      <c r="I305" s="21">
        <v>45</v>
      </c>
      <c r="J305" s="89">
        <f t="shared" si="16"/>
        <v>5.6890012642225034E-2</v>
      </c>
      <c r="K305" s="94">
        <v>1.05930938209402</v>
      </c>
      <c r="L305" s="94">
        <v>1.0593331170629201</v>
      </c>
      <c r="M305" s="89">
        <f t="shared" si="18"/>
        <v>1.05930938209402</v>
      </c>
      <c r="N305" s="89">
        <f t="shared" si="17"/>
        <v>1.0211862369285825</v>
      </c>
      <c r="O305" s="89">
        <f t="shared" si="19"/>
        <v>5.8095297928933268E-2</v>
      </c>
    </row>
    <row r="306" spans="1:15" x14ac:dyDescent="0.2">
      <c r="A306" s="21" t="s">
        <v>191</v>
      </c>
      <c r="B306" s="21" t="s">
        <v>2385</v>
      </c>
      <c r="C306" s="21" t="s">
        <v>1201</v>
      </c>
      <c r="D306" s="21" t="s">
        <v>1220</v>
      </c>
      <c r="E306" s="21" t="s">
        <v>1221</v>
      </c>
      <c r="F306" s="21" t="s">
        <v>100</v>
      </c>
      <c r="G306" s="21" t="s">
        <v>101</v>
      </c>
      <c r="H306" s="21" t="s">
        <v>3527</v>
      </c>
      <c r="I306" s="21">
        <v>59</v>
      </c>
      <c r="J306" s="89">
        <f t="shared" si="16"/>
        <v>7.4589127686472814E-2</v>
      </c>
      <c r="K306" s="94">
        <v>1.0489875006245599</v>
      </c>
      <c r="L306" s="94">
        <v>1.04901975585977</v>
      </c>
      <c r="M306" s="89">
        <f t="shared" si="18"/>
        <v>1.0489875006245599</v>
      </c>
      <c r="N306" s="89">
        <f t="shared" si="17"/>
        <v>1.0112358263365564</v>
      </c>
      <c r="O306" s="89">
        <f t="shared" si="19"/>
        <v>7.5427198171753251E-2</v>
      </c>
    </row>
    <row r="307" spans="1:15" x14ac:dyDescent="0.2">
      <c r="A307" s="21" t="s">
        <v>191</v>
      </c>
      <c r="B307" s="21" t="s">
        <v>2385</v>
      </c>
      <c r="C307" s="21" t="s">
        <v>1201</v>
      </c>
      <c r="D307" s="21" t="s">
        <v>1222</v>
      </c>
      <c r="E307" s="21" t="s">
        <v>1223</v>
      </c>
      <c r="F307" s="21" t="s">
        <v>102</v>
      </c>
      <c r="G307" s="21" t="s">
        <v>3245</v>
      </c>
      <c r="H307" s="21" t="s">
        <v>192</v>
      </c>
      <c r="I307" s="21">
        <v>71</v>
      </c>
      <c r="J307" s="89">
        <f t="shared" si="16"/>
        <v>8.9759797724399501E-2</v>
      </c>
      <c r="K307" s="94">
        <v>1.10935839838466</v>
      </c>
      <c r="L307" s="94">
        <v>1.1119841913117301</v>
      </c>
      <c r="M307" s="89">
        <f t="shared" si="18"/>
        <v>1.10935839838466</v>
      </c>
      <c r="N307" s="89">
        <f t="shared" si="17"/>
        <v>1.0694340552446857</v>
      </c>
      <c r="O307" s="89">
        <f t="shared" si="19"/>
        <v>9.5992184478347273E-2</v>
      </c>
    </row>
    <row r="308" spans="1:15" x14ac:dyDescent="0.2">
      <c r="A308" s="21" t="s">
        <v>191</v>
      </c>
      <c r="B308" s="21" t="s">
        <v>2385</v>
      </c>
      <c r="C308" s="21" t="s">
        <v>1201</v>
      </c>
      <c r="D308" s="21" t="s">
        <v>1224</v>
      </c>
      <c r="E308" s="21" t="s">
        <v>1225</v>
      </c>
      <c r="F308" s="21" t="s">
        <v>103</v>
      </c>
      <c r="G308" s="21" t="s">
        <v>104</v>
      </c>
      <c r="H308" s="21" t="s">
        <v>192</v>
      </c>
      <c r="I308" s="21">
        <v>76</v>
      </c>
      <c r="J308" s="89">
        <f t="shared" si="16"/>
        <v>9.608091024020228E-2</v>
      </c>
      <c r="K308" s="94">
        <v>1.0535903181853801</v>
      </c>
      <c r="L308" s="94">
        <v>1.05447713412535</v>
      </c>
      <c r="M308" s="89">
        <f t="shared" si="18"/>
        <v>1.0535903181853801</v>
      </c>
      <c r="N308" s="89">
        <f t="shared" si="17"/>
        <v>1.0156729945743297</v>
      </c>
      <c r="O308" s="89">
        <f t="shared" si="19"/>
        <v>9.7586785825093628E-2</v>
      </c>
    </row>
    <row r="309" spans="1:15" x14ac:dyDescent="0.2">
      <c r="A309" s="21" t="s">
        <v>191</v>
      </c>
      <c r="B309" s="21" t="s">
        <v>2385</v>
      </c>
      <c r="C309" s="21" t="s">
        <v>1201</v>
      </c>
      <c r="D309" s="21" t="s">
        <v>728</v>
      </c>
      <c r="E309" s="21" t="s">
        <v>729</v>
      </c>
      <c r="F309" s="21" t="s">
        <v>89</v>
      </c>
      <c r="G309" s="21" t="s">
        <v>90</v>
      </c>
      <c r="H309" s="21" t="s">
        <v>192</v>
      </c>
      <c r="I309" s="21">
        <v>352</v>
      </c>
      <c r="J309" s="89">
        <f t="shared" si="16"/>
        <v>0.44500632111251581</v>
      </c>
      <c r="K309" s="94" t="e">
        <v>#N/A</v>
      </c>
      <c r="L309" s="94">
        <v>1.04671967691412</v>
      </c>
      <c r="M309" s="89">
        <f t="shared" si="18"/>
        <v>1.04671967691412</v>
      </c>
      <c r="N309" s="89">
        <f t="shared" si="17"/>
        <v>1.0090496186053424</v>
      </c>
      <c r="O309" s="89">
        <f t="shared" si="19"/>
        <v>0.44903345859555061</v>
      </c>
    </row>
    <row r="310" spans="1:15" x14ac:dyDescent="0.2">
      <c r="A310" s="21" t="s">
        <v>2975</v>
      </c>
      <c r="B310" s="21" t="s">
        <v>2314</v>
      </c>
      <c r="C310" s="21" t="s">
        <v>2315</v>
      </c>
      <c r="D310" s="21" t="s">
        <v>1226</v>
      </c>
      <c r="E310" s="21" t="s">
        <v>1227</v>
      </c>
      <c r="F310" s="21" t="s">
        <v>105</v>
      </c>
      <c r="G310" s="21" t="s">
        <v>106</v>
      </c>
      <c r="H310" s="21" t="s">
        <v>2986</v>
      </c>
      <c r="I310" s="21">
        <v>94</v>
      </c>
      <c r="J310" s="89">
        <f t="shared" si="16"/>
        <v>6.1158100195185423E-2</v>
      </c>
      <c r="K310" s="94">
        <v>0.99672251099269005</v>
      </c>
      <c r="L310" s="94">
        <v>0.99649935991515304</v>
      </c>
      <c r="M310" s="89">
        <f t="shared" si="18"/>
        <v>0.99672251099269005</v>
      </c>
      <c r="N310" s="89">
        <f t="shared" si="17"/>
        <v>0.96085178463216281</v>
      </c>
      <c r="O310" s="89">
        <f t="shared" si="19"/>
        <v>5.8763869717256535E-2</v>
      </c>
    </row>
    <row r="311" spans="1:15" x14ac:dyDescent="0.2">
      <c r="A311" s="21" t="s">
        <v>2975</v>
      </c>
      <c r="B311" s="21" t="s">
        <v>2314</v>
      </c>
      <c r="C311" s="21" t="s">
        <v>2315</v>
      </c>
      <c r="D311" s="21" t="s">
        <v>1228</v>
      </c>
      <c r="E311" s="21" t="s">
        <v>1229</v>
      </c>
      <c r="F311" s="21" t="s">
        <v>107</v>
      </c>
      <c r="G311" s="21" t="s">
        <v>108</v>
      </c>
      <c r="H311" s="21" t="s">
        <v>3017</v>
      </c>
      <c r="I311" s="21">
        <v>155</v>
      </c>
      <c r="J311" s="89">
        <f t="shared" si="16"/>
        <v>0.10084580351333768</v>
      </c>
      <c r="K311" s="94">
        <v>0.99893756623440899</v>
      </c>
      <c r="L311" s="94">
        <v>0.99837660673955297</v>
      </c>
      <c r="M311" s="89">
        <f t="shared" si="18"/>
        <v>0.99893756623440899</v>
      </c>
      <c r="N311" s="89">
        <f t="shared" si="17"/>
        <v>0.96298712296213063</v>
      </c>
      <c r="O311" s="89">
        <f t="shared" si="19"/>
        <v>9.7113210188113377E-2</v>
      </c>
    </row>
    <row r="312" spans="1:15" x14ac:dyDescent="0.2">
      <c r="A312" s="21" t="s">
        <v>2975</v>
      </c>
      <c r="B312" s="21" t="s">
        <v>2314</v>
      </c>
      <c r="C312" s="21" t="s">
        <v>2315</v>
      </c>
      <c r="D312" s="21" t="s">
        <v>1230</v>
      </c>
      <c r="E312" s="21" t="s">
        <v>1231</v>
      </c>
      <c r="F312" s="21" t="s">
        <v>109</v>
      </c>
      <c r="G312" s="21" t="s">
        <v>110</v>
      </c>
      <c r="H312" s="21" t="s">
        <v>2986</v>
      </c>
      <c r="I312" s="21">
        <v>980</v>
      </c>
      <c r="J312" s="89">
        <f t="shared" si="16"/>
        <v>0.63760572543916716</v>
      </c>
      <c r="K312" s="94" t="e">
        <v>#N/A</v>
      </c>
      <c r="L312" s="94">
        <v>1.0039396833599299</v>
      </c>
      <c r="M312" s="89">
        <f t="shared" si="18"/>
        <v>1.0039396833599299</v>
      </c>
      <c r="N312" s="89">
        <f t="shared" si="17"/>
        <v>0.96780922050080165</v>
      </c>
      <c r="O312" s="89">
        <f t="shared" si="19"/>
        <v>0.61708070012412852</v>
      </c>
    </row>
    <row r="313" spans="1:15" x14ac:dyDescent="0.2">
      <c r="A313" s="21" t="s">
        <v>2975</v>
      </c>
      <c r="B313" s="21" t="s">
        <v>3692</v>
      </c>
      <c r="C313" s="21" t="s">
        <v>3693</v>
      </c>
      <c r="D313" s="21" t="s">
        <v>1232</v>
      </c>
      <c r="E313" s="21" t="s">
        <v>1233</v>
      </c>
      <c r="F313" s="21" t="s">
        <v>111</v>
      </c>
      <c r="G313" s="21" t="s">
        <v>112</v>
      </c>
      <c r="H313" s="21" t="s">
        <v>3605</v>
      </c>
      <c r="I313" s="21">
        <v>19</v>
      </c>
      <c r="J313" s="89">
        <f t="shared" si="16"/>
        <v>9.7037793667007158E-3</v>
      </c>
      <c r="K313" s="94">
        <v>0.98031120698134999</v>
      </c>
      <c r="L313" s="94">
        <v>0.980961134294841</v>
      </c>
      <c r="M313" s="89">
        <f t="shared" si="18"/>
        <v>0.98031120698134999</v>
      </c>
      <c r="N313" s="89">
        <f t="shared" si="17"/>
        <v>0.94503110177055871</v>
      </c>
      <c r="O313" s="89">
        <f t="shared" si="19"/>
        <v>9.1703733062515926E-3</v>
      </c>
    </row>
    <row r="314" spans="1:15" x14ac:dyDescent="0.2">
      <c r="A314" s="21" t="s">
        <v>2975</v>
      </c>
      <c r="B314" s="21" t="s">
        <v>3692</v>
      </c>
      <c r="C314" s="21" t="s">
        <v>3693</v>
      </c>
      <c r="D314" s="21" t="s">
        <v>1234</v>
      </c>
      <c r="E314" s="21" t="s">
        <v>1235</v>
      </c>
      <c r="F314" s="21" t="s">
        <v>113</v>
      </c>
      <c r="G314" s="21" t="s">
        <v>114</v>
      </c>
      <c r="H314" s="21" t="s">
        <v>3605</v>
      </c>
      <c r="I314" s="21">
        <v>280</v>
      </c>
      <c r="J314" s="89">
        <f t="shared" si="16"/>
        <v>0.14300306435137897</v>
      </c>
      <c r="K314" s="94">
        <v>0.98309492417003896</v>
      </c>
      <c r="L314" s="94">
        <v>0.98273971009761596</v>
      </c>
      <c r="M314" s="89">
        <f t="shared" si="18"/>
        <v>0.98309492417003896</v>
      </c>
      <c r="N314" s="89">
        <f t="shared" si="17"/>
        <v>0.9477146366553072</v>
      </c>
      <c r="O314" s="89">
        <f t="shared" si="19"/>
        <v>0.13552609717236264</v>
      </c>
    </row>
    <row r="315" spans="1:15" x14ac:dyDescent="0.2">
      <c r="A315" s="21" t="s">
        <v>2975</v>
      </c>
      <c r="B315" s="21" t="s">
        <v>3692</v>
      </c>
      <c r="C315" s="21" t="s">
        <v>3693</v>
      </c>
      <c r="D315" s="21" t="s">
        <v>1236</v>
      </c>
      <c r="E315" s="21" t="s">
        <v>1237</v>
      </c>
      <c r="F315" s="21" t="s">
        <v>115</v>
      </c>
      <c r="G315" s="21" t="s">
        <v>116</v>
      </c>
      <c r="H315" s="21" t="s">
        <v>3000</v>
      </c>
      <c r="I315" s="21">
        <v>451</v>
      </c>
      <c r="J315" s="89">
        <f t="shared" si="16"/>
        <v>0.2303370786516854</v>
      </c>
      <c r="K315" s="94">
        <v>0.98710229017027595</v>
      </c>
      <c r="L315" s="94">
        <v>0.98774617121333197</v>
      </c>
      <c r="M315" s="89">
        <f t="shared" si="18"/>
        <v>0.98710229017027595</v>
      </c>
      <c r="N315" s="89">
        <f t="shared" si="17"/>
        <v>0.95157778284748762</v>
      </c>
      <c r="O315" s="89">
        <f t="shared" si="19"/>
        <v>0.21918364661093817</v>
      </c>
    </row>
    <row r="316" spans="1:15" x14ac:dyDescent="0.2">
      <c r="A316" s="21" t="s">
        <v>2975</v>
      </c>
      <c r="B316" s="21" t="s">
        <v>3692</v>
      </c>
      <c r="C316" s="21" t="s">
        <v>3693</v>
      </c>
      <c r="D316" s="21" t="s">
        <v>1238</v>
      </c>
      <c r="E316" s="21" t="s">
        <v>1239</v>
      </c>
      <c r="F316" s="21" t="s">
        <v>117</v>
      </c>
      <c r="G316" s="21" t="s">
        <v>118</v>
      </c>
      <c r="H316" s="21" t="s">
        <v>3612</v>
      </c>
      <c r="I316" s="21">
        <v>591</v>
      </c>
      <c r="J316" s="89">
        <f t="shared" si="16"/>
        <v>0.3018386108273749</v>
      </c>
      <c r="K316" s="94">
        <v>0.99023859135554904</v>
      </c>
      <c r="L316" s="94">
        <v>0.99068863370151705</v>
      </c>
      <c r="M316" s="89">
        <f t="shared" si="18"/>
        <v>0.99023859135554904</v>
      </c>
      <c r="N316" s="89">
        <f t="shared" si="17"/>
        <v>0.95460121269659604</v>
      </c>
      <c r="O316" s="89">
        <f t="shared" si="19"/>
        <v>0.28813550393446796</v>
      </c>
    </row>
    <row r="317" spans="1:15" x14ac:dyDescent="0.2">
      <c r="A317" s="21" t="s">
        <v>2975</v>
      </c>
      <c r="B317" s="21" t="s">
        <v>3692</v>
      </c>
      <c r="C317" s="21" t="s">
        <v>3693</v>
      </c>
      <c r="D317" s="21" t="s">
        <v>1240</v>
      </c>
      <c r="E317" s="21" t="s">
        <v>1241</v>
      </c>
      <c r="F317" s="21" t="s">
        <v>119</v>
      </c>
      <c r="G317" s="21" t="s">
        <v>120</v>
      </c>
      <c r="H317" s="21" t="s">
        <v>2986</v>
      </c>
      <c r="I317" s="21">
        <v>617</v>
      </c>
      <c r="J317" s="89">
        <f t="shared" si="16"/>
        <v>0.31511746680286007</v>
      </c>
      <c r="K317" s="94">
        <v>0.99809194086011599</v>
      </c>
      <c r="L317" s="94">
        <v>0.99861330860854403</v>
      </c>
      <c r="M317" s="89">
        <f t="shared" si="18"/>
        <v>0.99809194086011599</v>
      </c>
      <c r="N317" s="89">
        <f t="shared" si="17"/>
        <v>0.96217193052786876</v>
      </c>
      <c r="O317" s="89">
        <f t="shared" si="19"/>
        <v>0.30319718137675949</v>
      </c>
    </row>
    <row r="318" spans="1:15" x14ac:dyDescent="0.2">
      <c r="A318" s="21" t="s">
        <v>3034</v>
      </c>
      <c r="B318" s="21" t="s">
        <v>1328</v>
      </c>
      <c r="C318" s="21" t="s">
        <v>1329</v>
      </c>
      <c r="D318" s="21" t="s">
        <v>1242</v>
      </c>
      <c r="E318" s="21" t="s">
        <v>1243</v>
      </c>
      <c r="F318" s="21" t="s">
        <v>121</v>
      </c>
      <c r="G318" s="21" t="s">
        <v>122</v>
      </c>
      <c r="H318" s="21" t="s">
        <v>3050</v>
      </c>
      <c r="I318" s="21">
        <v>600</v>
      </c>
      <c r="J318" s="89">
        <f t="shared" si="16"/>
        <v>0.41379310344827586</v>
      </c>
      <c r="K318" s="94">
        <v>0.93568342633271495</v>
      </c>
      <c r="L318" s="94">
        <v>0.93551173401332399</v>
      </c>
      <c r="M318" s="89">
        <f t="shared" si="18"/>
        <v>0.93568342633271495</v>
      </c>
      <c r="N318" s="89">
        <f t="shared" si="17"/>
        <v>0.9020094159879164</v>
      </c>
      <c r="O318" s="89">
        <f t="shared" si="19"/>
        <v>0.37324527558120679</v>
      </c>
    </row>
    <row r="319" spans="1:15" x14ac:dyDescent="0.2">
      <c r="A319" s="21" t="s">
        <v>3034</v>
      </c>
      <c r="B319" s="21" t="s">
        <v>1328</v>
      </c>
      <c r="C319" s="21" t="s">
        <v>1329</v>
      </c>
      <c r="D319" s="21" t="s">
        <v>1244</v>
      </c>
      <c r="E319" s="21" t="s">
        <v>1245</v>
      </c>
      <c r="F319" s="21" t="s">
        <v>123</v>
      </c>
      <c r="G319" s="21" t="s">
        <v>124</v>
      </c>
      <c r="H319" s="21" t="s">
        <v>3048</v>
      </c>
      <c r="I319" s="21">
        <v>850</v>
      </c>
      <c r="J319" s="89">
        <f t="shared" si="16"/>
        <v>0.58620689655172409</v>
      </c>
      <c r="K319" s="94">
        <v>0.933953622870348</v>
      </c>
      <c r="L319" s="94">
        <v>0.934085241896773</v>
      </c>
      <c r="M319" s="89">
        <f t="shared" si="18"/>
        <v>0.933953622870348</v>
      </c>
      <c r="N319" s="89">
        <f t="shared" si="17"/>
        <v>0.90034186586684728</v>
      </c>
      <c r="O319" s="89">
        <f t="shared" si="19"/>
        <v>0.52778661102539315</v>
      </c>
    </row>
    <row r="320" spans="1:15" x14ac:dyDescent="0.2">
      <c r="A320" s="21" t="s">
        <v>3069</v>
      </c>
      <c r="B320" s="21" t="s">
        <v>3876</v>
      </c>
      <c r="C320" s="21" t="s">
        <v>3877</v>
      </c>
      <c r="D320" s="21" t="s">
        <v>1246</v>
      </c>
      <c r="E320" s="21" t="s">
        <v>1247</v>
      </c>
      <c r="F320" s="21" t="s">
        <v>125</v>
      </c>
      <c r="G320" s="21" t="s">
        <v>126</v>
      </c>
      <c r="H320" s="21" t="s">
        <v>2124</v>
      </c>
      <c r="I320" s="21">
        <v>72</v>
      </c>
      <c r="J320" s="89">
        <f t="shared" si="16"/>
        <v>5.4298642533936653E-2</v>
      </c>
      <c r="K320" s="94">
        <v>0.94966886011499396</v>
      </c>
      <c r="L320" s="94">
        <v>0.95190326657508495</v>
      </c>
      <c r="M320" s="89">
        <f t="shared" si="18"/>
        <v>0.94966886011499396</v>
      </c>
      <c r="N320" s="89">
        <f t="shared" si="17"/>
        <v>0.91549153248508897</v>
      </c>
      <c r="O320" s="89">
        <f t="shared" si="19"/>
        <v>4.9709947465253701E-2</v>
      </c>
    </row>
    <row r="321" spans="1:15" x14ac:dyDescent="0.2">
      <c r="A321" s="21" t="s">
        <v>3069</v>
      </c>
      <c r="B321" s="21" t="s">
        <v>3876</v>
      </c>
      <c r="C321" s="21" t="s">
        <v>3877</v>
      </c>
      <c r="D321" s="21" t="s">
        <v>1248</v>
      </c>
      <c r="E321" s="21" t="s">
        <v>1249</v>
      </c>
      <c r="F321" s="21" t="s">
        <v>127</v>
      </c>
      <c r="G321" s="21" t="s">
        <v>128</v>
      </c>
      <c r="H321" s="21" t="s">
        <v>2124</v>
      </c>
      <c r="I321" s="21">
        <v>149</v>
      </c>
      <c r="J321" s="89">
        <f t="shared" si="16"/>
        <v>0.11236802413273002</v>
      </c>
      <c r="K321" s="94">
        <v>0.94742014417241005</v>
      </c>
      <c r="L321" s="94">
        <v>0.948566709118426</v>
      </c>
      <c r="M321" s="89">
        <f t="shared" si="18"/>
        <v>0.94742014417241005</v>
      </c>
      <c r="N321" s="89">
        <f t="shared" si="17"/>
        <v>0.91332374485840973</v>
      </c>
      <c r="O321" s="89">
        <f t="shared" si="19"/>
        <v>0.10262838460324514</v>
      </c>
    </row>
    <row r="322" spans="1:15" x14ac:dyDescent="0.2">
      <c r="A322" s="21" t="s">
        <v>3069</v>
      </c>
      <c r="B322" s="21" t="s">
        <v>3876</v>
      </c>
      <c r="C322" s="21" t="s">
        <v>3877</v>
      </c>
      <c r="D322" s="21" t="s">
        <v>1250</v>
      </c>
      <c r="E322" s="21" t="s">
        <v>1251</v>
      </c>
      <c r="F322" s="21" t="s">
        <v>129</v>
      </c>
      <c r="G322" s="21" t="s">
        <v>130</v>
      </c>
      <c r="H322" s="21" t="s">
        <v>2124</v>
      </c>
      <c r="I322" s="21">
        <v>506</v>
      </c>
      <c r="J322" s="89">
        <f t="shared" ref="J322:J385" si="20">I322/SUMIF(B:B,B322,I:I)</f>
        <v>0.38159879336349922</v>
      </c>
      <c r="K322" s="94">
        <v>0.92907830250910495</v>
      </c>
      <c r="L322" s="94">
        <v>0.92914193134974399</v>
      </c>
      <c r="M322" s="89">
        <f t="shared" si="18"/>
        <v>0.92907830250910495</v>
      </c>
      <c r="N322" s="89">
        <f t="shared" ref="N322:N385" si="21">M322/M$757</f>
        <v>0.89564200184442411</v>
      </c>
      <c r="O322" s="89">
        <f t="shared" si="19"/>
        <v>0.34177590718950118</v>
      </c>
    </row>
    <row r="323" spans="1:15" x14ac:dyDescent="0.2">
      <c r="A323" s="21" t="s">
        <v>3069</v>
      </c>
      <c r="B323" s="21" t="s">
        <v>3876</v>
      </c>
      <c r="C323" s="21" t="s">
        <v>3877</v>
      </c>
      <c r="D323" s="21" t="s">
        <v>1252</v>
      </c>
      <c r="E323" s="21" t="s">
        <v>1253</v>
      </c>
      <c r="F323" s="21" t="s">
        <v>131</v>
      </c>
      <c r="G323" s="21" t="s">
        <v>132</v>
      </c>
      <c r="H323" s="21" t="s">
        <v>2124</v>
      </c>
      <c r="I323" s="21">
        <v>599</v>
      </c>
      <c r="J323" s="89">
        <f t="shared" si="20"/>
        <v>0.45173453996983409</v>
      </c>
      <c r="K323" s="94">
        <v>0.93407412502327403</v>
      </c>
      <c r="L323" s="94">
        <v>0.93412528874773204</v>
      </c>
      <c r="M323" s="89">
        <f t="shared" ref="M323:M386" si="22">IF(ISNA(K323),L323,K323)</f>
        <v>0.93407412502327403</v>
      </c>
      <c r="N323" s="89">
        <f t="shared" si="21"/>
        <v>0.90045803130648971</v>
      </c>
      <c r="O323" s="89">
        <f t="shared" ref="O323:O386" si="23">N323*J323</f>
        <v>0.40676799453437962</v>
      </c>
    </row>
    <row r="324" spans="1:15" x14ac:dyDescent="0.2">
      <c r="A324" s="21" t="s">
        <v>3069</v>
      </c>
      <c r="B324" s="21" t="s">
        <v>668</v>
      </c>
      <c r="C324" s="21" t="s">
        <v>669</v>
      </c>
      <c r="D324" s="21" t="s">
        <v>1254</v>
      </c>
      <c r="E324" s="21" t="s">
        <v>1255</v>
      </c>
      <c r="F324" s="21" t="s">
        <v>133</v>
      </c>
      <c r="G324" s="21" t="s">
        <v>134</v>
      </c>
      <c r="H324" s="21" t="s">
        <v>2122</v>
      </c>
      <c r="I324" s="21">
        <v>415</v>
      </c>
      <c r="J324" s="89">
        <f t="shared" si="20"/>
        <v>0.21023302938196556</v>
      </c>
      <c r="K324" s="94">
        <v>0.98156490355246295</v>
      </c>
      <c r="L324" s="94">
        <v>0.98133681979595799</v>
      </c>
      <c r="M324" s="89">
        <f t="shared" si="22"/>
        <v>0.98156490355246295</v>
      </c>
      <c r="N324" s="89">
        <f t="shared" si="21"/>
        <v>0.94623967945838616</v>
      </c>
      <c r="O324" s="89">
        <f t="shared" si="23"/>
        <v>0.19893083433395656</v>
      </c>
    </row>
    <row r="325" spans="1:15" x14ac:dyDescent="0.2">
      <c r="A325" s="21" t="s">
        <v>3069</v>
      </c>
      <c r="B325" s="21" t="s">
        <v>668</v>
      </c>
      <c r="C325" s="21" t="s">
        <v>669</v>
      </c>
      <c r="D325" s="21" t="s">
        <v>1256</v>
      </c>
      <c r="E325" s="21" t="s">
        <v>1257</v>
      </c>
      <c r="F325" s="21" t="s">
        <v>135</v>
      </c>
      <c r="G325" s="21" t="s">
        <v>136</v>
      </c>
      <c r="H325" s="21" t="s">
        <v>2122</v>
      </c>
      <c r="I325" s="21">
        <v>642</v>
      </c>
      <c r="J325" s="89">
        <f t="shared" si="20"/>
        <v>0.32522796352583588</v>
      </c>
      <c r="K325" s="94">
        <v>0.98111006237123599</v>
      </c>
      <c r="L325" s="94">
        <v>0.981016773741343</v>
      </c>
      <c r="M325" s="89">
        <f t="shared" si="22"/>
        <v>0.98111006237123599</v>
      </c>
      <c r="N325" s="89">
        <f t="shared" si="21"/>
        <v>0.94580120741036255</v>
      </c>
      <c r="O325" s="89">
        <f t="shared" si="23"/>
        <v>0.30760100058634893</v>
      </c>
    </row>
    <row r="326" spans="1:15" x14ac:dyDescent="0.2">
      <c r="A326" s="21" t="s">
        <v>3069</v>
      </c>
      <c r="B326" s="21" t="s">
        <v>668</v>
      </c>
      <c r="C326" s="21" t="s">
        <v>669</v>
      </c>
      <c r="D326" s="21" t="s">
        <v>1258</v>
      </c>
      <c r="E326" s="21" t="s">
        <v>1259</v>
      </c>
      <c r="F326" s="21" t="s">
        <v>137</v>
      </c>
      <c r="G326" s="21" t="s">
        <v>138</v>
      </c>
      <c r="H326" s="21" t="s">
        <v>2122</v>
      </c>
      <c r="I326" s="21">
        <v>917</v>
      </c>
      <c r="J326" s="89">
        <f t="shared" si="20"/>
        <v>0.46453900709219859</v>
      </c>
      <c r="K326" s="94">
        <v>0.98099680064545902</v>
      </c>
      <c r="L326" s="94">
        <v>0.98090285764233898</v>
      </c>
      <c r="M326" s="89">
        <f t="shared" si="22"/>
        <v>0.98099680064545902</v>
      </c>
      <c r="N326" s="89">
        <f t="shared" si="21"/>
        <v>0.94569202182446166</v>
      </c>
      <c r="O326" s="89">
        <f t="shared" si="23"/>
        <v>0.43931083283334921</v>
      </c>
    </row>
    <row r="327" spans="1:15" x14ac:dyDescent="0.2">
      <c r="A327" s="21" t="s">
        <v>3496</v>
      </c>
      <c r="B327" s="21" t="s">
        <v>381</v>
      </c>
      <c r="C327" s="21" t="s">
        <v>382</v>
      </c>
      <c r="D327" s="21" t="s">
        <v>1260</v>
      </c>
      <c r="E327" s="21" t="s">
        <v>1261</v>
      </c>
      <c r="F327" s="21" t="s">
        <v>139</v>
      </c>
      <c r="G327" s="21" t="s">
        <v>140</v>
      </c>
      <c r="H327" s="21" t="s">
        <v>3470</v>
      </c>
      <c r="I327" s="21">
        <v>91</v>
      </c>
      <c r="J327" s="89">
        <f t="shared" si="20"/>
        <v>0.11651728553137004</v>
      </c>
      <c r="K327" s="94">
        <v>1.0956750237659401</v>
      </c>
      <c r="L327" s="94">
        <v>1.09403813686174</v>
      </c>
      <c r="M327" s="89">
        <f t="shared" si="22"/>
        <v>1.0956750237659401</v>
      </c>
      <c r="N327" s="89">
        <f t="shared" si="21"/>
        <v>1.0562431272008383</v>
      </c>
      <c r="O327" s="89">
        <f t="shared" si="23"/>
        <v>0.12307058204260729</v>
      </c>
    </row>
    <row r="328" spans="1:15" x14ac:dyDescent="0.2">
      <c r="A328" s="21" t="s">
        <v>3496</v>
      </c>
      <c r="B328" s="21" t="s">
        <v>381</v>
      </c>
      <c r="C328" s="21" t="s">
        <v>382</v>
      </c>
      <c r="D328" s="21" t="s">
        <v>1262</v>
      </c>
      <c r="E328" s="21" t="s">
        <v>1263</v>
      </c>
      <c r="F328" s="21" t="s">
        <v>141</v>
      </c>
      <c r="G328" s="21" t="s">
        <v>142</v>
      </c>
      <c r="H328" s="21" t="s">
        <v>3470</v>
      </c>
      <c r="I328" s="21">
        <v>281</v>
      </c>
      <c r="J328" s="89">
        <f t="shared" si="20"/>
        <v>0.35979513444302175</v>
      </c>
      <c r="K328" s="94">
        <v>1.10155004235186</v>
      </c>
      <c r="L328" s="94">
        <v>1.10424617568189</v>
      </c>
      <c r="M328" s="89">
        <f t="shared" si="22"/>
        <v>1.10155004235186</v>
      </c>
      <c r="N328" s="89">
        <f t="shared" si="21"/>
        <v>1.0619067116295737</v>
      </c>
      <c r="O328" s="89">
        <f t="shared" si="23"/>
        <v>0.38206886807670959</v>
      </c>
    </row>
    <row r="329" spans="1:15" x14ac:dyDescent="0.2">
      <c r="A329" s="21" t="s">
        <v>3496</v>
      </c>
      <c r="B329" s="21" t="s">
        <v>381</v>
      </c>
      <c r="C329" s="21" t="s">
        <v>382</v>
      </c>
      <c r="D329" s="21" t="s">
        <v>1264</v>
      </c>
      <c r="E329" s="21" t="s">
        <v>1265</v>
      </c>
      <c r="F329" s="21" t="s">
        <v>143</v>
      </c>
      <c r="G329" s="21" t="s">
        <v>144</v>
      </c>
      <c r="H329" s="21" t="s">
        <v>3470</v>
      </c>
      <c r="I329" s="21">
        <v>409</v>
      </c>
      <c r="J329" s="89">
        <f t="shared" si="20"/>
        <v>0.52368758002560822</v>
      </c>
      <c r="K329" s="94">
        <v>1.07900878020935</v>
      </c>
      <c r="L329" s="94">
        <v>1.0793961659279701</v>
      </c>
      <c r="M329" s="89">
        <f t="shared" si="22"/>
        <v>1.07900878020935</v>
      </c>
      <c r="N329" s="89">
        <f t="shared" si="21"/>
        <v>1.0401766797314069</v>
      </c>
      <c r="O329" s="89">
        <f t="shared" si="23"/>
        <v>0.54472760820761257</v>
      </c>
    </row>
    <row r="330" spans="1:15" x14ac:dyDescent="0.2">
      <c r="A330" s="21" t="s">
        <v>1127</v>
      </c>
      <c r="B330" s="21" t="s">
        <v>676</v>
      </c>
      <c r="C330" s="21" t="s">
        <v>677</v>
      </c>
      <c r="D330" s="21" t="s">
        <v>1266</v>
      </c>
      <c r="E330" s="21" t="s">
        <v>1267</v>
      </c>
      <c r="F330" s="21" t="s">
        <v>145</v>
      </c>
      <c r="G330" s="21" t="s">
        <v>146</v>
      </c>
      <c r="H330" s="21" t="s">
        <v>1142</v>
      </c>
      <c r="I330" s="21">
        <v>100</v>
      </c>
      <c r="J330" s="89">
        <f t="shared" si="20"/>
        <v>0.13623978201634879</v>
      </c>
      <c r="K330" s="94">
        <v>1.1585002482030899</v>
      </c>
      <c r="L330" s="94">
        <v>1.1588940953790401</v>
      </c>
      <c r="M330" s="89">
        <f t="shared" si="22"/>
        <v>1.1585002482030899</v>
      </c>
      <c r="N330" s="89">
        <f t="shared" si="21"/>
        <v>1.1168073548114199</v>
      </c>
      <c r="O330" s="89">
        <f t="shared" si="23"/>
        <v>0.15215359057376293</v>
      </c>
    </row>
    <row r="331" spans="1:15" x14ac:dyDescent="0.2">
      <c r="A331" s="21" t="s">
        <v>1127</v>
      </c>
      <c r="B331" s="21" t="s">
        <v>676</v>
      </c>
      <c r="C331" s="21" t="s">
        <v>677</v>
      </c>
      <c r="D331" s="21" t="s">
        <v>1268</v>
      </c>
      <c r="E331" s="21" t="s">
        <v>1269</v>
      </c>
      <c r="F331" s="21" t="s">
        <v>147</v>
      </c>
      <c r="G331" s="21" t="s">
        <v>148</v>
      </c>
      <c r="H331" s="21" t="s">
        <v>1142</v>
      </c>
      <c r="I331" s="21">
        <v>232</v>
      </c>
      <c r="J331" s="89">
        <f t="shared" si="20"/>
        <v>0.31607629427792916</v>
      </c>
      <c r="K331" s="94">
        <v>1.15793321929648</v>
      </c>
      <c r="L331" s="94">
        <v>1.1576632351228799</v>
      </c>
      <c r="M331" s="89">
        <f t="shared" si="22"/>
        <v>1.15793321929648</v>
      </c>
      <c r="N331" s="89">
        <f t="shared" si="21"/>
        <v>1.1162607325260341</v>
      </c>
      <c r="O331" s="89">
        <f t="shared" si="23"/>
        <v>0.35282355578479552</v>
      </c>
    </row>
    <row r="332" spans="1:15" x14ac:dyDescent="0.2">
      <c r="A332" s="21" t="s">
        <v>1127</v>
      </c>
      <c r="B332" s="21" t="s">
        <v>676</v>
      </c>
      <c r="C332" s="21" t="s">
        <v>677</v>
      </c>
      <c r="D332" s="21" t="s">
        <v>1270</v>
      </c>
      <c r="E332" s="21" t="s">
        <v>1271</v>
      </c>
      <c r="F332" s="21" t="s">
        <v>149</v>
      </c>
      <c r="G332" s="21" t="s">
        <v>150</v>
      </c>
      <c r="H332" s="21" t="s">
        <v>1142</v>
      </c>
      <c r="I332" s="21">
        <v>402</v>
      </c>
      <c r="J332" s="89">
        <f t="shared" si="20"/>
        <v>0.54768392370572205</v>
      </c>
      <c r="K332" s="94">
        <v>1.1922199407204499</v>
      </c>
      <c r="L332" s="94">
        <v>1.1914023512746099</v>
      </c>
      <c r="M332" s="89">
        <f t="shared" si="22"/>
        <v>1.1922199407204499</v>
      </c>
      <c r="N332" s="89">
        <f t="shared" si="21"/>
        <v>1.1493135201435187</v>
      </c>
      <c r="O332" s="89">
        <f t="shared" si="23"/>
        <v>0.62946053828023774</v>
      </c>
    </row>
    <row r="333" spans="1:15" x14ac:dyDescent="0.2">
      <c r="A333" s="21" t="s">
        <v>1127</v>
      </c>
      <c r="B333" s="21" t="s">
        <v>2347</v>
      </c>
      <c r="C333" s="21" t="s">
        <v>2348</v>
      </c>
      <c r="D333" s="21" t="s">
        <v>1272</v>
      </c>
      <c r="E333" s="21" t="s">
        <v>1273</v>
      </c>
      <c r="F333" s="21" t="s">
        <v>151</v>
      </c>
      <c r="G333" s="21" t="s">
        <v>152</v>
      </c>
      <c r="H333" s="21" t="s">
        <v>1138</v>
      </c>
      <c r="I333" s="21">
        <v>381</v>
      </c>
      <c r="J333" s="89">
        <f t="shared" si="20"/>
        <v>0.44876325088339225</v>
      </c>
      <c r="K333" s="94">
        <v>1.1479171396591601</v>
      </c>
      <c r="L333" s="94">
        <v>1.1455736430225001</v>
      </c>
      <c r="M333" s="89">
        <f t="shared" si="22"/>
        <v>1.1479171396591601</v>
      </c>
      <c r="N333" s="89">
        <f t="shared" si="21"/>
        <v>1.1066051183622168</v>
      </c>
      <c r="O333" s="89">
        <f t="shared" si="23"/>
        <v>0.49660371036042944</v>
      </c>
    </row>
    <row r="334" spans="1:15" x14ac:dyDescent="0.2">
      <c r="A334" s="21" t="s">
        <v>1127</v>
      </c>
      <c r="B334" s="21" t="s">
        <v>2347</v>
      </c>
      <c r="C334" s="21" t="s">
        <v>2348</v>
      </c>
      <c r="D334" s="21" t="s">
        <v>1274</v>
      </c>
      <c r="E334" s="21" t="s">
        <v>1275</v>
      </c>
      <c r="F334" s="21" t="s">
        <v>153</v>
      </c>
      <c r="G334" s="21" t="s">
        <v>154</v>
      </c>
      <c r="H334" s="21" t="s">
        <v>1138</v>
      </c>
      <c r="I334" s="21">
        <v>468</v>
      </c>
      <c r="J334" s="89">
        <f t="shared" si="20"/>
        <v>0.5512367491166078</v>
      </c>
      <c r="K334" s="94">
        <v>1.1096236843165399</v>
      </c>
      <c r="L334" s="94">
        <v>1.11061034537473</v>
      </c>
      <c r="M334" s="89">
        <f t="shared" si="22"/>
        <v>1.1096236843165399</v>
      </c>
      <c r="N334" s="89">
        <f t="shared" si="21"/>
        <v>1.0696897938863572</v>
      </c>
      <c r="O334" s="89">
        <f t="shared" si="23"/>
        <v>0.58965232454512984</v>
      </c>
    </row>
    <row r="335" spans="1:15" x14ac:dyDescent="0.2">
      <c r="A335" s="21" t="s">
        <v>2975</v>
      </c>
      <c r="B335" s="21" t="s">
        <v>578</v>
      </c>
      <c r="C335" s="21" t="s">
        <v>579</v>
      </c>
      <c r="D335" s="21" t="s">
        <v>1276</v>
      </c>
      <c r="E335" s="21" t="s">
        <v>1277</v>
      </c>
      <c r="F335" s="21" t="s">
        <v>155</v>
      </c>
      <c r="G335" s="21" t="s">
        <v>156</v>
      </c>
      <c r="H335" s="21" t="s">
        <v>3023</v>
      </c>
      <c r="I335" s="21">
        <v>87</v>
      </c>
      <c r="J335" s="89">
        <f t="shared" si="20"/>
        <v>0.10834371108343711</v>
      </c>
      <c r="K335" s="94">
        <v>1.0032175916294199</v>
      </c>
      <c r="L335" s="94">
        <v>1.0033094186887399</v>
      </c>
      <c r="M335" s="89">
        <f t="shared" si="22"/>
        <v>1.0032175916294199</v>
      </c>
      <c r="N335" s="89">
        <f t="shared" si="21"/>
        <v>0.96711311589768834</v>
      </c>
      <c r="O335" s="89">
        <f t="shared" si="23"/>
        <v>0.10478062401382178</v>
      </c>
    </row>
    <row r="336" spans="1:15" x14ac:dyDescent="0.2">
      <c r="A336" s="21" t="s">
        <v>2975</v>
      </c>
      <c r="B336" s="21" t="s">
        <v>578</v>
      </c>
      <c r="C336" s="21" t="s">
        <v>579</v>
      </c>
      <c r="D336" s="21" t="s">
        <v>1278</v>
      </c>
      <c r="E336" s="21" t="s">
        <v>1279</v>
      </c>
      <c r="F336" s="21" t="s">
        <v>157</v>
      </c>
      <c r="G336" s="21" t="s">
        <v>156</v>
      </c>
      <c r="H336" s="21" t="s">
        <v>3023</v>
      </c>
      <c r="I336" s="21">
        <v>716</v>
      </c>
      <c r="J336" s="89">
        <f t="shared" si="20"/>
        <v>0.8916562889165629</v>
      </c>
      <c r="K336" s="94">
        <v>1.0031097292726601</v>
      </c>
      <c r="L336" s="94">
        <v>1.0033094186887399</v>
      </c>
      <c r="M336" s="89">
        <f t="shared" si="22"/>
        <v>1.0031097292726601</v>
      </c>
      <c r="N336" s="89">
        <f t="shared" si="21"/>
        <v>0.96700913536464705</v>
      </c>
      <c r="O336" s="89">
        <f t="shared" si="23"/>
        <v>0.86223977698765542</v>
      </c>
    </row>
    <row r="337" spans="1:15" x14ac:dyDescent="0.2">
      <c r="A337" s="21" t="s">
        <v>2133</v>
      </c>
      <c r="B337" s="21" t="s">
        <v>695</v>
      </c>
      <c r="C337" s="21" t="s">
        <v>696</v>
      </c>
      <c r="D337" s="21" t="s">
        <v>1280</v>
      </c>
      <c r="E337" s="21" t="s">
        <v>1281</v>
      </c>
      <c r="F337" s="21" t="s">
        <v>158</v>
      </c>
      <c r="G337" s="21" t="s">
        <v>159</v>
      </c>
      <c r="H337" s="21" t="s">
        <v>1125</v>
      </c>
      <c r="I337" s="21">
        <v>34</v>
      </c>
      <c r="J337" s="89">
        <f t="shared" si="20"/>
        <v>3.3268101761252444E-2</v>
      </c>
      <c r="K337" s="94">
        <v>0.965683398955969</v>
      </c>
      <c r="L337" s="94">
        <v>0.96560030831562105</v>
      </c>
      <c r="M337" s="89">
        <f t="shared" si="22"/>
        <v>0.965683398955969</v>
      </c>
      <c r="N337" s="89">
        <f t="shared" si="21"/>
        <v>0.930929729230627</v>
      </c>
      <c r="O337" s="89">
        <f t="shared" si="23"/>
        <v>3.0970264964619684E-2</v>
      </c>
    </row>
    <row r="338" spans="1:15" x14ac:dyDescent="0.2">
      <c r="A338" s="21" t="s">
        <v>2133</v>
      </c>
      <c r="B338" s="21" t="s">
        <v>695</v>
      </c>
      <c r="C338" s="21" t="s">
        <v>696</v>
      </c>
      <c r="D338" s="21" t="s">
        <v>1282</v>
      </c>
      <c r="E338" s="21" t="s">
        <v>1283</v>
      </c>
      <c r="F338" s="21" t="s">
        <v>160</v>
      </c>
      <c r="G338" s="21" t="s">
        <v>161</v>
      </c>
      <c r="H338" s="21" t="s">
        <v>1125</v>
      </c>
      <c r="I338" s="21">
        <v>398</v>
      </c>
      <c r="J338" s="89">
        <f t="shared" si="20"/>
        <v>0.38943248532289626</v>
      </c>
      <c r="K338" s="94">
        <v>0.97865794684946905</v>
      </c>
      <c r="L338" s="94">
        <v>0.97803006727401498</v>
      </c>
      <c r="M338" s="89">
        <f t="shared" si="22"/>
        <v>0.97865794684946905</v>
      </c>
      <c r="N338" s="89">
        <f t="shared" si="21"/>
        <v>0.94343734028663584</v>
      </c>
      <c r="O338" s="89">
        <f t="shared" si="23"/>
        <v>0.36740514817424758</v>
      </c>
    </row>
    <row r="339" spans="1:15" x14ac:dyDescent="0.2">
      <c r="A339" s="21" t="s">
        <v>2133</v>
      </c>
      <c r="B339" s="21" t="s">
        <v>695</v>
      </c>
      <c r="C339" s="21" t="s">
        <v>696</v>
      </c>
      <c r="D339" s="21" t="s">
        <v>1284</v>
      </c>
      <c r="E339" s="21" t="s">
        <v>1285</v>
      </c>
      <c r="F339" s="21" t="s">
        <v>162</v>
      </c>
      <c r="G339" s="21" t="s">
        <v>163</v>
      </c>
      <c r="H339" s="21" t="s">
        <v>1125</v>
      </c>
      <c r="I339" s="21">
        <v>590</v>
      </c>
      <c r="J339" s="89">
        <f t="shared" si="20"/>
        <v>0.5772994129158513</v>
      </c>
      <c r="K339" s="94">
        <v>0.96451106706133904</v>
      </c>
      <c r="L339" s="94">
        <v>0.96451561195648094</v>
      </c>
      <c r="M339" s="89">
        <f t="shared" si="22"/>
        <v>0.96451106706133904</v>
      </c>
      <c r="N339" s="89">
        <f t="shared" si="21"/>
        <v>0.92979958801207008</v>
      </c>
      <c r="O339" s="89">
        <f t="shared" si="23"/>
        <v>0.53677275628876842</v>
      </c>
    </row>
    <row r="340" spans="1:15" x14ac:dyDescent="0.2">
      <c r="A340" s="21" t="s">
        <v>2975</v>
      </c>
      <c r="B340" s="21" t="s">
        <v>674</v>
      </c>
      <c r="C340" s="21" t="s">
        <v>675</v>
      </c>
      <c r="D340" s="21" t="s">
        <v>1286</v>
      </c>
      <c r="E340" s="21" t="s">
        <v>1287</v>
      </c>
      <c r="F340" s="21" t="s">
        <v>164</v>
      </c>
      <c r="G340" s="21" t="s">
        <v>165</v>
      </c>
      <c r="H340" s="21" t="s">
        <v>3603</v>
      </c>
      <c r="I340" s="21">
        <v>50</v>
      </c>
      <c r="J340" s="89">
        <f t="shared" si="20"/>
        <v>8.1699346405228759E-2</v>
      </c>
      <c r="K340" s="94">
        <v>0.98783990922966602</v>
      </c>
      <c r="L340" s="94">
        <v>0.98775352373826897</v>
      </c>
      <c r="M340" s="89">
        <f t="shared" si="22"/>
        <v>0.98783990922966602</v>
      </c>
      <c r="N340" s="89">
        <f t="shared" si="21"/>
        <v>0.95228885597142843</v>
      </c>
      <c r="O340" s="89">
        <f t="shared" si="23"/>
        <v>7.780137712184873E-2</v>
      </c>
    </row>
    <row r="341" spans="1:15" x14ac:dyDescent="0.2">
      <c r="A341" s="21" t="s">
        <v>2975</v>
      </c>
      <c r="B341" s="21" t="s">
        <v>674</v>
      </c>
      <c r="C341" s="21" t="s">
        <v>675</v>
      </c>
      <c r="D341" s="21" t="s">
        <v>3483</v>
      </c>
      <c r="E341" s="21" t="s">
        <v>3484</v>
      </c>
      <c r="F341" s="21" t="s">
        <v>166</v>
      </c>
      <c r="G341" s="21" t="s">
        <v>167</v>
      </c>
      <c r="H341" s="21" t="s">
        <v>2977</v>
      </c>
      <c r="I341" s="21">
        <v>562</v>
      </c>
      <c r="J341" s="89">
        <f t="shared" si="20"/>
        <v>0.9183006535947712</v>
      </c>
      <c r="K341" s="94">
        <v>0.99074079151838401</v>
      </c>
      <c r="L341" s="94">
        <v>0.99025494463227004</v>
      </c>
      <c r="M341" s="89">
        <f t="shared" si="22"/>
        <v>0.99074079151838401</v>
      </c>
      <c r="N341" s="89">
        <f t="shared" si="21"/>
        <v>0.95508533933904738</v>
      </c>
      <c r="O341" s="89">
        <f t="shared" si="23"/>
        <v>0.8770554913538311</v>
      </c>
    </row>
    <row r="342" spans="1:15" x14ac:dyDescent="0.2">
      <c r="A342" s="21" t="s">
        <v>3034</v>
      </c>
      <c r="B342" s="21" t="s">
        <v>2298</v>
      </c>
      <c r="C342" s="21" t="s">
        <v>2299</v>
      </c>
      <c r="D342" s="21" t="s">
        <v>3485</v>
      </c>
      <c r="E342" s="21" t="s">
        <v>3486</v>
      </c>
      <c r="F342" s="21" t="s">
        <v>168</v>
      </c>
      <c r="G342" s="21" t="s">
        <v>169</v>
      </c>
      <c r="H342" s="21" t="s">
        <v>3624</v>
      </c>
      <c r="I342" s="21">
        <v>425</v>
      </c>
      <c r="J342" s="89">
        <f t="shared" si="20"/>
        <v>0.49649532710280375</v>
      </c>
      <c r="K342" s="94">
        <v>0.96421430939931996</v>
      </c>
      <c r="L342" s="94">
        <v>0.96417135063020398</v>
      </c>
      <c r="M342" s="89">
        <f t="shared" si="22"/>
        <v>0.96421430939931996</v>
      </c>
      <c r="N342" s="89">
        <f t="shared" si="21"/>
        <v>0.92951351026624862</v>
      </c>
      <c r="O342" s="89">
        <f t="shared" si="23"/>
        <v>0.46149911432611646</v>
      </c>
    </row>
    <row r="343" spans="1:15" x14ac:dyDescent="0.2">
      <c r="A343" s="21" t="s">
        <v>3034</v>
      </c>
      <c r="B343" s="21" t="s">
        <v>2298</v>
      </c>
      <c r="C343" s="21" t="s">
        <v>2299</v>
      </c>
      <c r="D343" s="21" t="s">
        <v>3487</v>
      </c>
      <c r="E343" s="21" t="s">
        <v>3488</v>
      </c>
      <c r="F343" s="21" t="s">
        <v>170</v>
      </c>
      <c r="G343" s="21" t="s">
        <v>171</v>
      </c>
      <c r="H343" s="21" t="s">
        <v>3042</v>
      </c>
      <c r="I343" s="21">
        <v>431</v>
      </c>
      <c r="J343" s="89">
        <f t="shared" si="20"/>
        <v>0.50350467289719625</v>
      </c>
      <c r="K343" s="94">
        <v>0.96532601100063697</v>
      </c>
      <c r="L343" s="94">
        <v>0.96551348663541403</v>
      </c>
      <c r="M343" s="89">
        <f t="shared" si="22"/>
        <v>0.96532601100063697</v>
      </c>
      <c r="N343" s="89">
        <f t="shared" si="21"/>
        <v>0.93058520319564786</v>
      </c>
      <c r="O343" s="89">
        <f t="shared" si="23"/>
        <v>0.4685539983379956</v>
      </c>
    </row>
    <row r="344" spans="1:15" x14ac:dyDescent="0.2">
      <c r="A344" s="21" t="s">
        <v>3069</v>
      </c>
      <c r="B344" s="21" t="s">
        <v>3678</v>
      </c>
      <c r="C344" s="21" t="s">
        <v>3679</v>
      </c>
      <c r="D344" s="21" t="s">
        <v>3489</v>
      </c>
      <c r="E344" s="21" t="s">
        <v>3490</v>
      </c>
      <c r="F344" s="21" t="s">
        <v>172</v>
      </c>
      <c r="G344" s="21" t="s">
        <v>173</v>
      </c>
      <c r="H344" s="21" t="s">
        <v>2118</v>
      </c>
      <c r="I344" s="21">
        <v>785</v>
      </c>
      <c r="J344" s="89">
        <f t="shared" si="20"/>
        <v>0.45218894009216593</v>
      </c>
      <c r="K344" s="94">
        <v>0.96894380698909599</v>
      </c>
      <c r="L344" s="94">
        <v>0.96950378722341202</v>
      </c>
      <c r="M344" s="89">
        <f t="shared" si="22"/>
        <v>0.96894380698909599</v>
      </c>
      <c r="N344" s="89">
        <f t="shared" si="21"/>
        <v>0.93407279948609767</v>
      </c>
      <c r="O344" s="89">
        <f t="shared" si="23"/>
        <v>0.42237738916854073</v>
      </c>
    </row>
    <row r="345" spans="1:15" x14ac:dyDescent="0.2">
      <c r="A345" s="21" t="s">
        <v>3069</v>
      </c>
      <c r="B345" s="21" t="s">
        <v>3678</v>
      </c>
      <c r="C345" s="21" t="s">
        <v>3679</v>
      </c>
      <c r="D345" s="21" t="s">
        <v>3491</v>
      </c>
      <c r="E345" s="21" t="s">
        <v>3492</v>
      </c>
      <c r="F345" s="21" t="s">
        <v>174</v>
      </c>
      <c r="G345" s="21" t="s">
        <v>175</v>
      </c>
      <c r="H345" s="21" t="s">
        <v>2118</v>
      </c>
      <c r="I345" s="21">
        <v>951</v>
      </c>
      <c r="J345" s="89">
        <f t="shared" si="20"/>
        <v>0.54781105990783407</v>
      </c>
      <c r="K345" s="94">
        <v>0.97185608251366995</v>
      </c>
      <c r="L345" s="94">
        <v>0.97187889944813899</v>
      </c>
      <c r="M345" s="89">
        <f t="shared" si="22"/>
        <v>0.97185608251366995</v>
      </c>
      <c r="N345" s="89">
        <f t="shared" si="21"/>
        <v>0.9368802660620662</v>
      </c>
      <c r="O345" s="89">
        <f t="shared" si="23"/>
        <v>0.51323337155819404</v>
      </c>
    </row>
    <row r="346" spans="1:15" x14ac:dyDescent="0.2">
      <c r="A346" s="21" t="s">
        <v>708</v>
      </c>
      <c r="B346" s="21" t="s">
        <v>3674</v>
      </c>
      <c r="C346" s="21" t="s">
        <v>1342</v>
      </c>
      <c r="D346" s="21" t="s">
        <v>1343</v>
      </c>
      <c r="E346" s="21" t="s">
        <v>1344</v>
      </c>
      <c r="F346" s="21" t="s">
        <v>176</v>
      </c>
      <c r="G346" s="21" t="s">
        <v>177</v>
      </c>
      <c r="H346" s="21" t="s">
        <v>3587</v>
      </c>
      <c r="I346" s="21">
        <v>55</v>
      </c>
      <c r="J346" s="89">
        <f t="shared" si="20"/>
        <v>3.4289276807980051E-2</v>
      </c>
      <c r="K346" s="94">
        <v>0.95908421643355002</v>
      </c>
      <c r="L346" s="94">
        <v>0.95929623366001404</v>
      </c>
      <c r="M346" s="89">
        <f t="shared" si="22"/>
        <v>0.95908421643355002</v>
      </c>
      <c r="N346" s="89">
        <f t="shared" si="21"/>
        <v>0.92456804256874514</v>
      </c>
      <c r="O346" s="89">
        <f t="shared" si="23"/>
        <v>3.1702769539451989E-2</v>
      </c>
    </row>
    <row r="347" spans="1:15" x14ac:dyDescent="0.2">
      <c r="A347" s="21" t="s">
        <v>708</v>
      </c>
      <c r="B347" s="21" t="s">
        <v>3674</v>
      </c>
      <c r="C347" s="21" t="s">
        <v>1342</v>
      </c>
      <c r="D347" s="21" t="s">
        <v>1345</v>
      </c>
      <c r="E347" s="21" t="s">
        <v>1346</v>
      </c>
      <c r="F347" s="21" t="s">
        <v>3399</v>
      </c>
      <c r="G347" s="21" t="s">
        <v>3400</v>
      </c>
      <c r="H347" s="21" t="s">
        <v>716</v>
      </c>
      <c r="I347" s="21">
        <v>61</v>
      </c>
      <c r="J347" s="89">
        <f t="shared" si="20"/>
        <v>3.8029925187032416E-2</v>
      </c>
      <c r="K347" s="94">
        <v>0.95621636195465298</v>
      </c>
      <c r="L347" s="94">
        <v>0.95591027795005001</v>
      </c>
      <c r="M347" s="89">
        <f t="shared" si="22"/>
        <v>0.95621636195465298</v>
      </c>
      <c r="N347" s="89">
        <f t="shared" si="21"/>
        <v>0.92180339838370595</v>
      </c>
      <c r="O347" s="89">
        <f t="shared" si="23"/>
        <v>3.5056114277684576E-2</v>
      </c>
    </row>
    <row r="348" spans="1:15" x14ac:dyDescent="0.2">
      <c r="A348" s="21" t="s">
        <v>708</v>
      </c>
      <c r="B348" s="21" t="s">
        <v>3674</v>
      </c>
      <c r="C348" s="21" t="s">
        <v>1342</v>
      </c>
      <c r="D348" s="21" t="s">
        <v>1347</v>
      </c>
      <c r="E348" s="21" t="s">
        <v>1348</v>
      </c>
      <c r="F348" s="21" t="s">
        <v>178</v>
      </c>
      <c r="G348" s="21" t="s">
        <v>179</v>
      </c>
      <c r="H348" s="21" t="s">
        <v>710</v>
      </c>
      <c r="I348" s="21">
        <v>68</v>
      </c>
      <c r="J348" s="89">
        <f t="shared" si="20"/>
        <v>4.2394014962593519E-2</v>
      </c>
      <c r="K348" s="94">
        <v>0.950227955625225</v>
      </c>
      <c r="L348" s="94">
        <v>0.95016136529340101</v>
      </c>
      <c r="M348" s="89">
        <f t="shared" si="22"/>
        <v>0.950227955625225</v>
      </c>
      <c r="N348" s="89">
        <f t="shared" si="21"/>
        <v>0.91603050688655019</v>
      </c>
      <c r="O348" s="89">
        <f t="shared" si="23"/>
        <v>3.8834211015140535E-2</v>
      </c>
    </row>
    <row r="349" spans="1:15" x14ac:dyDescent="0.2">
      <c r="A349" s="21" t="s">
        <v>708</v>
      </c>
      <c r="B349" s="21" t="s">
        <v>3674</v>
      </c>
      <c r="C349" s="21" t="s">
        <v>1342</v>
      </c>
      <c r="D349" s="21" t="s">
        <v>1349</v>
      </c>
      <c r="E349" s="21" t="s">
        <v>1350</v>
      </c>
      <c r="F349" s="21" t="s">
        <v>180</v>
      </c>
      <c r="G349" s="21" t="s">
        <v>181</v>
      </c>
      <c r="H349" s="21" t="s">
        <v>710</v>
      </c>
      <c r="I349" s="21">
        <v>174</v>
      </c>
      <c r="J349" s="89">
        <f t="shared" si="20"/>
        <v>0.10847880299251871</v>
      </c>
      <c r="K349" s="94">
        <v>0.94723956714975199</v>
      </c>
      <c r="L349" s="94">
        <v>0.94763731921376404</v>
      </c>
      <c r="M349" s="89">
        <f t="shared" si="22"/>
        <v>0.94723956714975199</v>
      </c>
      <c r="N349" s="89">
        <f t="shared" si="21"/>
        <v>0.91314966656422958</v>
      </c>
      <c r="O349" s="89">
        <f t="shared" si="23"/>
        <v>9.9057382781905207E-2</v>
      </c>
    </row>
    <row r="350" spans="1:15" x14ac:dyDescent="0.2">
      <c r="A350" s="21" t="s">
        <v>708</v>
      </c>
      <c r="B350" s="21" t="s">
        <v>3674</v>
      </c>
      <c r="C350" s="21" t="s">
        <v>1342</v>
      </c>
      <c r="D350" s="21" t="s">
        <v>1351</v>
      </c>
      <c r="E350" s="21" t="s">
        <v>1352</v>
      </c>
      <c r="F350" s="21" t="s">
        <v>182</v>
      </c>
      <c r="G350" s="21" t="s">
        <v>183</v>
      </c>
      <c r="H350" s="21" t="s">
        <v>716</v>
      </c>
      <c r="I350" s="21">
        <v>180</v>
      </c>
      <c r="J350" s="89">
        <f t="shared" si="20"/>
        <v>0.11221945137157108</v>
      </c>
      <c r="K350" s="94">
        <v>0.95845162590066302</v>
      </c>
      <c r="L350" s="94">
        <v>0.95872651066692605</v>
      </c>
      <c r="M350" s="89">
        <f t="shared" si="22"/>
        <v>0.95845162590066302</v>
      </c>
      <c r="N350" s="89">
        <f t="shared" si="21"/>
        <v>0.92395821813339596</v>
      </c>
      <c r="O350" s="89">
        <f t="shared" si="23"/>
        <v>0.10368608432918409</v>
      </c>
    </row>
    <row r="351" spans="1:15" x14ac:dyDescent="0.2">
      <c r="A351" s="21" t="s">
        <v>708</v>
      </c>
      <c r="B351" s="21" t="s">
        <v>3674</v>
      </c>
      <c r="C351" s="21" t="s">
        <v>1342</v>
      </c>
      <c r="D351" s="21" t="s">
        <v>1353</v>
      </c>
      <c r="E351" s="21" t="s">
        <v>1354</v>
      </c>
      <c r="F351" s="21" t="s">
        <v>2396</v>
      </c>
      <c r="G351" s="21" t="s">
        <v>2397</v>
      </c>
      <c r="H351" s="21" t="s">
        <v>3587</v>
      </c>
      <c r="I351" s="21">
        <v>191</v>
      </c>
      <c r="J351" s="89">
        <f t="shared" si="20"/>
        <v>0.11907730673316708</v>
      </c>
      <c r="K351" s="94">
        <v>0.96346851734449002</v>
      </c>
      <c r="L351" s="94">
        <v>0.96357931373428896</v>
      </c>
      <c r="M351" s="89">
        <f t="shared" si="22"/>
        <v>0.96346851734449002</v>
      </c>
      <c r="N351" s="89">
        <f t="shared" si="21"/>
        <v>0.92879455828217627</v>
      </c>
      <c r="O351" s="89">
        <f t="shared" si="23"/>
        <v>0.11059835450866314</v>
      </c>
    </row>
    <row r="352" spans="1:15" x14ac:dyDescent="0.2">
      <c r="A352" s="21" t="s">
        <v>708</v>
      </c>
      <c r="B352" s="21" t="s">
        <v>3674</v>
      </c>
      <c r="C352" s="21" t="s">
        <v>1342</v>
      </c>
      <c r="D352" s="21" t="s">
        <v>1355</v>
      </c>
      <c r="E352" s="21" t="s">
        <v>1356</v>
      </c>
      <c r="F352" s="21" t="s">
        <v>2398</v>
      </c>
      <c r="G352" s="21" t="s">
        <v>3420</v>
      </c>
      <c r="H352" s="21" t="s">
        <v>3587</v>
      </c>
      <c r="I352" s="21">
        <v>194</v>
      </c>
      <c r="J352" s="89">
        <f t="shared" si="20"/>
        <v>0.12094763092269327</v>
      </c>
      <c r="K352" s="94">
        <v>0.96275108372511697</v>
      </c>
      <c r="L352" s="94">
        <v>0.96220476236548902</v>
      </c>
      <c r="M352" s="89">
        <f t="shared" si="22"/>
        <v>0.96275108372511697</v>
      </c>
      <c r="N352" s="89">
        <f t="shared" si="21"/>
        <v>0.92810294415093408</v>
      </c>
      <c r="O352" s="89">
        <f t="shared" si="23"/>
        <v>0.11225185234743218</v>
      </c>
    </row>
    <row r="353" spans="1:15" x14ac:dyDescent="0.2">
      <c r="A353" s="21" t="s">
        <v>708</v>
      </c>
      <c r="B353" s="21" t="s">
        <v>3674</v>
      </c>
      <c r="C353" s="21" t="s">
        <v>1342</v>
      </c>
      <c r="D353" s="21" t="s">
        <v>728</v>
      </c>
      <c r="E353" s="21" t="s">
        <v>729</v>
      </c>
      <c r="F353" s="21" t="s">
        <v>182</v>
      </c>
      <c r="G353" s="21" t="s">
        <v>183</v>
      </c>
      <c r="H353" s="21" t="s">
        <v>716</v>
      </c>
      <c r="I353" s="21">
        <v>681</v>
      </c>
      <c r="J353" s="89">
        <f t="shared" si="20"/>
        <v>0.4245635910224439</v>
      </c>
      <c r="K353" s="94" t="e">
        <v>#N/A</v>
      </c>
      <c r="L353" s="94">
        <v>0.95872651066692605</v>
      </c>
      <c r="M353" s="89">
        <f t="shared" si="22"/>
        <v>0.95872651066692605</v>
      </c>
      <c r="N353" s="89">
        <f t="shared" si="21"/>
        <v>0.92422321016008246</v>
      </c>
      <c r="O353" s="89">
        <f t="shared" si="23"/>
        <v>0.39239152501185548</v>
      </c>
    </row>
    <row r="354" spans="1:15" x14ac:dyDescent="0.2">
      <c r="A354" s="21" t="s">
        <v>3496</v>
      </c>
      <c r="B354" s="21" t="s">
        <v>2361</v>
      </c>
      <c r="C354" s="21" t="s">
        <v>2362</v>
      </c>
      <c r="D354" s="21" t="s">
        <v>1357</v>
      </c>
      <c r="E354" s="21" t="s">
        <v>1358</v>
      </c>
      <c r="F354" s="21" t="s">
        <v>2399</v>
      </c>
      <c r="G354" s="21" t="s">
        <v>2400</v>
      </c>
      <c r="H354" s="21" t="s">
        <v>3505</v>
      </c>
      <c r="I354" s="21">
        <v>466</v>
      </c>
      <c r="J354" s="89">
        <f t="shared" si="20"/>
        <v>0.47261663286004058</v>
      </c>
      <c r="K354" s="94">
        <v>0.96325561099805401</v>
      </c>
      <c r="L354" s="94">
        <v>0.961993996824553</v>
      </c>
      <c r="M354" s="89">
        <f t="shared" si="22"/>
        <v>0.96325561099805401</v>
      </c>
      <c r="N354" s="89">
        <f t="shared" si="21"/>
        <v>0.92858931415386936</v>
      </c>
      <c r="O354" s="89">
        <f t="shared" si="23"/>
        <v>0.43886675496521615</v>
      </c>
    </row>
    <row r="355" spans="1:15" x14ac:dyDescent="0.2">
      <c r="A355" s="21" t="s">
        <v>3496</v>
      </c>
      <c r="B355" s="21" t="s">
        <v>2361</v>
      </c>
      <c r="C355" s="21" t="s">
        <v>2362</v>
      </c>
      <c r="D355" s="21" t="s">
        <v>1359</v>
      </c>
      <c r="E355" s="21" t="s">
        <v>1360</v>
      </c>
      <c r="F355" s="21" t="s">
        <v>2401</v>
      </c>
      <c r="G355" s="21" t="s">
        <v>2402</v>
      </c>
      <c r="H355" s="21" t="s">
        <v>187</v>
      </c>
      <c r="I355" s="21">
        <v>520</v>
      </c>
      <c r="J355" s="89">
        <f t="shared" si="20"/>
        <v>0.52738336713995948</v>
      </c>
      <c r="K355" s="94">
        <v>0.98234639106827804</v>
      </c>
      <c r="L355" s="94">
        <v>0.98232583619813296</v>
      </c>
      <c r="M355" s="89">
        <f t="shared" si="22"/>
        <v>0.98234639106827804</v>
      </c>
      <c r="N355" s="89">
        <f t="shared" si="21"/>
        <v>0.94699304227096148</v>
      </c>
      <c r="O355" s="89">
        <f t="shared" si="23"/>
        <v>0.49942837929097367</v>
      </c>
    </row>
    <row r="356" spans="1:15" x14ac:dyDescent="0.2">
      <c r="A356" s="21" t="s">
        <v>3034</v>
      </c>
      <c r="B356" s="21" t="s">
        <v>397</v>
      </c>
      <c r="C356" s="21" t="s">
        <v>398</v>
      </c>
      <c r="D356" s="21" t="s">
        <v>1361</v>
      </c>
      <c r="E356" s="21" t="s">
        <v>1362</v>
      </c>
      <c r="F356" s="21" t="s">
        <v>2403</v>
      </c>
      <c r="G356" s="21" t="s">
        <v>2404</v>
      </c>
      <c r="H356" s="21" t="s">
        <v>3042</v>
      </c>
      <c r="I356" s="21">
        <v>376</v>
      </c>
      <c r="J356" s="89">
        <f t="shared" si="20"/>
        <v>0.28017883755588674</v>
      </c>
      <c r="K356" s="94">
        <v>0.969266917465887</v>
      </c>
      <c r="L356" s="94">
        <v>0.96911645480437203</v>
      </c>
      <c r="M356" s="89">
        <f t="shared" si="22"/>
        <v>0.969266917465887</v>
      </c>
      <c r="N356" s="89">
        <f t="shared" si="21"/>
        <v>0.93438428164370324</v>
      </c>
      <c r="O356" s="89">
        <f t="shared" si="23"/>
        <v>0.26179470186142506</v>
      </c>
    </row>
    <row r="357" spans="1:15" x14ac:dyDescent="0.2">
      <c r="A357" s="21" t="s">
        <v>3034</v>
      </c>
      <c r="B357" s="21" t="s">
        <v>397</v>
      </c>
      <c r="C357" s="21" t="s">
        <v>398</v>
      </c>
      <c r="D357" s="21" t="s">
        <v>1363</v>
      </c>
      <c r="E357" s="21" t="s">
        <v>1364</v>
      </c>
      <c r="F357" s="21" t="s">
        <v>2405</v>
      </c>
      <c r="G357" s="21" t="s">
        <v>2406</v>
      </c>
      <c r="H357" s="21" t="s">
        <v>3055</v>
      </c>
      <c r="I357" s="21">
        <v>434</v>
      </c>
      <c r="J357" s="89">
        <f t="shared" si="20"/>
        <v>0.32339791356184799</v>
      </c>
      <c r="K357" s="94">
        <v>0.97292913476304599</v>
      </c>
      <c r="L357" s="94">
        <v>0.97315896933260704</v>
      </c>
      <c r="M357" s="89">
        <f t="shared" si="22"/>
        <v>0.97292913476304599</v>
      </c>
      <c r="N357" s="89">
        <f t="shared" si="21"/>
        <v>0.93791470057863968</v>
      </c>
      <c r="O357" s="89">
        <f t="shared" si="23"/>
        <v>0.30331965726611748</v>
      </c>
    </row>
    <row r="358" spans="1:15" x14ac:dyDescent="0.2">
      <c r="A358" s="21" t="s">
        <v>3034</v>
      </c>
      <c r="B358" s="21" t="s">
        <v>397</v>
      </c>
      <c r="C358" s="21" t="s">
        <v>398</v>
      </c>
      <c r="D358" s="21" t="s">
        <v>1365</v>
      </c>
      <c r="E358" s="21" t="s">
        <v>1366</v>
      </c>
      <c r="F358" s="21" t="s">
        <v>2407</v>
      </c>
      <c r="G358" s="21" t="s">
        <v>2408</v>
      </c>
      <c r="H358" s="21" t="s">
        <v>3055</v>
      </c>
      <c r="I358" s="21">
        <v>532</v>
      </c>
      <c r="J358" s="89">
        <f t="shared" si="20"/>
        <v>0.39642324888226527</v>
      </c>
      <c r="K358" s="94">
        <v>0.97373922228682197</v>
      </c>
      <c r="L358" s="94">
        <v>0.97335453633646196</v>
      </c>
      <c r="M358" s="89">
        <f t="shared" si="22"/>
        <v>0.97373922228682197</v>
      </c>
      <c r="N358" s="89">
        <f t="shared" si="21"/>
        <v>0.93869563412267409</v>
      </c>
      <c r="O358" s="89">
        <f t="shared" si="23"/>
        <v>0.37212077299050866</v>
      </c>
    </row>
    <row r="359" spans="1:15" x14ac:dyDescent="0.2">
      <c r="A359" s="21" t="s">
        <v>3496</v>
      </c>
      <c r="B359" s="21" t="s">
        <v>2292</v>
      </c>
      <c r="C359" s="21" t="s">
        <v>2293</v>
      </c>
      <c r="D359" s="21" t="s">
        <v>1367</v>
      </c>
      <c r="E359" s="21" t="s">
        <v>1368</v>
      </c>
      <c r="F359" s="21" t="s">
        <v>2409</v>
      </c>
      <c r="G359" s="21" t="s">
        <v>2410</v>
      </c>
      <c r="H359" s="21" t="s">
        <v>3500</v>
      </c>
      <c r="I359" s="21">
        <v>12</v>
      </c>
      <c r="J359" s="89">
        <f t="shared" si="20"/>
        <v>1.5209125475285171E-2</v>
      </c>
      <c r="K359" s="94">
        <v>1.0128497453609</v>
      </c>
      <c r="L359" s="94">
        <v>1.0127895384608601</v>
      </c>
      <c r="M359" s="89">
        <f t="shared" si="22"/>
        <v>1.0128497453609</v>
      </c>
      <c r="N359" s="89">
        <f t="shared" si="21"/>
        <v>0.97639862114179721</v>
      </c>
      <c r="O359" s="89">
        <f t="shared" si="23"/>
        <v>1.4850169142841022E-2</v>
      </c>
    </row>
    <row r="360" spans="1:15" x14ac:dyDescent="0.2">
      <c r="A360" s="21" t="s">
        <v>3496</v>
      </c>
      <c r="B360" s="21" t="s">
        <v>2292</v>
      </c>
      <c r="C360" s="21" t="s">
        <v>2293</v>
      </c>
      <c r="D360" s="21" t="s">
        <v>1369</v>
      </c>
      <c r="E360" s="21" t="s">
        <v>1370</v>
      </c>
      <c r="F360" s="21" t="s">
        <v>2411</v>
      </c>
      <c r="G360" s="21" t="s">
        <v>2410</v>
      </c>
      <c r="H360" s="21" t="s">
        <v>3500</v>
      </c>
      <c r="I360" s="21">
        <v>58</v>
      </c>
      <c r="J360" s="89">
        <f t="shared" si="20"/>
        <v>7.3510773130544993E-2</v>
      </c>
      <c r="K360" s="94">
        <v>1.01290590369129</v>
      </c>
      <c r="L360" s="94">
        <v>1.0127895384608601</v>
      </c>
      <c r="M360" s="89">
        <f t="shared" si="22"/>
        <v>1.01290590369129</v>
      </c>
      <c r="N360" s="89">
        <f t="shared" si="21"/>
        <v>0.97645275840806944</v>
      </c>
      <c r="O360" s="89">
        <f t="shared" si="23"/>
        <v>7.1779797196030448E-2</v>
      </c>
    </row>
    <row r="361" spans="1:15" x14ac:dyDescent="0.2">
      <c r="A361" s="21" t="s">
        <v>3496</v>
      </c>
      <c r="B361" s="21" t="s">
        <v>2292</v>
      </c>
      <c r="C361" s="21" t="s">
        <v>2293</v>
      </c>
      <c r="D361" s="21" t="s">
        <v>1371</v>
      </c>
      <c r="E361" s="21" t="s">
        <v>1372</v>
      </c>
      <c r="F361" s="21" t="s">
        <v>2412</v>
      </c>
      <c r="G361" s="21" t="s">
        <v>2413</v>
      </c>
      <c r="H361" s="21" t="s">
        <v>3512</v>
      </c>
      <c r="I361" s="21">
        <v>230</v>
      </c>
      <c r="J361" s="89">
        <f t="shared" si="20"/>
        <v>0.29150823827629913</v>
      </c>
      <c r="K361" s="94">
        <v>1.0537776048282199</v>
      </c>
      <c r="L361" s="94">
        <v>1.05363762788052</v>
      </c>
      <c r="M361" s="89">
        <f t="shared" si="22"/>
        <v>1.0537776048282199</v>
      </c>
      <c r="N361" s="89">
        <f t="shared" si="21"/>
        <v>1.0158535410183256</v>
      </c>
      <c r="O361" s="89">
        <f t="shared" si="23"/>
        <v>0.29612967608899227</v>
      </c>
    </row>
    <row r="362" spans="1:15" x14ac:dyDescent="0.2">
      <c r="A362" s="21" t="s">
        <v>3496</v>
      </c>
      <c r="B362" s="21" t="s">
        <v>2292</v>
      </c>
      <c r="C362" s="21" t="s">
        <v>2293</v>
      </c>
      <c r="D362" s="21" t="s">
        <v>1373</v>
      </c>
      <c r="E362" s="21" t="s">
        <v>1374</v>
      </c>
      <c r="F362" s="21" t="s">
        <v>2411</v>
      </c>
      <c r="G362" s="21" t="s">
        <v>2410</v>
      </c>
      <c r="H362" s="21" t="s">
        <v>3500</v>
      </c>
      <c r="I362" s="21">
        <v>489</v>
      </c>
      <c r="J362" s="89">
        <f t="shared" si="20"/>
        <v>0.61977186311787069</v>
      </c>
      <c r="K362" s="94">
        <v>1.01290590369129</v>
      </c>
      <c r="L362" s="94">
        <v>1.0127895384608601</v>
      </c>
      <c r="M362" s="89">
        <f t="shared" si="22"/>
        <v>1.01290590369129</v>
      </c>
      <c r="N362" s="89">
        <f t="shared" si="21"/>
        <v>0.97645275840806944</v>
      </c>
      <c r="O362" s="89">
        <f t="shared" si="23"/>
        <v>0.60517794532515323</v>
      </c>
    </row>
    <row r="363" spans="1:15" x14ac:dyDescent="0.2">
      <c r="A363" s="21" t="s">
        <v>2133</v>
      </c>
      <c r="B363" s="21" t="s">
        <v>3736</v>
      </c>
      <c r="C363" s="21" t="s">
        <v>2769</v>
      </c>
      <c r="D363" s="21" t="s">
        <v>1375</v>
      </c>
      <c r="E363" s="21" t="s">
        <v>1376</v>
      </c>
      <c r="F363" s="21" t="s">
        <v>2414</v>
      </c>
      <c r="G363" s="21" t="s">
        <v>2415</v>
      </c>
      <c r="H363" s="21" t="s">
        <v>1113</v>
      </c>
      <c r="I363" s="21">
        <v>36</v>
      </c>
      <c r="J363" s="89">
        <f t="shared" si="20"/>
        <v>3.5053554040895815E-2</v>
      </c>
      <c r="K363" s="94">
        <v>0.96995702620731294</v>
      </c>
      <c r="L363" s="94">
        <v>0.96963233461024301</v>
      </c>
      <c r="M363" s="89">
        <f t="shared" si="22"/>
        <v>0.96995702620731294</v>
      </c>
      <c r="N363" s="89">
        <f t="shared" si="21"/>
        <v>0.93504955428325554</v>
      </c>
      <c r="O363" s="89">
        <f t="shared" si="23"/>
        <v>3.2776810081983646E-2</v>
      </c>
    </row>
    <row r="364" spans="1:15" x14ac:dyDescent="0.2">
      <c r="A364" s="21" t="s">
        <v>2133</v>
      </c>
      <c r="B364" s="21" t="s">
        <v>3736</v>
      </c>
      <c r="C364" s="21" t="s">
        <v>2769</v>
      </c>
      <c r="D364" s="21" t="s">
        <v>1377</v>
      </c>
      <c r="E364" s="21" t="s">
        <v>1378</v>
      </c>
      <c r="F364" s="21" t="s">
        <v>2416</v>
      </c>
      <c r="G364" s="21" t="s">
        <v>2417</v>
      </c>
      <c r="H364" s="21" t="s">
        <v>1113</v>
      </c>
      <c r="I364" s="21">
        <v>458</v>
      </c>
      <c r="J364" s="89">
        <f t="shared" si="20"/>
        <v>0.44595910418695228</v>
      </c>
      <c r="K364" s="94">
        <v>0.97227533078574302</v>
      </c>
      <c r="L364" s="94">
        <v>0.97297939413628298</v>
      </c>
      <c r="M364" s="89">
        <f t="shared" si="22"/>
        <v>0.97227533078574302</v>
      </c>
      <c r="N364" s="89">
        <f t="shared" si="21"/>
        <v>0.93728442614271312</v>
      </c>
      <c r="O364" s="89">
        <f t="shared" si="23"/>
        <v>0.417990523050986</v>
      </c>
    </row>
    <row r="365" spans="1:15" x14ac:dyDescent="0.2">
      <c r="A365" s="21" t="s">
        <v>2133</v>
      </c>
      <c r="B365" s="21" t="s">
        <v>3736</v>
      </c>
      <c r="C365" s="21" t="s">
        <v>2769</v>
      </c>
      <c r="D365" s="21" t="s">
        <v>1379</v>
      </c>
      <c r="E365" s="21" t="s">
        <v>1380</v>
      </c>
      <c r="F365" s="21" t="s">
        <v>2418</v>
      </c>
      <c r="G365" s="21" t="s">
        <v>2419</v>
      </c>
      <c r="H365" s="21" t="s">
        <v>2135</v>
      </c>
      <c r="I365" s="21">
        <v>533</v>
      </c>
      <c r="J365" s="89">
        <f t="shared" si="20"/>
        <v>0.51898734177215189</v>
      </c>
      <c r="K365" s="94">
        <v>0.97948845701939702</v>
      </c>
      <c r="L365" s="94">
        <v>0.97986479032171903</v>
      </c>
      <c r="M365" s="89">
        <f t="shared" si="22"/>
        <v>0.97948845701939702</v>
      </c>
      <c r="N365" s="89">
        <f t="shared" si="21"/>
        <v>0.9442379614927684</v>
      </c>
      <c r="O365" s="89">
        <f t="shared" si="23"/>
        <v>0.49004754963548741</v>
      </c>
    </row>
    <row r="366" spans="1:15" x14ac:dyDescent="0.2">
      <c r="A366" s="21" t="s">
        <v>2975</v>
      </c>
      <c r="B366" s="21" t="s">
        <v>2285</v>
      </c>
      <c r="C366" s="21" t="s">
        <v>2286</v>
      </c>
      <c r="D366" s="21" t="s">
        <v>1381</v>
      </c>
      <c r="E366" s="21" t="s">
        <v>1382</v>
      </c>
      <c r="F366" s="21" t="s">
        <v>2420</v>
      </c>
      <c r="G366" s="21" t="s">
        <v>2421</v>
      </c>
      <c r="H366" s="21" t="s">
        <v>3610</v>
      </c>
      <c r="I366" s="21">
        <v>40</v>
      </c>
      <c r="J366" s="89">
        <f t="shared" si="20"/>
        <v>4.3057050592034449E-2</v>
      </c>
      <c r="K366" s="94">
        <v>0.96013178336438398</v>
      </c>
      <c r="L366" s="94">
        <v>0.95953835519316899</v>
      </c>
      <c r="M366" s="89">
        <f t="shared" si="22"/>
        <v>0.96013178336438398</v>
      </c>
      <c r="N366" s="89">
        <f t="shared" si="21"/>
        <v>0.92557790894972114</v>
      </c>
      <c r="O366" s="89">
        <f t="shared" si="23"/>
        <v>3.9852654852517599E-2</v>
      </c>
    </row>
    <row r="367" spans="1:15" x14ac:dyDescent="0.2">
      <c r="A367" s="21" t="s">
        <v>2975</v>
      </c>
      <c r="B367" s="21" t="s">
        <v>2285</v>
      </c>
      <c r="C367" s="21" t="s">
        <v>2286</v>
      </c>
      <c r="D367" s="21" t="s">
        <v>1383</v>
      </c>
      <c r="E367" s="21" t="s">
        <v>1384</v>
      </c>
      <c r="F367" s="21" t="s">
        <v>2422</v>
      </c>
      <c r="G367" s="21" t="s">
        <v>2423</v>
      </c>
      <c r="H367" s="21" t="s">
        <v>2982</v>
      </c>
      <c r="I367" s="21">
        <v>40</v>
      </c>
      <c r="J367" s="89">
        <f t="shared" si="20"/>
        <v>4.3057050592034449E-2</v>
      </c>
      <c r="K367" s="94">
        <v>0.95386894880253703</v>
      </c>
      <c r="L367" s="94">
        <v>0.95344730053627003</v>
      </c>
      <c r="M367" s="89">
        <f t="shared" si="22"/>
        <v>0.95386894880253703</v>
      </c>
      <c r="N367" s="89">
        <f t="shared" si="21"/>
        <v>0.91954046552967295</v>
      </c>
      <c r="O367" s="89">
        <f t="shared" si="23"/>
        <v>3.959270034573404E-2</v>
      </c>
    </row>
    <row r="368" spans="1:15" x14ac:dyDescent="0.2">
      <c r="A368" s="21" t="s">
        <v>2975</v>
      </c>
      <c r="B368" s="21" t="s">
        <v>2285</v>
      </c>
      <c r="C368" s="21" t="s">
        <v>2286</v>
      </c>
      <c r="D368" s="21" t="s">
        <v>1385</v>
      </c>
      <c r="E368" s="21" t="s">
        <v>1386</v>
      </c>
      <c r="F368" s="21" t="s">
        <v>2424</v>
      </c>
      <c r="G368" s="21" t="s">
        <v>2425</v>
      </c>
      <c r="H368" s="21" t="s">
        <v>3610</v>
      </c>
      <c r="I368" s="21">
        <v>40</v>
      </c>
      <c r="J368" s="89">
        <f t="shared" si="20"/>
        <v>4.3057050592034449E-2</v>
      </c>
      <c r="K368" s="94">
        <v>0.95391188259973603</v>
      </c>
      <c r="L368" s="94">
        <v>0.95403802607115495</v>
      </c>
      <c r="M368" s="89">
        <f t="shared" si="22"/>
        <v>0.95391188259973603</v>
      </c>
      <c r="N368" s="89">
        <f t="shared" si="21"/>
        <v>0.9195818541962324</v>
      </c>
      <c r="O368" s="89">
        <f t="shared" si="23"/>
        <v>3.9594482419644021E-2</v>
      </c>
    </row>
    <row r="369" spans="1:15" x14ac:dyDescent="0.2">
      <c r="A369" s="21" t="s">
        <v>2975</v>
      </c>
      <c r="B369" s="21" t="s">
        <v>2285</v>
      </c>
      <c r="C369" s="21" t="s">
        <v>2286</v>
      </c>
      <c r="D369" s="21" t="s">
        <v>1387</v>
      </c>
      <c r="E369" s="21" t="s">
        <v>1388</v>
      </c>
      <c r="F369" s="21" t="s">
        <v>2426</v>
      </c>
      <c r="G369" s="21" t="s">
        <v>2427</v>
      </c>
      <c r="H369" s="21" t="s">
        <v>3610</v>
      </c>
      <c r="I369" s="21">
        <v>86</v>
      </c>
      <c r="J369" s="89">
        <f t="shared" si="20"/>
        <v>9.2572658772874059E-2</v>
      </c>
      <c r="K369" s="94">
        <v>0.95905614537982997</v>
      </c>
      <c r="L369" s="94">
        <v>0.958357188580233</v>
      </c>
      <c r="M369" s="89">
        <f t="shared" si="22"/>
        <v>0.95905614537982997</v>
      </c>
      <c r="N369" s="89">
        <f t="shared" si="21"/>
        <v>0.92454098175516264</v>
      </c>
      <c r="O369" s="89">
        <f t="shared" si="23"/>
        <v>8.5587216825558657E-2</v>
      </c>
    </row>
    <row r="370" spans="1:15" x14ac:dyDescent="0.2">
      <c r="A370" s="21" t="s">
        <v>2975</v>
      </c>
      <c r="B370" s="21" t="s">
        <v>2285</v>
      </c>
      <c r="C370" s="21" t="s">
        <v>2286</v>
      </c>
      <c r="D370" s="21" t="s">
        <v>1389</v>
      </c>
      <c r="E370" s="21" t="s">
        <v>1390</v>
      </c>
      <c r="F370" s="21" t="s">
        <v>2428</v>
      </c>
      <c r="G370" s="21" t="s">
        <v>2429</v>
      </c>
      <c r="H370" s="21" t="s">
        <v>2982</v>
      </c>
      <c r="I370" s="21">
        <v>723</v>
      </c>
      <c r="J370" s="89">
        <f t="shared" si="20"/>
        <v>0.7782561894510226</v>
      </c>
      <c r="K370" s="94">
        <v>0.95361829940701803</v>
      </c>
      <c r="L370" s="94">
        <v>0.95325492739074602</v>
      </c>
      <c r="M370" s="89">
        <f t="shared" si="22"/>
        <v>0.95361829940701803</v>
      </c>
      <c r="N370" s="89">
        <f t="shared" si="21"/>
        <v>0.91929883667475576</v>
      </c>
      <c r="O370" s="89">
        <f t="shared" si="23"/>
        <v>0.71545000959725336</v>
      </c>
    </row>
    <row r="371" spans="1:15" x14ac:dyDescent="0.2">
      <c r="A371" s="21" t="s">
        <v>2975</v>
      </c>
      <c r="B371" s="21" t="s">
        <v>359</v>
      </c>
      <c r="C371" s="21" t="s">
        <v>360</v>
      </c>
      <c r="D371" s="21" t="s">
        <v>1391</v>
      </c>
      <c r="E371" s="21" t="s">
        <v>1392</v>
      </c>
      <c r="F371" s="21" t="s">
        <v>2430</v>
      </c>
      <c r="G371" s="21" t="s">
        <v>2431</v>
      </c>
      <c r="H371" s="21" t="s">
        <v>3002</v>
      </c>
      <c r="I371" s="21">
        <v>12</v>
      </c>
      <c r="J371" s="89">
        <f t="shared" si="20"/>
        <v>1.1342155009451797E-2</v>
      </c>
      <c r="K371" s="94" t="e">
        <v>#N/A</v>
      </c>
      <c r="L371" s="94">
        <v>0.96480864121972298</v>
      </c>
      <c r="M371" s="89">
        <f t="shared" si="22"/>
        <v>0.96480864121972298</v>
      </c>
      <c r="N371" s="89">
        <f t="shared" si="21"/>
        <v>0.93008645286963099</v>
      </c>
      <c r="O371" s="89">
        <f t="shared" si="23"/>
        <v>1.0549184720638538E-2</v>
      </c>
    </row>
    <row r="372" spans="1:15" x14ac:dyDescent="0.2">
      <c r="A372" s="21" t="s">
        <v>2975</v>
      </c>
      <c r="B372" s="21" t="s">
        <v>359</v>
      </c>
      <c r="C372" s="21" t="s">
        <v>360</v>
      </c>
      <c r="D372" s="21" t="s">
        <v>1393</v>
      </c>
      <c r="E372" s="21" t="s">
        <v>1394</v>
      </c>
      <c r="F372" s="21" t="s">
        <v>2432</v>
      </c>
      <c r="G372" s="21" t="s">
        <v>2433</v>
      </c>
      <c r="H372" s="21" t="s">
        <v>3002</v>
      </c>
      <c r="I372" s="21">
        <v>277</v>
      </c>
      <c r="J372" s="89">
        <f t="shared" si="20"/>
        <v>0.26181474480151229</v>
      </c>
      <c r="K372" s="94">
        <v>0.97231739578712495</v>
      </c>
      <c r="L372" s="94">
        <v>0.97282170704606097</v>
      </c>
      <c r="M372" s="89">
        <f t="shared" si="22"/>
        <v>0.97231739578712495</v>
      </c>
      <c r="N372" s="89">
        <f t="shared" si="21"/>
        <v>0.93732497728026909</v>
      </c>
      <c r="O372" s="89">
        <f t="shared" si="23"/>
        <v>0.24540549972271697</v>
      </c>
    </row>
    <row r="373" spans="1:15" x14ac:dyDescent="0.2">
      <c r="A373" s="21" t="s">
        <v>2975</v>
      </c>
      <c r="B373" s="21" t="s">
        <v>359</v>
      </c>
      <c r="C373" s="21" t="s">
        <v>360</v>
      </c>
      <c r="D373" s="21" t="s">
        <v>1395</v>
      </c>
      <c r="E373" s="21" t="s">
        <v>1396</v>
      </c>
      <c r="F373" s="21" t="s">
        <v>2430</v>
      </c>
      <c r="G373" s="21" t="s">
        <v>2431</v>
      </c>
      <c r="H373" s="21" t="s">
        <v>3002</v>
      </c>
      <c r="I373" s="21">
        <v>769</v>
      </c>
      <c r="J373" s="89">
        <f t="shared" si="20"/>
        <v>0.72684310018903586</v>
      </c>
      <c r="K373" s="94">
        <v>0.96479705045794895</v>
      </c>
      <c r="L373" s="94">
        <v>0.96480864121972298</v>
      </c>
      <c r="M373" s="89">
        <f t="shared" si="22"/>
        <v>0.96479705045794895</v>
      </c>
      <c r="N373" s="89">
        <f t="shared" si="21"/>
        <v>0.93007527924406019</v>
      </c>
      <c r="O373" s="89">
        <f t="shared" si="23"/>
        <v>0.67601879937493592</v>
      </c>
    </row>
    <row r="374" spans="1:15" x14ac:dyDescent="0.2">
      <c r="A374" s="21" t="s">
        <v>708</v>
      </c>
      <c r="B374" s="21" t="s">
        <v>5</v>
      </c>
      <c r="C374" s="21" t="s">
        <v>6</v>
      </c>
      <c r="D374" s="21" t="s">
        <v>1397</v>
      </c>
      <c r="E374" s="21" t="s">
        <v>2529</v>
      </c>
      <c r="F374" s="21" t="s">
        <v>2434</v>
      </c>
      <c r="G374" s="21" t="s">
        <v>2435</v>
      </c>
      <c r="H374" s="21" t="s">
        <v>3579</v>
      </c>
      <c r="I374" s="21">
        <v>26</v>
      </c>
      <c r="J374" s="89">
        <f t="shared" si="20"/>
        <v>2.4436090225563908E-2</v>
      </c>
      <c r="K374" s="94">
        <v>0.95460890982685398</v>
      </c>
      <c r="L374" s="94">
        <v>0.95490499511103499</v>
      </c>
      <c r="M374" s="89">
        <f t="shared" si="22"/>
        <v>0.95460890982685398</v>
      </c>
      <c r="N374" s="89">
        <f t="shared" si="21"/>
        <v>0.92025379633431692</v>
      </c>
      <c r="O374" s="89">
        <f t="shared" si="23"/>
        <v>2.2487404797643083E-2</v>
      </c>
    </row>
    <row r="375" spans="1:15" x14ac:dyDescent="0.2">
      <c r="A375" s="21" t="s">
        <v>708</v>
      </c>
      <c r="B375" s="21" t="s">
        <v>5</v>
      </c>
      <c r="C375" s="21" t="s">
        <v>6</v>
      </c>
      <c r="D375" s="21" t="s">
        <v>2530</v>
      </c>
      <c r="E375" s="21" t="s">
        <v>2531</v>
      </c>
      <c r="F375" s="21" t="s">
        <v>2436</v>
      </c>
      <c r="G375" s="21" t="s">
        <v>2437</v>
      </c>
      <c r="H375" s="21" t="s">
        <v>3579</v>
      </c>
      <c r="I375" s="21">
        <v>43</v>
      </c>
      <c r="J375" s="89">
        <f t="shared" si="20"/>
        <v>4.0413533834586464E-2</v>
      </c>
      <c r="K375" s="94">
        <v>0.94955812393802896</v>
      </c>
      <c r="L375" s="94">
        <v>0.94917562651722398</v>
      </c>
      <c r="M375" s="89">
        <f t="shared" si="22"/>
        <v>0.94955812393802896</v>
      </c>
      <c r="N375" s="89">
        <f t="shared" si="21"/>
        <v>0.91538478155683489</v>
      </c>
      <c r="O375" s="89">
        <f t="shared" si="23"/>
        <v>3.6993933841112686E-2</v>
      </c>
    </row>
    <row r="376" spans="1:15" x14ac:dyDescent="0.2">
      <c r="A376" s="21" t="s">
        <v>708</v>
      </c>
      <c r="B376" s="21" t="s">
        <v>5</v>
      </c>
      <c r="C376" s="21" t="s">
        <v>6</v>
      </c>
      <c r="D376" s="21" t="s">
        <v>2532</v>
      </c>
      <c r="E376" s="21" t="s">
        <v>2533</v>
      </c>
      <c r="F376" s="21" t="s">
        <v>2438</v>
      </c>
      <c r="G376" s="21" t="s">
        <v>2439</v>
      </c>
      <c r="H376" s="21" t="s">
        <v>3579</v>
      </c>
      <c r="I376" s="21">
        <v>177</v>
      </c>
      <c r="J376" s="89">
        <f t="shared" si="20"/>
        <v>0.16635338345864661</v>
      </c>
      <c r="K376" s="94">
        <v>0.941083204505333</v>
      </c>
      <c r="L376" s="94">
        <v>0.94138641676820001</v>
      </c>
      <c r="M376" s="89">
        <f t="shared" si="22"/>
        <v>0.941083204505333</v>
      </c>
      <c r="N376" s="89">
        <f t="shared" si="21"/>
        <v>0.90721486327796552</v>
      </c>
      <c r="O376" s="89">
        <f t="shared" si="23"/>
        <v>0.15091826203026307</v>
      </c>
    </row>
    <row r="377" spans="1:15" x14ac:dyDescent="0.2">
      <c r="A377" s="21" t="s">
        <v>708</v>
      </c>
      <c r="B377" s="21" t="s">
        <v>5</v>
      </c>
      <c r="C377" s="21" t="s">
        <v>6</v>
      </c>
      <c r="D377" s="21" t="s">
        <v>2534</v>
      </c>
      <c r="E377" s="21" t="s">
        <v>2535</v>
      </c>
      <c r="F377" s="21" t="s">
        <v>2440</v>
      </c>
      <c r="G377" s="21" t="s">
        <v>2441</v>
      </c>
      <c r="H377" s="21" t="s">
        <v>712</v>
      </c>
      <c r="I377" s="21">
        <v>371</v>
      </c>
      <c r="J377" s="89">
        <f t="shared" si="20"/>
        <v>0.34868421052631576</v>
      </c>
      <c r="K377" s="94">
        <v>0.95470382474664395</v>
      </c>
      <c r="L377" s="94">
        <v>0.954757225928765</v>
      </c>
      <c r="M377" s="89">
        <f t="shared" si="22"/>
        <v>0.95470382474664395</v>
      </c>
      <c r="N377" s="89">
        <f t="shared" si="21"/>
        <v>0.92034529539153964</v>
      </c>
      <c r="O377" s="89">
        <f t="shared" si="23"/>
        <v>0.32090987273520788</v>
      </c>
    </row>
    <row r="378" spans="1:15" x14ac:dyDescent="0.2">
      <c r="A378" s="21" t="s">
        <v>708</v>
      </c>
      <c r="B378" s="21" t="s">
        <v>5</v>
      </c>
      <c r="C378" s="21" t="s">
        <v>6</v>
      </c>
      <c r="D378" s="21" t="s">
        <v>2536</v>
      </c>
      <c r="E378" s="21" t="s">
        <v>2537</v>
      </c>
      <c r="F378" s="21" t="s">
        <v>2442</v>
      </c>
      <c r="G378" s="21" t="s">
        <v>2443</v>
      </c>
      <c r="H378" s="21" t="s">
        <v>3579</v>
      </c>
      <c r="I378" s="21">
        <v>447</v>
      </c>
      <c r="J378" s="89">
        <f t="shared" si="20"/>
        <v>0.42011278195488722</v>
      </c>
      <c r="K378" s="94">
        <v>0.94219520337431695</v>
      </c>
      <c r="L378" s="94">
        <v>0.94324749510385597</v>
      </c>
      <c r="M378" s="89">
        <f t="shared" si="22"/>
        <v>0.94219520337431695</v>
      </c>
      <c r="N378" s="89">
        <f t="shared" si="21"/>
        <v>0.90828684277676108</v>
      </c>
      <c r="O378" s="89">
        <f t="shared" si="23"/>
        <v>0.38158291233196634</v>
      </c>
    </row>
    <row r="379" spans="1:15" x14ac:dyDescent="0.2">
      <c r="A379" s="21" t="s">
        <v>191</v>
      </c>
      <c r="B379" s="21" t="s">
        <v>2294</v>
      </c>
      <c r="C379" s="21" t="s">
        <v>2295</v>
      </c>
      <c r="D379" s="21" t="s">
        <v>2538</v>
      </c>
      <c r="E379" s="21" t="s">
        <v>2539</v>
      </c>
      <c r="F379" s="21" t="s">
        <v>2444</v>
      </c>
      <c r="G379" s="21" t="s">
        <v>2445</v>
      </c>
      <c r="H379" s="21" t="s">
        <v>196</v>
      </c>
      <c r="I379" s="21">
        <v>29</v>
      </c>
      <c r="J379" s="89">
        <f t="shared" si="20"/>
        <v>3.9944903581267219E-2</v>
      </c>
      <c r="K379" s="94" t="e">
        <v>#N/A</v>
      </c>
      <c r="L379" s="94">
        <v>1.1724916807277199</v>
      </c>
      <c r="M379" s="89">
        <f t="shared" si="22"/>
        <v>1.1724916807277199</v>
      </c>
      <c r="N379" s="89">
        <f t="shared" si="21"/>
        <v>1.1302952541641313</v>
      </c>
      <c r="O379" s="89">
        <f t="shared" si="23"/>
        <v>4.514953494595015E-2</v>
      </c>
    </row>
    <row r="380" spans="1:15" x14ac:dyDescent="0.2">
      <c r="A380" s="21" t="s">
        <v>191</v>
      </c>
      <c r="B380" s="21" t="s">
        <v>2294</v>
      </c>
      <c r="C380" s="21" t="s">
        <v>2295</v>
      </c>
      <c r="D380" s="21" t="s">
        <v>2540</v>
      </c>
      <c r="E380" s="21" t="s">
        <v>2541</v>
      </c>
      <c r="F380" s="21" t="s">
        <v>2446</v>
      </c>
      <c r="G380" s="21" t="s">
        <v>2447</v>
      </c>
      <c r="H380" s="21" t="s">
        <v>196</v>
      </c>
      <c r="I380" s="21">
        <v>309</v>
      </c>
      <c r="J380" s="89">
        <f t="shared" si="20"/>
        <v>0.42561983471074383</v>
      </c>
      <c r="K380" s="94">
        <v>1.1645449424242</v>
      </c>
      <c r="L380" s="94">
        <v>1.1629144822133799</v>
      </c>
      <c r="M380" s="89">
        <f t="shared" si="22"/>
        <v>1.1645449424242</v>
      </c>
      <c r="N380" s="89">
        <f t="shared" si="21"/>
        <v>1.1226345084734002</v>
      </c>
      <c r="O380" s="89">
        <f t="shared" si="23"/>
        <v>0.4778155139370257</v>
      </c>
    </row>
    <row r="381" spans="1:15" x14ac:dyDescent="0.2">
      <c r="A381" s="21" t="s">
        <v>191</v>
      </c>
      <c r="B381" s="21" t="s">
        <v>2294</v>
      </c>
      <c r="C381" s="21" t="s">
        <v>2295</v>
      </c>
      <c r="D381" s="21" t="s">
        <v>2542</v>
      </c>
      <c r="E381" s="21" t="s">
        <v>2543</v>
      </c>
      <c r="F381" s="21" t="s">
        <v>2448</v>
      </c>
      <c r="G381" s="21" t="s">
        <v>2449</v>
      </c>
      <c r="H381" s="21" t="s">
        <v>196</v>
      </c>
      <c r="I381" s="21">
        <v>388</v>
      </c>
      <c r="J381" s="89">
        <f t="shared" si="20"/>
        <v>0.53443526170798894</v>
      </c>
      <c r="K381" s="94">
        <v>1.1343347561550801</v>
      </c>
      <c r="L381" s="94">
        <v>1.1321273514149699</v>
      </c>
      <c r="M381" s="89">
        <f t="shared" si="22"/>
        <v>1.1343347561550801</v>
      </c>
      <c r="N381" s="89">
        <f t="shared" si="21"/>
        <v>1.0935115468962167</v>
      </c>
      <c r="O381" s="89">
        <f t="shared" si="23"/>
        <v>0.58441112974618736</v>
      </c>
    </row>
    <row r="382" spans="1:15" x14ac:dyDescent="0.2">
      <c r="A382" s="21" t="s">
        <v>2975</v>
      </c>
      <c r="B382" s="21" t="s">
        <v>2353</v>
      </c>
      <c r="C382" s="21" t="s">
        <v>2354</v>
      </c>
      <c r="D382" s="21" t="s">
        <v>2544</v>
      </c>
      <c r="E382" s="21" t="s">
        <v>2545</v>
      </c>
      <c r="F382" s="21" t="s">
        <v>2450</v>
      </c>
      <c r="G382" s="21" t="s">
        <v>2451</v>
      </c>
      <c r="H382" s="21" t="s">
        <v>2984</v>
      </c>
      <c r="I382" s="21">
        <v>72</v>
      </c>
      <c r="J382" s="89">
        <f t="shared" si="20"/>
        <v>7.4457083764219237E-2</v>
      </c>
      <c r="K382" s="94">
        <v>0.96035029527689197</v>
      </c>
      <c r="L382" s="94">
        <v>0.96060955348961496</v>
      </c>
      <c r="M382" s="89">
        <f t="shared" si="22"/>
        <v>0.96035029527689197</v>
      </c>
      <c r="N382" s="89">
        <f t="shared" si="21"/>
        <v>0.92578855690718276</v>
      </c>
      <c r="O382" s="89">
        <f t="shared" si="23"/>
        <v>6.8931516129593751E-2</v>
      </c>
    </row>
    <row r="383" spans="1:15" x14ac:dyDescent="0.2">
      <c r="A383" s="21" t="s">
        <v>2975</v>
      </c>
      <c r="B383" s="21" t="s">
        <v>2353</v>
      </c>
      <c r="C383" s="21" t="s">
        <v>2354</v>
      </c>
      <c r="D383" s="21" t="s">
        <v>2546</v>
      </c>
      <c r="E383" s="21" t="s">
        <v>2547</v>
      </c>
      <c r="F383" s="21" t="s">
        <v>2452</v>
      </c>
      <c r="G383" s="21" t="s">
        <v>2453</v>
      </c>
      <c r="H383" s="21" t="s">
        <v>2984</v>
      </c>
      <c r="I383" s="21">
        <v>212</v>
      </c>
      <c r="J383" s="89">
        <f t="shared" si="20"/>
        <v>0.21923474663908996</v>
      </c>
      <c r="K383" s="94">
        <v>0.96069660587831296</v>
      </c>
      <c r="L383" s="94">
        <v>0.96093785970659495</v>
      </c>
      <c r="M383" s="89">
        <f t="shared" si="22"/>
        <v>0.96069660587831296</v>
      </c>
      <c r="N383" s="89">
        <f t="shared" si="21"/>
        <v>0.92612240424758341</v>
      </c>
      <c r="O383" s="89">
        <f t="shared" si="23"/>
        <v>0.20303821065200381</v>
      </c>
    </row>
    <row r="384" spans="1:15" x14ac:dyDescent="0.2">
      <c r="A384" s="21" t="s">
        <v>2975</v>
      </c>
      <c r="B384" s="21" t="s">
        <v>2353</v>
      </c>
      <c r="C384" s="21" t="s">
        <v>2354</v>
      </c>
      <c r="D384" s="21" t="s">
        <v>2548</v>
      </c>
      <c r="E384" s="21" t="s">
        <v>2549</v>
      </c>
      <c r="F384" s="21" t="s">
        <v>2454</v>
      </c>
      <c r="G384" s="21" t="s">
        <v>2455</v>
      </c>
      <c r="H384" s="21" t="s">
        <v>2998</v>
      </c>
      <c r="I384" s="21">
        <v>683</v>
      </c>
      <c r="J384" s="89">
        <f t="shared" si="20"/>
        <v>0.70630816959669085</v>
      </c>
      <c r="K384" s="94">
        <v>0.96605896766084998</v>
      </c>
      <c r="L384" s="94">
        <v>0.96619270348265596</v>
      </c>
      <c r="M384" s="89">
        <f t="shared" si="22"/>
        <v>0.96605896766084998</v>
      </c>
      <c r="N384" s="89">
        <f t="shared" si="21"/>
        <v>0.93129178171399829</v>
      </c>
      <c r="O384" s="89">
        <f t="shared" si="23"/>
        <v>0.65777899370285509</v>
      </c>
    </row>
    <row r="385" spans="1:15" x14ac:dyDescent="0.2">
      <c r="A385" s="21" t="s">
        <v>2133</v>
      </c>
      <c r="B385" s="21" t="s">
        <v>2277</v>
      </c>
      <c r="C385" s="21" t="s">
        <v>2278</v>
      </c>
      <c r="D385" s="21" t="s">
        <v>2550</v>
      </c>
      <c r="E385" s="21" t="s">
        <v>2551</v>
      </c>
      <c r="F385" s="21" t="s">
        <v>2456</v>
      </c>
      <c r="G385" s="21" t="s">
        <v>2457</v>
      </c>
      <c r="H385" s="21" t="s">
        <v>2135</v>
      </c>
      <c r="I385" s="21">
        <v>14</v>
      </c>
      <c r="J385" s="89">
        <f t="shared" si="20"/>
        <v>1.7766497461928935E-2</v>
      </c>
      <c r="K385" s="94">
        <v>0.98429287443561797</v>
      </c>
      <c r="L385" s="94">
        <v>0.98472575245556804</v>
      </c>
      <c r="M385" s="89">
        <f t="shared" si="22"/>
        <v>0.98429287443561797</v>
      </c>
      <c r="N385" s="89">
        <f t="shared" si="21"/>
        <v>0.94886947427348811</v>
      </c>
      <c r="O385" s="89">
        <f t="shared" si="23"/>
        <v>1.6858087106381769E-2</v>
      </c>
    </row>
    <row r="386" spans="1:15" x14ac:dyDescent="0.2">
      <c r="A386" s="21" t="s">
        <v>2133</v>
      </c>
      <c r="B386" s="21" t="s">
        <v>2277</v>
      </c>
      <c r="C386" s="21" t="s">
        <v>2278</v>
      </c>
      <c r="D386" s="21" t="s">
        <v>2552</v>
      </c>
      <c r="E386" s="21" t="s">
        <v>2553</v>
      </c>
      <c r="F386" s="21" t="s">
        <v>2458</v>
      </c>
      <c r="G386" s="21" t="s">
        <v>2459</v>
      </c>
      <c r="H386" s="21" t="s">
        <v>2148</v>
      </c>
      <c r="I386" s="21">
        <v>20</v>
      </c>
      <c r="J386" s="89">
        <f t="shared" ref="J386:J449" si="24">I386/SUMIF(B:B,B386,I:I)</f>
        <v>2.5380710659898477E-2</v>
      </c>
      <c r="K386" s="94">
        <v>0.98604523630195695</v>
      </c>
      <c r="L386" s="94">
        <v>0.98554578495226397</v>
      </c>
      <c r="M386" s="89">
        <f t="shared" si="22"/>
        <v>0.98604523630195695</v>
      </c>
      <c r="N386" s="89">
        <f t="shared" ref="N386:N449" si="25">M386/M$757</f>
        <v>0.9505587709513732</v>
      </c>
      <c r="O386" s="89">
        <f t="shared" si="23"/>
        <v>2.4125857130745512E-2</v>
      </c>
    </row>
    <row r="387" spans="1:15" x14ac:dyDescent="0.2">
      <c r="A387" s="21" t="s">
        <v>2133</v>
      </c>
      <c r="B387" s="21" t="s">
        <v>2277</v>
      </c>
      <c r="C387" s="21" t="s">
        <v>2278</v>
      </c>
      <c r="D387" s="21" t="s">
        <v>2554</v>
      </c>
      <c r="E387" s="21" t="s">
        <v>2555</v>
      </c>
      <c r="F387" s="21" t="s">
        <v>2458</v>
      </c>
      <c r="G387" s="21" t="s">
        <v>2459</v>
      </c>
      <c r="H387" s="21" t="s">
        <v>2148</v>
      </c>
      <c r="I387" s="21">
        <v>24</v>
      </c>
      <c r="J387" s="89">
        <f t="shared" si="24"/>
        <v>3.0456852791878174E-2</v>
      </c>
      <c r="K387" s="94">
        <v>0.98604523630195695</v>
      </c>
      <c r="L387" s="94">
        <v>0.98554578495226397</v>
      </c>
      <c r="M387" s="89">
        <f t="shared" ref="M387:M450" si="26">IF(ISNA(K387),L387,K387)</f>
        <v>0.98604523630195695</v>
      </c>
      <c r="N387" s="89">
        <f t="shared" si="25"/>
        <v>0.9505587709513732</v>
      </c>
      <c r="O387" s="89">
        <f t="shared" ref="O387:O450" si="27">N387*J387</f>
        <v>2.8951028556894617E-2</v>
      </c>
    </row>
    <row r="388" spans="1:15" x14ac:dyDescent="0.2">
      <c r="A388" s="21" t="s">
        <v>2133</v>
      </c>
      <c r="B388" s="21" t="s">
        <v>2277</v>
      </c>
      <c r="C388" s="21" t="s">
        <v>2278</v>
      </c>
      <c r="D388" s="21" t="s">
        <v>2556</v>
      </c>
      <c r="E388" s="21" t="s">
        <v>2557</v>
      </c>
      <c r="F388" s="21" t="s">
        <v>2460</v>
      </c>
      <c r="G388" s="21" t="s">
        <v>2461</v>
      </c>
      <c r="H388" s="21" t="s">
        <v>2148</v>
      </c>
      <c r="I388" s="21">
        <v>24</v>
      </c>
      <c r="J388" s="89">
        <f t="shared" si="24"/>
        <v>3.0456852791878174E-2</v>
      </c>
      <c r="K388" s="94">
        <v>0.98166432348630295</v>
      </c>
      <c r="L388" s="94">
        <v>0.98215583584439103</v>
      </c>
      <c r="M388" s="89">
        <f t="shared" si="26"/>
        <v>0.98166432348630295</v>
      </c>
      <c r="N388" s="89">
        <f t="shared" si="25"/>
        <v>0.94633552140015487</v>
      </c>
      <c r="O388" s="89">
        <f t="shared" si="27"/>
        <v>2.8822401667009796E-2</v>
      </c>
    </row>
    <row r="389" spans="1:15" x14ac:dyDescent="0.2">
      <c r="A389" s="21" t="s">
        <v>2133</v>
      </c>
      <c r="B389" s="21" t="s">
        <v>2277</v>
      </c>
      <c r="C389" s="21" t="s">
        <v>2278</v>
      </c>
      <c r="D389" s="21" t="s">
        <v>2558</v>
      </c>
      <c r="E389" s="21" t="s">
        <v>2559</v>
      </c>
      <c r="F389" s="21" t="s">
        <v>2462</v>
      </c>
      <c r="G389" s="21" t="s">
        <v>2463</v>
      </c>
      <c r="H389" s="21" t="s">
        <v>2135</v>
      </c>
      <c r="I389" s="21">
        <v>32</v>
      </c>
      <c r="J389" s="89">
        <f t="shared" si="24"/>
        <v>4.060913705583756E-2</v>
      </c>
      <c r="K389" s="94">
        <v>0.98490828332680003</v>
      </c>
      <c r="L389" s="94">
        <v>0.98493967003152205</v>
      </c>
      <c r="M389" s="89">
        <f t="shared" si="26"/>
        <v>0.98490828332680003</v>
      </c>
      <c r="N389" s="89">
        <f t="shared" si="25"/>
        <v>0.949462735411718</v>
      </c>
      <c r="O389" s="89">
        <f t="shared" si="27"/>
        <v>3.8556862351744887E-2</v>
      </c>
    </row>
    <row r="390" spans="1:15" x14ac:dyDescent="0.2">
      <c r="A390" s="21" t="s">
        <v>2133</v>
      </c>
      <c r="B390" s="21" t="s">
        <v>2277</v>
      </c>
      <c r="C390" s="21" t="s">
        <v>2278</v>
      </c>
      <c r="D390" s="21" t="s">
        <v>2560</v>
      </c>
      <c r="E390" s="21" t="s">
        <v>2561</v>
      </c>
      <c r="F390" s="21" t="s">
        <v>2464</v>
      </c>
      <c r="G390" s="21" t="s">
        <v>1052</v>
      </c>
      <c r="H390" s="21" t="s">
        <v>2138</v>
      </c>
      <c r="I390" s="21">
        <v>33</v>
      </c>
      <c r="J390" s="89">
        <f t="shared" si="24"/>
        <v>4.1878172588832488E-2</v>
      </c>
      <c r="K390" s="94">
        <v>0.980431649265325</v>
      </c>
      <c r="L390" s="94">
        <v>0.98136170333805295</v>
      </c>
      <c r="M390" s="89">
        <f t="shared" si="26"/>
        <v>0.980431649265325</v>
      </c>
      <c r="N390" s="89">
        <f t="shared" si="25"/>
        <v>0.94514720949585451</v>
      </c>
      <c r="O390" s="89">
        <f t="shared" si="27"/>
        <v>3.9581037961120814E-2</v>
      </c>
    </row>
    <row r="391" spans="1:15" x14ac:dyDescent="0.2">
      <c r="A391" s="21" t="s">
        <v>2133</v>
      </c>
      <c r="B391" s="21" t="s">
        <v>2277</v>
      </c>
      <c r="C391" s="21" t="s">
        <v>2278</v>
      </c>
      <c r="D391" s="21" t="s">
        <v>2562</v>
      </c>
      <c r="E391" s="21" t="s">
        <v>2563</v>
      </c>
      <c r="F391" s="21" t="s">
        <v>2465</v>
      </c>
      <c r="G391" s="21" t="s">
        <v>2466</v>
      </c>
      <c r="H391" s="21" t="s">
        <v>2135</v>
      </c>
      <c r="I391" s="21">
        <v>42</v>
      </c>
      <c r="J391" s="89">
        <f t="shared" si="24"/>
        <v>5.3299492385786802E-2</v>
      </c>
      <c r="K391" s="94">
        <v>0.97892743564580498</v>
      </c>
      <c r="L391" s="94">
        <v>0.97952625524051895</v>
      </c>
      <c r="M391" s="89">
        <f t="shared" si="26"/>
        <v>0.97892743564580498</v>
      </c>
      <c r="N391" s="89">
        <f t="shared" si="25"/>
        <v>0.94369713053722404</v>
      </c>
      <c r="O391" s="89">
        <f t="shared" si="27"/>
        <v>5.0298578023557625E-2</v>
      </c>
    </row>
    <row r="392" spans="1:15" x14ac:dyDescent="0.2">
      <c r="A392" s="21" t="s">
        <v>2133</v>
      </c>
      <c r="B392" s="21" t="s">
        <v>2277</v>
      </c>
      <c r="C392" s="21" t="s">
        <v>2278</v>
      </c>
      <c r="D392" s="21" t="s">
        <v>2564</v>
      </c>
      <c r="E392" s="21" t="s">
        <v>2565</v>
      </c>
      <c r="F392" s="21" t="s">
        <v>2467</v>
      </c>
      <c r="G392" s="21" t="s">
        <v>2468</v>
      </c>
      <c r="H392" s="21" t="s">
        <v>2148</v>
      </c>
      <c r="I392" s="21">
        <v>50</v>
      </c>
      <c r="J392" s="89">
        <f t="shared" si="24"/>
        <v>6.3451776649746189E-2</v>
      </c>
      <c r="K392" s="94">
        <v>0.98361533288034697</v>
      </c>
      <c r="L392" s="94">
        <v>0.98359652404672304</v>
      </c>
      <c r="M392" s="89">
        <f t="shared" si="26"/>
        <v>0.98361533288034697</v>
      </c>
      <c r="N392" s="89">
        <f t="shared" si="25"/>
        <v>0.94821631654366401</v>
      </c>
      <c r="O392" s="89">
        <f t="shared" si="27"/>
        <v>6.0166009932973601E-2</v>
      </c>
    </row>
    <row r="393" spans="1:15" x14ac:dyDescent="0.2">
      <c r="A393" s="21" t="s">
        <v>2133</v>
      </c>
      <c r="B393" s="21" t="s">
        <v>2277</v>
      </c>
      <c r="C393" s="21" t="s">
        <v>2278</v>
      </c>
      <c r="D393" s="21" t="s">
        <v>2566</v>
      </c>
      <c r="E393" s="21" t="s">
        <v>2567</v>
      </c>
      <c r="F393" s="21" t="s">
        <v>2469</v>
      </c>
      <c r="G393" s="21" t="s">
        <v>1052</v>
      </c>
      <c r="H393" s="21" t="s">
        <v>2138</v>
      </c>
      <c r="I393" s="21">
        <v>74</v>
      </c>
      <c r="J393" s="89">
        <f t="shared" si="24"/>
        <v>9.3908629441624369E-2</v>
      </c>
      <c r="K393" s="94">
        <v>0.98001381782906205</v>
      </c>
      <c r="L393" s="94">
        <v>0.98136170333805295</v>
      </c>
      <c r="M393" s="89">
        <f t="shared" si="26"/>
        <v>0.98001381782906205</v>
      </c>
      <c r="N393" s="89">
        <f t="shared" si="25"/>
        <v>0.94474441526096886</v>
      </c>
      <c r="O393" s="89">
        <f t="shared" si="27"/>
        <v>8.871965320978642E-2</v>
      </c>
    </row>
    <row r="394" spans="1:15" x14ac:dyDescent="0.2">
      <c r="A394" s="21" t="s">
        <v>2133</v>
      </c>
      <c r="B394" s="21" t="s">
        <v>2277</v>
      </c>
      <c r="C394" s="21" t="s">
        <v>2278</v>
      </c>
      <c r="D394" s="21" t="s">
        <v>2568</v>
      </c>
      <c r="E394" s="21" t="s">
        <v>2569</v>
      </c>
      <c r="F394" s="21" t="s">
        <v>2470</v>
      </c>
      <c r="G394" s="21" t="s">
        <v>2471</v>
      </c>
      <c r="H394" s="21" t="s">
        <v>2138</v>
      </c>
      <c r="I394" s="21">
        <v>90</v>
      </c>
      <c r="J394" s="89">
        <f t="shared" si="24"/>
        <v>0.11421319796954314</v>
      </c>
      <c r="K394" s="94">
        <v>0.97623661048938304</v>
      </c>
      <c r="L394" s="94">
        <v>0.97560648615748102</v>
      </c>
      <c r="M394" s="89">
        <f t="shared" si="26"/>
        <v>0.97623661048938304</v>
      </c>
      <c r="N394" s="89">
        <f t="shared" si="25"/>
        <v>0.94110314462322464</v>
      </c>
      <c r="O394" s="89">
        <f t="shared" si="27"/>
        <v>0.10748639976661195</v>
      </c>
    </row>
    <row r="395" spans="1:15" x14ac:dyDescent="0.2">
      <c r="A395" s="21" t="s">
        <v>2133</v>
      </c>
      <c r="B395" s="21" t="s">
        <v>2277</v>
      </c>
      <c r="C395" s="21" t="s">
        <v>2278</v>
      </c>
      <c r="D395" s="21" t="s">
        <v>728</v>
      </c>
      <c r="E395" s="21" t="s">
        <v>729</v>
      </c>
      <c r="F395" s="21" t="s">
        <v>2472</v>
      </c>
      <c r="G395" s="21" t="s">
        <v>2473</v>
      </c>
      <c r="H395" s="21" t="s">
        <v>2135</v>
      </c>
      <c r="I395" s="21">
        <v>385</v>
      </c>
      <c r="J395" s="89">
        <f t="shared" si="24"/>
        <v>0.48857868020304568</v>
      </c>
      <c r="K395" s="94" t="e">
        <v>#N/A</v>
      </c>
      <c r="L395" s="94">
        <v>0.98109236807258204</v>
      </c>
      <c r="M395" s="89">
        <f t="shared" si="26"/>
        <v>0.98109236807258204</v>
      </c>
      <c r="N395" s="89">
        <f t="shared" si="25"/>
        <v>0.94578414990614057</v>
      </c>
      <c r="O395" s="89">
        <f t="shared" si="27"/>
        <v>0.46208997171810168</v>
      </c>
    </row>
    <row r="396" spans="1:15" x14ac:dyDescent="0.2">
      <c r="A396" s="21" t="s">
        <v>2133</v>
      </c>
      <c r="B396" s="21" t="s">
        <v>2782</v>
      </c>
      <c r="C396" s="21" t="s">
        <v>2783</v>
      </c>
      <c r="D396" s="21" t="s">
        <v>2570</v>
      </c>
      <c r="E396" s="21" t="s">
        <v>2571</v>
      </c>
      <c r="F396" s="21" t="s">
        <v>2474</v>
      </c>
      <c r="G396" s="21" t="s">
        <v>2475</v>
      </c>
      <c r="H396" s="21" t="s">
        <v>1406</v>
      </c>
      <c r="I396" s="21">
        <v>329</v>
      </c>
      <c r="J396" s="89">
        <f t="shared" si="24"/>
        <v>0.41279799247176913</v>
      </c>
      <c r="K396" s="94">
        <v>0.95730930623923305</v>
      </c>
      <c r="L396" s="94">
        <v>0.95796399948604505</v>
      </c>
      <c r="M396" s="89">
        <f t="shared" si="26"/>
        <v>0.95730930623923305</v>
      </c>
      <c r="N396" s="89">
        <f t="shared" si="25"/>
        <v>0.92285700904741652</v>
      </c>
      <c r="O396" s="89">
        <f t="shared" si="27"/>
        <v>0.38095352067327481</v>
      </c>
    </row>
    <row r="397" spans="1:15" x14ac:dyDescent="0.2">
      <c r="A397" s="21" t="s">
        <v>2133</v>
      </c>
      <c r="B397" s="21" t="s">
        <v>2782</v>
      </c>
      <c r="C397" s="21" t="s">
        <v>2783</v>
      </c>
      <c r="D397" s="21" t="s">
        <v>2572</v>
      </c>
      <c r="E397" s="21" t="s">
        <v>2573</v>
      </c>
      <c r="F397" s="21" t="s">
        <v>2476</v>
      </c>
      <c r="G397" s="21" t="s">
        <v>2477</v>
      </c>
      <c r="H397" s="21" t="s">
        <v>2154</v>
      </c>
      <c r="I397" s="21">
        <v>468</v>
      </c>
      <c r="J397" s="89">
        <f t="shared" si="24"/>
        <v>0.58720200752823082</v>
      </c>
      <c r="K397" s="94">
        <v>0.94125800596519904</v>
      </c>
      <c r="L397" s="94">
        <v>0.94122266840228597</v>
      </c>
      <c r="M397" s="89">
        <f t="shared" si="26"/>
        <v>0.94125800596519904</v>
      </c>
      <c r="N397" s="89">
        <f t="shared" si="25"/>
        <v>0.90738337386422818</v>
      </c>
      <c r="O397" s="89">
        <f t="shared" si="27"/>
        <v>0.53281733873081405</v>
      </c>
    </row>
    <row r="398" spans="1:15" x14ac:dyDescent="0.2">
      <c r="A398" s="21" t="s">
        <v>3496</v>
      </c>
      <c r="B398" s="21" t="s">
        <v>580</v>
      </c>
      <c r="C398" s="21" t="s">
        <v>581</v>
      </c>
      <c r="D398" s="21" t="s">
        <v>2574</v>
      </c>
      <c r="E398" s="21" t="s">
        <v>2575</v>
      </c>
      <c r="F398" s="21" t="s">
        <v>2478</v>
      </c>
      <c r="G398" s="21" t="s">
        <v>2479</v>
      </c>
      <c r="H398" s="21" t="s">
        <v>3498</v>
      </c>
      <c r="I398" s="21">
        <v>43</v>
      </c>
      <c r="J398" s="89">
        <f t="shared" si="24"/>
        <v>4.1425818882466284E-2</v>
      </c>
      <c r="K398" s="94">
        <v>1.2062509407305799</v>
      </c>
      <c r="L398" s="94">
        <v>1.2083413645526</v>
      </c>
      <c r="M398" s="89">
        <f t="shared" si="26"/>
        <v>1.2062509407305799</v>
      </c>
      <c r="N398" s="89">
        <f t="shared" si="25"/>
        <v>1.1628395630002011</v>
      </c>
      <c r="O398" s="89">
        <f t="shared" si="27"/>
        <v>4.8171581126212573E-2</v>
      </c>
    </row>
    <row r="399" spans="1:15" x14ac:dyDescent="0.2">
      <c r="A399" s="21" t="s">
        <v>3496</v>
      </c>
      <c r="B399" s="21" t="s">
        <v>580</v>
      </c>
      <c r="C399" s="21" t="s">
        <v>581</v>
      </c>
      <c r="D399" s="21" t="s">
        <v>2576</v>
      </c>
      <c r="E399" s="21" t="s">
        <v>2577</v>
      </c>
      <c r="F399" s="21" t="s">
        <v>2480</v>
      </c>
      <c r="G399" s="21" t="s">
        <v>2481</v>
      </c>
      <c r="H399" s="21" t="s">
        <v>3498</v>
      </c>
      <c r="I399" s="21">
        <v>48</v>
      </c>
      <c r="J399" s="89">
        <f t="shared" si="24"/>
        <v>4.6242774566473986E-2</v>
      </c>
      <c r="K399" s="94">
        <v>1.1763420225715</v>
      </c>
      <c r="L399" s="94">
        <v>1.1741849572987999</v>
      </c>
      <c r="M399" s="89">
        <f t="shared" si="26"/>
        <v>1.1763420225715</v>
      </c>
      <c r="N399" s="89">
        <f t="shared" si="25"/>
        <v>1.1340070272917948</v>
      </c>
      <c r="O399" s="89">
        <f t="shared" si="27"/>
        <v>5.2439631319851777E-2</v>
      </c>
    </row>
    <row r="400" spans="1:15" x14ac:dyDescent="0.2">
      <c r="A400" s="21" t="s">
        <v>3496</v>
      </c>
      <c r="B400" s="21" t="s">
        <v>580</v>
      </c>
      <c r="C400" s="21" t="s">
        <v>581</v>
      </c>
      <c r="D400" s="21" t="s">
        <v>2578</v>
      </c>
      <c r="E400" s="21" t="s">
        <v>2579</v>
      </c>
      <c r="F400" s="21" t="s">
        <v>2482</v>
      </c>
      <c r="G400" s="21" t="s">
        <v>2483</v>
      </c>
      <c r="H400" s="21" t="s">
        <v>3498</v>
      </c>
      <c r="I400" s="21">
        <v>49</v>
      </c>
      <c r="J400" s="89">
        <f t="shared" si="24"/>
        <v>4.7206165703275529E-2</v>
      </c>
      <c r="K400" s="94">
        <v>1.20357607352784</v>
      </c>
      <c r="L400" s="94">
        <v>1.2041300645340001</v>
      </c>
      <c r="M400" s="89">
        <f t="shared" si="26"/>
        <v>1.20357607352784</v>
      </c>
      <c r="N400" s="89">
        <f t="shared" si="25"/>
        <v>1.1602609607342136</v>
      </c>
      <c r="O400" s="89">
        <f t="shared" si="27"/>
        <v>5.4771471171460952E-2</v>
      </c>
    </row>
    <row r="401" spans="1:15" x14ac:dyDescent="0.2">
      <c r="A401" s="21" t="s">
        <v>3496</v>
      </c>
      <c r="B401" s="21" t="s">
        <v>580</v>
      </c>
      <c r="C401" s="21" t="s">
        <v>581</v>
      </c>
      <c r="D401" s="21" t="s">
        <v>2580</v>
      </c>
      <c r="E401" s="21" t="s">
        <v>2581</v>
      </c>
      <c r="F401" s="21" t="s">
        <v>2484</v>
      </c>
      <c r="G401" s="21" t="s">
        <v>2479</v>
      </c>
      <c r="H401" s="21" t="s">
        <v>3498</v>
      </c>
      <c r="I401" s="21">
        <v>68</v>
      </c>
      <c r="J401" s="89">
        <f t="shared" si="24"/>
        <v>6.5510597302504817E-2</v>
      </c>
      <c r="K401" s="94">
        <v>1.2104376805886199</v>
      </c>
      <c r="L401" s="94">
        <v>1.2083413645526</v>
      </c>
      <c r="M401" s="89">
        <f t="shared" si="26"/>
        <v>1.2104376805886199</v>
      </c>
      <c r="N401" s="89">
        <f t="shared" si="25"/>
        <v>1.1668756276220202</v>
      </c>
      <c r="O401" s="89">
        <f t="shared" si="27"/>
        <v>7.6442719343253737E-2</v>
      </c>
    </row>
    <row r="402" spans="1:15" x14ac:dyDescent="0.2">
      <c r="A402" s="21" t="s">
        <v>3496</v>
      </c>
      <c r="B402" s="21" t="s">
        <v>580</v>
      </c>
      <c r="C402" s="21" t="s">
        <v>581</v>
      </c>
      <c r="D402" s="21" t="s">
        <v>2582</v>
      </c>
      <c r="E402" s="21" t="s">
        <v>2583</v>
      </c>
      <c r="F402" s="21" t="s">
        <v>2485</v>
      </c>
      <c r="G402" s="21" t="s">
        <v>2079</v>
      </c>
      <c r="H402" s="21" t="s">
        <v>3498</v>
      </c>
      <c r="I402" s="21">
        <v>72</v>
      </c>
      <c r="J402" s="89">
        <f t="shared" si="24"/>
        <v>6.9364161849710976E-2</v>
      </c>
      <c r="K402" s="94">
        <v>1.1656820548333899</v>
      </c>
      <c r="L402" s="94">
        <v>1.16585388516833</v>
      </c>
      <c r="M402" s="89">
        <f t="shared" si="26"/>
        <v>1.1656820548333899</v>
      </c>
      <c r="N402" s="89">
        <f t="shared" si="25"/>
        <v>1.1237306977092683</v>
      </c>
      <c r="O402" s="89">
        <f t="shared" si="27"/>
        <v>7.7946637991394327E-2</v>
      </c>
    </row>
    <row r="403" spans="1:15" x14ac:dyDescent="0.2">
      <c r="A403" s="21" t="s">
        <v>3496</v>
      </c>
      <c r="B403" s="21" t="s">
        <v>580</v>
      </c>
      <c r="C403" s="21" t="s">
        <v>581</v>
      </c>
      <c r="D403" s="21" t="s">
        <v>2584</v>
      </c>
      <c r="E403" s="21" t="s">
        <v>2585</v>
      </c>
      <c r="F403" s="21" t="s">
        <v>2486</v>
      </c>
      <c r="G403" s="21" t="s">
        <v>20</v>
      </c>
      <c r="H403" s="21" t="s">
        <v>3498</v>
      </c>
      <c r="I403" s="21">
        <v>92</v>
      </c>
      <c r="J403" s="89">
        <f t="shared" si="24"/>
        <v>8.8631984585741813E-2</v>
      </c>
      <c r="K403" s="94">
        <v>1.1906056487783601</v>
      </c>
      <c r="L403" s="94">
        <v>1.18784215528454</v>
      </c>
      <c r="M403" s="89">
        <f t="shared" si="26"/>
        <v>1.1906056487783601</v>
      </c>
      <c r="N403" s="89">
        <f t="shared" si="25"/>
        <v>1.1477573244357189</v>
      </c>
      <c r="O403" s="89">
        <f t="shared" si="27"/>
        <v>0.1017280094875589</v>
      </c>
    </row>
    <row r="404" spans="1:15" x14ac:dyDescent="0.2">
      <c r="A404" s="21" t="s">
        <v>3496</v>
      </c>
      <c r="B404" s="21" t="s">
        <v>580</v>
      </c>
      <c r="C404" s="21" t="s">
        <v>581</v>
      </c>
      <c r="D404" s="21" t="s">
        <v>728</v>
      </c>
      <c r="E404" s="21" t="s">
        <v>729</v>
      </c>
      <c r="F404" s="21" t="s">
        <v>2487</v>
      </c>
      <c r="G404" s="21" t="s">
        <v>2488</v>
      </c>
      <c r="H404" s="21" t="s">
        <v>3498</v>
      </c>
      <c r="I404" s="21">
        <v>666</v>
      </c>
      <c r="J404" s="89">
        <f t="shared" si="24"/>
        <v>0.64161849710982655</v>
      </c>
      <c r="K404" s="94" t="e">
        <v>#N/A</v>
      </c>
      <c r="L404" s="94">
        <v>1.1941032354283101</v>
      </c>
      <c r="M404" s="89">
        <f t="shared" si="26"/>
        <v>1.1941032354283101</v>
      </c>
      <c r="N404" s="89">
        <f t="shared" si="25"/>
        <v>1.1511290375629393</v>
      </c>
      <c r="O404" s="89">
        <f t="shared" si="27"/>
        <v>0.73858568306061412</v>
      </c>
    </row>
    <row r="405" spans="1:15" x14ac:dyDescent="0.2">
      <c r="A405" s="21" t="s">
        <v>3496</v>
      </c>
      <c r="B405" s="21" t="s">
        <v>1338</v>
      </c>
      <c r="C405" s="21" t="s">
        <v>1339</v>
      </c>
      <c r="D405" s="21" t="s">
        <v>2586</v>
      </c>
      <c r="E405" s="21" t="s">
        <v>2587</v>
      </c>
      <c r="F405" s="21" t="s">
        <v>2489</v>
      </c>
      <c r="G405" s="21" t="s">
        <v>2490</v>
      </c>
      <c r="H405" s="21" t="s">
        <v>3470</v>
      </c>
      <c r="I405" s="21">
        <v>8</v>
      </c>
      <c r="J405" s="89">
        <f t="shared" si="24"/>
        <v>1.2066365007541479E-2</v>
      </c>
      <c r="K405" s="94" t="e">
        <v>#N/A</v>
      </c>
      <c r="L405" s="94">
        <v>1.1409686781320401</v>
      </c>
      <c r="M405" s="89">
        <f t="shared" si="26"/>
        <v>1.1409686781320401</v>
      </c>
      <c r="N405" s="89">
        <f t="shared" si="25"/>
        <v>1.0999067227855663</v>
      </c>
      <c r="O405" s="89">
        <f t="shared" si="27"/>
        <v>1.3271875991379384E-2</v>
      </c>
    </row>
    <row r="406" spans="1:15" x14ac:dyDescent="0.2">
      <c r="A406" s="21" t="s">
        <v>3496</v>
      </c>
      <c r="B406" s="21" t="s">
        <v>1338</v>
      </c>
      <c r="C406" s="21" t="s">
        <v>1339</v>
      </c>
      <c r="D406" s="21" t="s">
        <v>2588</v>
      </c>
      <c r="E406" s="21" t="s">
        <v>2589</v>
      </c>
      <c r="F406" s="21" t="s">
        <v>2491</v>
      </c>
      <c r="G406" s="21" t="s">
        <v>2492</v>
      </c>
      <c r="H406" s="21" t="s">
        <v>3470</v>
      </c>
      <c r="I406" s="21">
        <v>14</v>
      </c>
      <c r="J406" s="89">
        <f t="shared" si="24"/>
        <v>2.1116138763197588E-2</v>
      </c>
      <c r="K406" s="94">
        <v>1.0986625779843</v>
      </c>
      <c r="L406" s="94">
        <v>1.1002235754779399</v>
      </c>
      <c r="M406" s="89">
        <f t="shared" si="26"/>
        <v>1.0986625779843</v>
      </c>
      <c r="N406" s="89">
        <f t="shared" si="25"/>
        <v>1.0591231632898572</v>
      </c>
      <c r="O406" s="89">
        <f t="shared" si="27"/>
        <v>2.2364591683345404E-2</v>
      </c>
    </row>
    <row r="407" spans="1:15" x14ac:dyDescent="0.2">
      <c r="A407" s="21" t="s">
        <v>3496</v>
      </c>
      <c r="B407" s="21" t="s">
        <v>1338</v>
      </c>
      <c r="C407" s="21" t="s">
        <v>1339</v>
      </c>
      <c r="D407" s="21" t="s">
        <v>2590</v>
      </c>
      <c r="E407" s="21" t="s">
        <v>2591</v>
      </c>
      <c r="F407" s="21" t="s">
        <v>2493</v>
      </c>
      <c r="G407" s="21" t="s">
        <v>76</v>
      </c>
      <c r="H407" s="21" t="s">
        <v>3503</v>
      </c>
      <c r="I407" s="21">
        <v>38</v>
      </c>
      <c r="J407" s="89">
        <f t="shared" si="24"/>
        <v>5.7315233785822019E-2</v>
      </c>
      <c r="K407" s="94">
        <v>0.97876790860259399</v>
      </c>
      <c r="L407" s="94">
        <v>0.97863521608677195</v>
      </c>
      <c r="M407" s="89">
        <f t="shared" si="26"/>
        <v>0.97876790860259399</v>
      </c>
      <c r="N407" s="89">
        <f t="shared" si="25"/>
        <v>0.94354334466154066</v>
      </c>
      <c r="O407" s="89">
        <f t="shared" si="27"/>
        <v>5.4079407386332642E-2</v>
      </c>
    </row>
    <row r="408" spans="1:15" x14ac:dyDescent="0.2">
      <c r="A408" s="21" t="s">
        <v>3496</v>
      </c>
      <c r="B408" s="21" t="s">
        <v>1338</v>
      </c>
      <c r="C408" s="21" t="s">
        <v>1339</v>
      </c>
      <c r="D408" s="21" t="s">
        <v>2592</v>
      </c>
      <c r="E408" s="21" t="s">
        <v>2593</v>
      </c>
      <c r="F408" s="21" t="s">
        <v>77</v>
      </c>
      <c r="G408" s="21" t="s">
        <v>78</v>
      </c>
      <c r="H408" s="21" t="s">
        <v>3503</v>
      </c>
      <c r="I408" s="21">
        <v>77</v>
      </c>
      <c r="J408" s="89">
        <f t="shared" si="24"/>
        <v>0.11613876319758673</v>
      </c>
      <c r="K408" s="94">
        <v>0.98436366122707497</v>
      </c>
      <c r="L408" s="94">
        <v>0.98635647987884001</v>
      </c>
      <c r="M408" s="89">
        <f t="shared" si="26"/>
        <v>0.98436366122707497</v>
      </c>
      <c r="N408" s="89">
        <f t="shared" si="25"/>
        <v>0.94893771354183987</v>
      </c>
      <c r="O408" s="89">
        <f t="shared" si="27"/>
        <v>0.11020845240229513</v>
      </c>
    </row>
    <row r="409" spans="1:15" x14ac:dyDescent="0.2">
      <c r="A409" s="21" t="s">
        <v>3496</v>
      </c>
      <c r="B409" s="21" t="s">
        <v>1338</v>
      </c>
      <c r="C409" s="21" t="s">
        <v>1339</v>
      </c>
      <c r="D409" s="21" t="s">
        <v>2594</v>
      </c>
      <c r="E409" s="21" t="s">
        <v>2595</v>
      </c>
      <c r="F409" s="21" t="s">
        <v>2494</v>
      </c>
      <c r="G409" s="21" t="s">
        <v>2495</v>
      </c>
      <c r="H409" s="21" t="s">
        <v>3503</v>
      </c>
      <c r="I409" s="21">
        <v>90</v>
      </c>
      <c r="J409" s="89">
        <f t="shared" si="24"/>
        <v>0.13574660633484162</v>
      </c>
      <c r="K409" s="94">
        <v>0.97700632882524396</v>
      </c>
      <c r="L409" s="94">
        <v>0.97716990024042805</v>
      </c>
      <c r="M409" s="89">
        <f t="shared" si="26"/>
        <v>0.97700632882524396</v>
      </c>
      <c r="N409" s="89">
        <f t="shared" si="25"/>
        <v>0.94184516181308375</v>
      </c>
      <c r="O409" s="89">
        <f t="shared" si="27"/>
        <v>0.12785228440901589</v>
      </c>
    </row>
    <row r="410" spans="1:15" x14ac:dyDescent="0.2">
      <c r="A410" s="21" t="s">
        <v>3496</v>
      </c>
      <c r="B410" s="21" t="s">
        <v>1338</v>
      </c>
      <c r="C410" s="21" t="s">
        <v>1339</v>
      </c>
      <c r="D410" s="21" t="s">
        <v>2596</v>
      </c>
      <c r="E410" s="21" t="s">
        <v>2597</v>
      </c>
      <c r="F410" s="21" t="s">
        <v>143</v>
      </c>
      <c r="G410" s="21" t="s">
        <v>144</v>
      </c>
      <c r="H410" s="21" t="s">
        <v>3470</v>
      </c>
      <c r="I410" s="21">
        <v>120</v>
      </c>
      <c r="J410" s="89">
        <f t="shared" si="24"/>
        <v>0.18099547511312217</v>
      </c>
      <c r="K410" s="94" t="e">
        <v>#N/A</v>
      </c>
      <c r="L410" s="94">
        <v>1.0793961659279701</v>
      </c>
      <c r="M410" s="89">
        <f t="shared" si="26"/>
        <v>1.0793961659279701</v>
      </c>
      <c r="N410" s="89">
        <f t="shared" si="25"/>
        <v>1.0405501239498045</v>
      </c>
      <c r="O410" s="89">
        <f t="shared" si="27"/>
        <v>0.18833486406331304</v>
      </c>
    </row>
    <row r="411" spans="1:15" x14ac:dyDescent="0.2">
      <c r="A411" s="21" t="s">
        <v>3496</v>
      </c>
      <c r="B411" s="21" t="s">
        <v>1338</v>
      </c>
      <c r="C411" s="21" t="s">
        <v>1339</v>
      </c>
      <c r="D411" s="21" t="s">
        <v>2598</v>
      </c>
      <c r="E411" s="21" t="s">
        <v>2599</v>
      </c>
      <c r="F411" s="21" t="s">
        <v>2496</v>
      </c>
      <c r="G411" s="21" t="s">
        <v>2497</v>
      </c>
      <c r="H411" s="21" t="s">
        <v>3470</v>
      </c>
      <c r="I411" s="21">
        <v>138</v>
      </c>
      <c r="J411" s="89">
        <f t="shared" si="24"/>
        <v>0.20814479638009051</v>
      </c>
      <c r="K411" s="94">
        <v>1.1655224811082701</v>
      </c>
      <c r="L411" s="94">
        <v>1.1633344640065399</v>
      </c>
      <c r="M411" s="89">
        <f t="shared" si="26"/>
        <v>1.1655224811082701</v>
      </c>
      <c r="N411" s="89">
        <f t="shared" si="25"/>
        <v>1.1235768668316961</v>
      </c>
      <c r="O411" s="89">
        <f t="shared" si="27"/>
        <v>0.23386667816406345</v>
      </c>
    </row>
    <row r="412" spans="1:15" x14ac:dyDescent="0.2">
      <c r="A412" s="21" t="s">
        <v>3496</v>
      </c>
      <c r="B412" s="21" t="s">
        <v>1338</v>
      </c>
      <c r="C412" s="21" t="s">
        <v>1339</v>
      </c>
      <c r="D412" s="21" t="s">
        <v>728</v>
      </c>
      <c r="E412" s="21" t="s">
        <v>729</v>
      </c>
      <c r="F412" s="21" t="s">
        <v>2498</v>
      </c>
      <c r="G412" s="21" t="s">
        <v>2499</v>
      </c>
      <c r="H412" s="21" t="s">
        <v>3470</v>
      </c>
      <c r="I412" s="21">
        <v>178</v>
      </c>
      <c r="J412" s="89">
        <f t="shared" si="24"/>
        <v>0.26847662141779788</v>
      </c>
      <c r="K412" s="94" t="e">
        <v>#N/A</v>
      </c>
      <c r="L412" s="94">
        <v>1.08527992533724</v>
      </c>
      <c r="M412" s="89">
        <f t="shared" si="26"/>
        <v>1.08527992533724</v>
      </c>
      <c r="N412" s="89">
        <f t="shared" si="25"/>
        <v>1.0462221346312055</v>
      </c>
      <c r="O412" s="89">
        <f t="shared" si="27"/>
        <v>0.2808861839583025</v>
      </c>
    </row>
    <row r="413" spans="1:15" x14ac:dyDescent="0.2">
      <c r="A413" s="21" t="s">
        <v>1167</v>
      </c>
      <c r="B413" s="21" t="s">
        <v>1332</v>
      </c>
      <c r="C413" s="21" t="s">
        <v>1333</v>
      </c>
      <c r="D413" s="21" t="s">
        <v>2600</v>
      </c>
      <c r="E413" s="21" t="s">
        <v>2601</v>
      </c>
      <c r="F413" s="21" t="s">
        <v>2500</v>
      </c>
      <c r="G413" s="21" t="s">
        <v>2501</v>
      </c>
      <c r="H413" s="21" t="s">
        <v>3451</v>
      </c>
      <c r="I413" s="21">
        <v>6</v>
      </c>
      <c r="J413" s="89">
        <f t="shared" si="24"/>
        <v>4.0955631399317407E-3</v>
      </c>
      <c r="K413" s="94">
        <v>1.24387655963623</v>
      </c>
      <c r="L413" s="94">
        <v>1.2439059290918999</v>
      </c>
      <c r="M413" s="89">
        <f t="shared" si="26"/>
        <v>1.24387655963623</v>
      </c>
      <c r="N413" s="89">
        <f t="shared" si="25"/>
        <v>1.1991110855901517</v>
      </c>
      <c r="O413" s="89">
        <f t="shared" si="27"/>
        <v>4.9110351628265598E-3</v>
      </c>
    </row>
    <row r="414" spans="1:15" x14ac:dyDescent="0.2">
      <c r="A414" s="21" t="s">
        <v>1167</v>
      </c>
      <c r="B414" s="21" t="s">
        <v>1332</v>
      </c>
      <c r="C414" s="21" t="s">
        <v>1333</v>
      </c>
      <c r="D414" s="21" t="s">
        <v>2602</v>
      </c>
      <c r="E414" s="21" t="s">
        <v>2603</v>
      </c>
      <c r="F414" s="21" t="s">
        <v>2502</v>
      </c>
      <c r="G414" s="21" t="s">
        <v>2503</v>
      </c>
      <c r="H414" s="21" t="s">
        <v>467</v>
      </c>
      <c r="I414" s="21">
        <v>104</v>
      </c>
      <c r="J414" s="89">
        <f t="shared" si="24"/>
        <v>7.0989761092150175E-2</v>
      </c>
      <c r="K414" s="94">
        <v>1.2380691524349501</v>
      </c>
      <c r="L414" s="94">
        <v>1.2378739051460499</v>
      </c>
      <c r="M414" s="89">
        <f t="shared" si="26"/>
        <v>1.2380691524349501</v>
      </c>
      <c r="N414" s="89">
        <f t="shared" si="25"/>
        <v>1.1935126793016471</v>
      </c>
      <c r="O414" s="89">
        <f t="shared" si="27"/>
        <v>8.4727179964075972E-2</v>
      </c>
    </row>
    <row r="415" spans="1:15" x14ac:dyDescent="0.2">
      <c r="A415" s="21" t="s">
        <v>1167</v>
      </c>
      <c r="B415" s="21" t="s">
        <v>1332</v>
      </c>
      <c r="C415" s="21" t="s">
        <v>1333</v>
      </c>
      <c r="D415" s="21" t="s">
        <v>2604</v>
      </c>
      <c r="E415" s="21" t="s">
        <v>2605</v>
      </c>
      <c r="F415" s="21" t="s">
        <v>2502</v>
      </c>
      <c r="G415" s="21" t="s">
        <v>2503</v>
      </c>
      <c r="H415" s="21" t="s">
        <v>467</v>
      </c>
      <c r="I415" s="21">
        <v>349</v>
      </c>
      <c r="J415" s="89">
        <f t="shared" si="24"/>
        <v>0.23822525597269625</v>
      </c>
      <c r="K415" s="94">
        <v>1.2380691524349501</v>
      </c>
      <c r="L415" s="94">
        <v>1.2378739051460499</v>
      </c>
      <c r="M415" s="89">
        <f t="shared" si="26"/>
        <v>1.2380691524349501</v>
      </c>
      <c r="N415" s="89">
        <f t="shared" si="25"/>
        <v>1.1935126793016471</v>
      </c>
      <c r="O415" s="89">
        <f t="shared" si="27"/>
        <v>0.28432486353329339</v>
      </c>
    </row>
    <row r="416" spans="1:15" x14ac:dyDescent="0.2">
      <c r="A416" s="21" t="s">
        <v>1167</v>
      </c>
      <c r="B416" s="21" t="s">
        <v>1332</v>
      </c>
      <c r="C416" s="21" t="s">
        <v>1333</v>
      </c>
      <c r="D416" s="21" t="s">
        <v>2606</v>
      </c>
      <c r="E416" s="21" t="s">
        <v>850</v>
      </c>
      <c r="F416" s="21" t="s">
        <v>2504</v>
      </c>
      <c r="G416" s="21" t="s">
        <v>2505</v>
      </c>
      <c r="H416" s="21" t="s">
        <v>3451</v>
      </c>
      <c r="I416" s="21">
        <v>495</v>
      </c>
      <c r="J416" s="89">
        <f t="shared" si="24"/>
        <v>0.33788395904436858</v>
      </c>
      <c r="K416" s="94">
        <v>1.2435900045698201</v>
      </c>
      <c r="L416" s="94">
        <v>1.2434939884699201</v>
      </c>
      <c r="M416" s="89">
        <f t="shared" si="26"/>
        <v>1.2435900045698201</v>
      </c>
      <c r="N416" s="89">
        <f t="shared" si="25"/>
        <v>1.1988348432620024</v>
      </c>
      <c r="O416" s="89">
        <f t="shared" si="27"/>
        <v>0.40506706308170043</v>
      </c>
    </row>
    <row r="417" spans="1:15" x14ac:dyDescent="0.2">
      <c r="A417" s="21" t="s">
        <v>1167</v>
      </c>
      <c r="B417" s="21" t="s">
        <v>1332</v>
      </c>
      <c r="C417" s="21" t="s">
        <v>1333</v>
      </c>
      <c r="D417" s="21" t="s">
        <v>2607</v>
      </c>
      <c r="E417" s="21" t="s">
        <v>2608</v>
      </c>
      <c r="F417" s="21" t="s">
        <v>2506</v>
      </c>
      <c r="G417" s="21" t="s">
        <v>2507</v>
      </c>
      <c r="H417" s="21" t="s">
        <v>467</v>
      </c>
      <c r="I417" s="21">
        <v>511</v>
      </c>
      <c r="J417" s="89">
        <f t="shared" si="24"/>
        <v>0.34880546075085322</v>
      </c>
      <c r="K417" s="94">
        <v>1.23961744983008</v>
      </c>
      <c r="L417" s="94">
        <v>1.2399732574001401</v>
      </c>
      <c r="M417" s="89">
        <f t="shared" si="26"/>
        <v>1.23961744983008</v>
      </c>
      <c r="N417" s="89">
        <f t="shared" si="25"/>
        <v>1.1950052555190442</v>
      </c>
      <c r="O417" s="89">
        <f t="shared" si="27"/>
        <v>0.41682435875101131</v>
      </c>
    </row>
    <row r="418" spans="1:15" x14ac:dyDescent="0.2">
      <c r="A418" s="21" t="s">
        <v>1167</v>
      </c>
      <c r="B418" s="21" t="s">
        <v>416</v>
      </c>
      <c r="C418" s="21" t="s">
        <v>417</v>
      </c>
      <c r="D418" s="21" t="s">
        <v>2609</v>
      </c>
      <c r="E418" s="21" t="s">
        <v>2610</v>
      </c>
      <c r="F418" s="21" t="s">
        <v>2508</v>
      </c>
      <c r="G418" s="21" t="s">
        <v>925</v>
      </c>
      <c r="H418" s="21" t="s">
        <v>3464</v>
      </c>
      <c r="I418" s="21">
        <v>18</v>
      </c>
      <c r="J418" s="89">
        <f t="shared" si="24"/>
        <v>4.0449438202247189E-2</v>
      </c>
      <c r="K418" s="94">
        <v>1.20308441534693</v>
      </c>
      <c r="L418" s="94">
        <v>1.2053515257713401</v>
      </c>
      <c r="M418" s="89">
        <f t="shared" si="26"/>
        <v>1.20308441534693</v>
      </c>
      <c r="N418" s="89">
        <f t="shared" si="25"/>
        <v>1.1597869966816852</v>
      </c>
      <c r="O418" s="89">
        <f t="shared" si="27"/>
        <v>4.6912732450045687E-2</v>
      </c>
    </row>
    <row r="419" spans="1:15" x14ac:dyDescent="0.2">
      <c r="A419" s="21" t="s">
        <v>1167</v>
      </c>
      <c r="B419" s="21" t="s">
        <v>416</v>
      </c>
      <c r="C419" s="21" t="s">
        <v>417</v>
      </c>
      <c r="D419" s="21" t="s">
        <v>2611</v>
      </c>
      <c r="E419" s="21" t="s">
        <v>2612</v>
      </c>
      <c r="F419" s="21" t="s">
        <v>2508</v>
      </c>
      <c r="G419" s="21" t="s">
        <v>925</v>
      </c>
      <c r="H419" s="21" t="s">
        <v>3464</v>
      </c>
      <c r="I419" s="21">
        <v>97</v>
      </c>
      <c r="J419" s="89">
        <f t="shared" si="24"/>
        <v>0.21797752808988763</v>
      </c>
      <c r="K419" s="94">
        <v>1.20308441534693</v>
      </c>
      <c r="L419" s="94">
        <v>1.2053515257713401</v>
      </c>
      <c r="M419" s="89">
        <f t="shared" si="26"/>
        <v>1.20308441534693</v>
      </c>
      <c r="N419" s="89">
        <f t="shared" si="25"/>
        <v>1.1597869966816852</v>
      </c>
      <c r="O419" s="89">
        <f t="shared" si="27"/>
        <v>0.25280750264746843</v>
      </c>
    </row>
    <row r="420" spans="1:15" x14ac:dyDescent="0.2">
      <c r="A420" s="21" t="s">
        <v>1167</v>
      </c>
      <c r="B420" s="21" t="s">
        <v>416</v>
      </c>
      <c r="C420" s="21" t="s">
        <v>417</v>
      </c>
      <c r="D420" s="21" t="s">
        <v>2613</v>
      </c>
      <c r="E420" s="21" t="s">
        <v>2614</v>
      </c>
      <c r="F420" s="21" t="s">
        <v>2509</v>
      </c>
      <c r="G420" s="21" t="s">
        <v>2510</v>
      </c>
      <c r="H420" s="21" t="s">
        <v>3494</v>
      </c>
      <c r="I420" s="21">
        <v>19</v>
      </c>
      <c r="J420" s="89">
        <f t="shared" si="24"/>
        <v>4.2696629213483148E-2</v>
      </c>
      <c r="K420" s="94">
        <v>1.2168907247366301</v>
      </c>
      <c r="L420" s="94">
        <v>1.2158044097651799</v>
      </c>
      <c r="M420" s="89">
        <f t="shared" si="26"/>
        <v>1.2168907247366301</v>
      </c>
      <c r="N420" s="89">
        <f t="shared" si="25"/>
        <v>1.1730964352365192</v>
      </c>
      <c r="O420" s="89">
        <f t="shared" si="27"/>
        <v>5.0087263526952509E-2</v>
      </c>
    </row>
    <row r="421" spans="1:15" x14ac:dyDescent="0.2">
      <c r="A421" s="21" t="s">
        <v>1167</v>
      </c>
      <c r="B421" s="21" t="s">
        <v>416</v>
      </c>
      <c r="C421" s="21" t="s">
        <v>417</v>
      </c>
      <c r="D421" s="21" t="s">
        <v>2615</v>
      </c>
      <c r="E421" s="21" t="s">
        <v>2616</v>
      </c>
      <c r="F421" s="21" t="s">
        <v>2511</v>
      </c>
      <c r="G421" s="21" t="s">
        <v>2512</v>
      </c>
      <c r="H421" s="21" t="s">
        <v>1129</v>
      </c>
      <c r="I421" s="21">
        <v>136</v>
      </c>
      <c r="J421" s="89">
        <f t="shared" si="24"/>
        <v>0.30561797752808989</v>
      </c>
      <c r="K421" s="94">
        <v>1.14938216959718</v>
      </c>
      <c r="L421" s="94">
        <v>1.15310321342427</v>
      </c>
      <c r="M421" s="89">
        <f t="shared" si="26"/>
        <v>1.14938216959718</v>
      </c>
      <c r="N421" s="89">
        <f t="shared" si="25"/>
        <v>1.1080174238082772</v>
      </c>
      <c r="O421" s="89">
        <f t="shared" si="27"/>
        <v>0.33863004413017012</v>
      </c>
    </row>
    <row r="422" spans="1:15" x14ac:dyDescent="0.2">
      <c r="A422" s="21" t="s">
        <v>1167</v>
      </c>
      <c r="B422" s="21" t="s">
        <v>416</v>
      </c>
      <c r="C422" s="21" t="s">
        <v>417</v>
      </c>
      <c r="D422" s="21" t="s">
        <v>2617</v>
      </c>
      <c r="E422" s="21" t="s">
        <v>2618</v>
      </c>
      <c r="F422" s="21" t="s">
        <v>2513</v>
      </c>
      <c r="G422" s="21" t="s">
        <v>2514</v>
      </c>
      <c r="H422" s="21" t="s">
        <v>3494</v>
      </c>
      <c r="I422" s="21">
        <v>50</v>
      </c>
      <c r="J422" s="89">
        <f t="shared" si="24"/>
        <v>0.11235955056179775</v>
      </c>
      <c r="K422" s="94">
        <v>1.21891726948899</v>
      </c>
      <c r="L422" s="94">
        <v>1.2191209997038699</v>
      </c>
      <c r="M422" s="89">
        <f t="shared" si="26"/>
        <v>1.21891726948899</v>
      </c>
      <c r="N422" s="89">
        <f t="shared" si="25"/>
        <v>1.1750500473205912</v>
      </c>
      <c r="O422" s="89">
        <f t="shared" si="27"/>
        <v>0.1320280952045608</v>
      </c>
    </row>
    <row r="423" spans="1:15" x14ac:dyDescent="0.2">
      <c r="A423" s="21" t="s">
        <v>1167</v>
      </c>
      <c r="B423" s="21" t="s">
        <v>416</v>
      </c>
      <c r="C423" s="21" t="s">
        <v>417</v>
      </c>
      <c r="D423" s="21" t="s">
        <v>2619</v>
      </c>
      <c r="E423" s="21" t="s">
        <v>2620</v>
      </c>
      <c r="F423" s="21" t="s">
        <v>2515</v>
      </c>
      <c r="G423" s="21" t="s">
        <v>925</v>
      </c>
      <c r="H423" s="21" t="s">
        <v>3464</v>
      </c>
      <c r="I423" s="21">
        <v>18</v>
      </c>
      <c r="J423" s="89">
        <f t="shared" si="24"/>
        <v>4.0449438202247189E-2</v>
      </c>
      <c r="K423" s="94">
        <v>1.2030130609252401</v>
      </c>
      <c r="L423" s="94">
        <v>1.2053515257713401</v>
      </c>
      <c r="M423" s="89">
        <f t="shared" si="26"/>
        <v>1.2030130609252401</v>
      </c>
      <c r="N423" s="89">
        <f t="shared" si="25"/>
        <v>1.1597182102113626</v>
      </c>
      <c r="O423" s="89">
        <f t="shared" si="27"/>
        <v>4.6909950075965226E-2</v>
      </c>
    </row>
    <row r="424" spans="1:15" x14ac:dyDescent="0.2">
      <c r="A424" s="21" t="s">
        <v>1167</v>
      </c>
      <c r="B424" s="21" t="s">
        <v>416</v>
      </c>
      <c r="C424" s="21" t="s">
        <v>417</v>
      </c>
      <c r="D424" s="21" t="s">
        <v>2621</v>
      </c>
      <c r="E424" s="21" t="s">
        <v>2622</v>
      </c>
      <c r="F424" s="21" t="s">
        <v>2516</v>
      </c>
      <c r="G424" s="21" t="s">
        <v>2517</v>
      </c>
      <c r="H424" s="21" t="s">
        <v>3494</v>
      </c>
      <c r="I424" s="21">
        <v>50</v>
      </c>
      <c r="J424" s="89">
        <f t="shared" si="24"/>
        <v>0.11235955056179775</v>
      </c>
      <c r="K424" s="94">
        <v>1.22267944032515</v>
      </c>
      <c r="L424" s="94">
        <v>1.2228370010212899</v>
      </c>
      <c r="M424" s="89">
        <f t="shared" si="26"/>
        <v>1.22267944032515</v>
      </c>
      <c r="N424" s="89">
        <f t="shared" si="25"/>
        <v>1.1786768225987125</v>
      </c>
      <c r="O424" s="89">
        <f t="shared" si="27"/>
        <v>0.13243559804479915</v>
      </c>
    </row>
    <row r="425" spans="1:15" x14ac:dyDescent="0.2">
      <c r="A425" s="21" t="s">
        <v>1167</v>
      </c>
      <c r="B425" s="21" t="s">
        <v>416</v>
      </c>
      <c r="C425" s="21" t="s">
        <v>417</v>
      </c>
      <c r="D425" s="21" t="s">
        <v>2623</v>
      </c>
      <c r="E425" s="21" t="s">
        <v>2624</v>
      </c>
      <c r="F425" s="21" t="s">
        <v>2518</v>
      </c>
      <c r="G425" s="21" t="s">
        <v>2519</v>
      </c>
      <c r="H425" s="21" t="s">
        <v>3464</v>
      </c>
      <c r="I425" s="21">
        <v>18</v>
      </c>
      <c r="J425" s="89">
        <f t="shared" si="24"/>
        <v>4.0449438202247189E-2</v>
      </c>
      <c r="K425" s="94">
        <v>1.2084921340024699</v>
      </c>
      <c r="L425" s="94">
        <v>1.2077747715350999</v>
      </c>
      <c r="M425" s="89">
        <f t="shared" si="26"/>
        <v>1.2084921340024699</v>
      </c>
      <c r="N425" s="89">
        <f t="shared" si="25"/>
        <v>1.1650000986871663</v>
      </c>
      <c r="O425" s="89">
        <f t="shared" si="27"/>
        <v>4.712359949745841E-2</v>
      </c>
    </row>
    <row r="426" spans="1:15" x14ac:dyDescent="0.2">
      <c r="A426" s="21" t="s">
        <v>1167</v>
      </c>
      <c r="B426" s="21" t="s">
        <v>416</v>
      </c>
      <c r="C426" s="21" t="s">
        <v>417</v>
      </c>
      <c r="D426" s="21" t="s">
        <v>2625</v>
      </c>
      <c r="E426" s="21" t="s">
        <v>2626</v>
      </c>
      <c r="F426" s="21" t="s">
        <v>2520</v>
      </c>
      <c r="G426" s="21" t="s">
        <v>943</v>
      </c>
      <c r="H426" s="21" t="s">
        <v>3494</v>
      </c>
      <c r="I426" s="21">
        <v>39</v>
      </c>
      <c r="J426" s="89">
        <f t="shared" si="24"/>
        <v>8.7640449438202248E-2</v>
      </c>
      <c r="K426" s="94">
        <v>1.22265973898664</v>
      </c>
      <c r="L426" s="94">
        <v>1.22249573389281</v>
      </c>
      <c r="M426" s="89">
        <f t="shared" si="26"/>
        <v>1.22265973898664</v>
      </c>
      <c r="N426" s="89">
        <f t="shared" si="25"/>
        <v>1.1786578302853474</v>
      </c>
      <c r="O426" s="89">
        <f t="shared" si="27"/>
        <v>0.10329810198006416</v>
      </c>
    </row>
    <row r="427" spans="1:15" x14ac:dyDescent="0.2">
      <c r="A427" s="21" t="s">
        <v>3496</v>
      </c>
      <c r="B427" s="21" t="s">
        <v>545</v>
      </c>
      <c r="C427" s="21" t="s">
        <v>546</v>
      </c>
      <c r="D427" s="21" t="s">
        <v>728</v>
      </c>
      <c r="E427" s="21" t="s">
        <v>729</v>
      </c>
      <c r="F427" s="21" t="s">
        <v>2521</v>
      </c>
      <c r="G427" s="21" t="s">
        <v>2522</v>
      </c>
      <c r="H427" s="21" t="s">
        <v>3500</v>
      </c>
      <c r="I427" s="21">
        <v>52</v>
      </c>
      <c r="J427" s="89">
        <f t="shared" si="24"/>
        <v>0.83870967741935487</v>
      </c>
      <c r="K427" s="94" t="e">
        <v>#N/A</v>
      </c>
      <c r="L427" s="94">
        <v>1.0142648791905799</v>
      </c>
      <c r="M427" s="89">
        <f t="shared" si="26"/>
        <v>1.0142648791905799</v>
      </c>
      <c r="N427" s="89">
        <f t="shared" si="25"/>
        <v>0.97776282617453703</v>
      </c>
      <c r="O427" s="89">
        <f t="shared" si="27"/>
        <v>0.82005914453348272</v>
      </c>
    </row>
    <row r="428" spans="1:15" x14ac:dyDescent="0.2">
      <c r="A428" s="21" t="s">
        <v>3496</v>
      </c>
      <c r="B428" s="21" t="s">
        <v>545</v>
      </c>
      <c r="C428" s="21" t="s">
        <v>546</v>
      </c>
      <c r="D428" s="21" t="s">
        <v>2627</v>
      </c>
      <c r="E428" s="21" t="s">
        <v>2628</v>
      </c>
      <c r="F428" s="21" t="s">
        <v>2523</v>
      </c>
      <c r="G428" s="21" t="s">
        <v>2524</v>
      </c>
      <c r="H428" s="21" t="s">
        <v>187</v>
      </c>
      <c r="I428" s="21">
        <v>10</v>
      </c>
      <c r="J428" s="89">
        <f t="shared" si="24"/>
        <v>0.16129032258064516</v>
      </c>
      <c r="K428" s="94">
        <v>1.04474696282075</v>
      </c>
      <c r="L428" s="94">
        <v>1.0365561397660099</v>
      </c>
      <c r="M428" s="89">
        <f t="shared" si="26"/>
        <v>1.04474696282075</v>
      </c>
      <c r="N428" s="89">
        <f t="shared" si="25"/>
        <v>1.0071478998859609</v>
      </c>
      <c r="O428" s="89">
        <f t="shared" si="27"/>
        <v>0.16244320965902595</v>
      </c>
    </row>
    <row r="429" spans="1:15" x14ac:dyDescent="0.2">
      <c r="A429" s="21" t="s">
        <v>3528</v>
      </c>
      <c r="B429" s="21" t="s">
        <v>2341</v>
      </c>
      <c r="C429" s="21" t="s">
        <v>2342</v>
      </c>
      <c r="D429" s="21" t="s">
        <v>728</v>
      </c>
      <c r="E429" s="21" t="s">
        <v>729</v>
      </c>
      <c r="F429" s="21" t="s">
        <v>2525</v>
      </c>
      <c r="G429" s="21" t="s">
        <v>2526</v>
      </c>
      <c r="H429" s="21" t="s">
        <v>3540</v>
      </c>
      <c r="I429" s="21">
        <v>78</v>
      </c>
      <c r="J429" s="89">
        <f t="shared" si="24"/>
        <v>0.19948849104859334</v>
      </c>
      <c r="K429" s="94" t="e">
        <v>#N/A</v>
      </c>
      <c r="L429" s="94">
        <v>1.0087247255441101</v>
      </c>
      <c r="M429" s="89">
        <f t="shared" si="26"/>
        <v>1.0087247255441101</v>
      </c>
      <c r="N429" s="89">
        <f t="shared" si="25"/>
        <v>0.97242205533848436</v>
      </c>
      <c r="O429" s="89">
        <f t="shared" si="27"/>
        <v>0.19398700848184597</v>
      </c>
    </row>
    <row r="430" spans="1:15" x14ac:dyDescent="0.2">
      <c r="A430" s="21" t="s">
        <v>3528</v>
      </c>
      <c r="B430" s="21" t="s">
        <v>2341</v>
      </c>
      <c r="C430" s="21" t="s">
        <v>2342</v>
      </c>
      <c r="D430" s="21" t="s">
        <v>2629</v>
      </c>
      <c r="E430" s="21" t="s">
        <v>2630</v>
      </c>
      <c r="F430" s="21" t="s">
        <v>2527</v>
      </c>
      <c r="G430" s="21" t="s">
        <v>2528</v>
      </c>
      <c r="H430" s="21" t="s">
        <v>3540</v>
      </c>
      <c r="I430" s="21">
        <v>53</v>
      </c>
      <c r="J430" s="89">
        <f t="shared" si="24"/>
        <v>0.13554987212276215</v>
      </c>
      <c r="K430" s="94">
        <v>1.00908522781277</v>
      </c>
      <c r="L430" s="94">
        <v>1.0093909151235401</v>
      </c>
      <c r="M430" s="89">
        <f t="shared" si="26"/>
        <v>1.00908522781277</v>
      </c>
      <c r="N430" s="89">
        <f t="shared" si="25"/>
        <v>0.97276958360676924</v>
      </c>
      <c r="O430" s="89">
        <f t="shared" si="27"/>
        <v>0.13185879266281014</v>
      </c>
    </row>
    <row r="431" spans="1:15" x14ac:dyDescent="0.2">
      <c r="A431" s="21" t="s">
        <v>3528</v>
      </c>
      <c r="B431" s="21" t="s">
        <v>2341</v>
      </c>
      <c r="C431" s="21" t="s">
        <v>2342</v>
      </c>
      <c r="D431" s="21" t="s">
        <v>2631</v>
      </c>
      <c r="E431" s="21" t="s">
        <v>2632</v>
      </c>
      <c r="F431" s="21" t="s">
        <v>206</v>
      </c>
      <c r="G431" s="21" t="s">
        <v>207</v>
      </c>
      <c r="H431" s="21" t="s">
        <v>3540</v>
      </c>
      <c r="I431" s="21">
        <v>102</v>
      </c>
      <c r="J431" s="89">
        <f t="shared" si="24"/>
        <v>0.2608695652173913</v>
      </c>
      <c r="K431" s="94">
        <v>1.0072047205730501</v>
      </c>
      <c r="L431" s="94">
        <v>1.0072885508171501</v>
      </c>
      <c r="M431" s="89">
        <f t="shared" si="26"/>
        <v>1.0072047205730501</v>
      </c>
      <c r="N431" s="89">
        <f t="shared" si="25"/>
        <v>0.97095675333819331</v>
      </c>
      <c r="O431" s="89">
        <f t="shared" si="27"/>
        <v>0.25329306608822433</v>
      </c>
    </row>
    <row r="432" spans="1:15" x14ac:dyDescent="0.2">
      <c r="A432" s="21" t="s">
        <v>3528</v>
      </c>
      <c r="B432" s="21" t="s">
        <v>2341</v>
      </c>
      <c r="C432" s="21" t="s">
        <v>2342</v>
      </c>
      <c r="D432" s="21" t="s">
        <v>2633</v>
      </c>
      <c r="E432" s="21" t="s">
        <v>2634</v>
      </c>
      <c r="F432" s="21" t="s">
        <v>208</v>
      </c>
      <c r="G432" s="21" t="s">
        <v>209</v>
      </c>
      <c r="H432" s="21" t="s">
        <v>3540</v>
      </c>
      <c r="I432" s="21">
        <v>53</v>
      </c>
      <c r="J432" s="89">
        <f t="shared" si="24"/>
        <v>0.13554987212276215</v>
      </c>
      <c r="K432" s="94">
        <v>1.0077267171281501</v>
      </c>
      <c r="L432" s="94">
        <v>1.00777691555031</v>
      </c>
      <c r="M432" s="89">
        <f t="shared" si="26"/>
        <v>1.0077267171281501</v>
      </c>
      <c r="N432" s="89">
        <f t="shared" si="25"/>
        <v>0.97145996392690581</v>
      </c>
      <c r="O432" s="89">
        <f t="shared" si="27"/>
        <v>0.13168127388267523</v>
      </c>
    </row>
    <row r="433" spans="1:15" x14ac:dyDescent="0.2">
      <c r="A433" s="21" t="s">
        <v>3528</v>
      </c>
      <c r="B433" s="21" t="s">
        <v>2341</v>
      </c>
      <c r="C433" s="21" t="s">
        <v>2342</v>
      </c>
      <c r="D433" s="21" t="s">
        <v>2635</v>
      </c>
      <c r="E433" s="21" t="s">
        <v>2636</v>
      </c>
      <c r="F433" s="21" t="s">
        <v>210</v>
      </c>
      <c r="G433" s="21" t="s">
        <v>211</v>
      </c>
      <c r="H433" s="21" t="s">
        <v>3540</v>
      </c>
      <c r="I433" s="21">
        <v>51</v>
      </c>
      <c r="J433" s="89">
        <f t="shared" si="24"/>
        <v>0.13043478260869565</v>
      </c>
      <c r="K433" s="94">
        <v>1.0063089695404399</v>
      </c>
      <c r="L433" s="94">
        <v>1.0068297399229</v>
      </c>
      <c r="M433" s="89">
        <f t="shared" si="26"/>
        <v>1.0063089695404399</v>
      </c>
      <c r="N433" s="89">
        <f t="shared" si="25"/>
        <v>0.9700932392018341</v>
      </c>
      <c r="O433" s="89">
        <f t="shared" si="27"/>
        <v>0.12653390076545662</v>
      </c>
    </row>
    <row r="434" spans="1:15" x14ac:dyDescent="0.2">
      <c r="A434" s="21" t="s">
        <v>3528</v>
      </c>
      <c r="B434" s="21" t="s">
        <v>2341</v>
      </c>
      <c r="C434" s="21" t="s">
        <v>2342</v>
      </c>
      <c r="D434" s="21" t="s">
        <v>2637</v>
      </c>
      <c r="E434" s="21" t="s">
        <v>2638</v>
      </c>
      <c r="F434" s="21" t="s">
        <v>212</v>
      </c>
      <c r="G434" s="21" t="s">
        <v>213</v>
      </c>
      <c r="H434" s="21" t="s">
        <v>3540</v>
      </c>
      <c r="I434" s="21">
        <v>19</v>
      </c>
      <c r="J434" s="89">
        <f t="shared" si="24"/>
        <v>4.859335038363171E-2</v>
      </c>
      <c r="K434" s="94">
        <v>1.0096789125112</v>
      </c>
      <c r="L434" s="94">
        <v>1.0099364100764601</v>
      </c>
      <c r="M434" s="89">
        <f t="shared" si="26"/>
        <v>1.0096789125112</v>
      </c>
      <c r="N434" s="89">
        <f t="shared" si="25"/>
        <v>0.9733419023772435</v>
      </c>
      <c r="O434" s="89">
        <f t="shared" si="27"/>
        <v>4.7297944105288044E-2</v>
      </c>
    </row>
    <row r="435" spans="1:15" x14ac:dyDescent="0.2">
      <c r="A435" s="21" t="s">
        <v>3528</v>
      </c>
      <c r="B435" s="21" t="s">
        <v>2341</v>
      </c>
      <c r="C435" s="21" t="s">
        <v>2342</v>
      </c>
      <c r="D435" s="21" t="s">
        <v>2639</v>
      </c>
      <c r="E435" s="21" t="s">
        <v>2640</v>
      </c>
      <c r="F435" s="21" t="s">
        <v>214</v>
      </c>
      <c r="G435" s="21" t="s">
        <v>215</v>
      </c>
      <c r="H435" s="21" t="s">
        <v>3540</v>
      </c>
      <c r="I435" s="21">
        <v>20</v>
      </c>
      <c r="J435" s="89">
        <f t="shared" si="24"/>
        <v>5.1150895140664961E-2</v>
      </c>
      <c r="K435" s="94">
        <v>1.0073418772254199</v>
      </c>
      <c r="L435" s="94">
        <v>1.0072539104326199</v>
      </c>
      <c r="M435" s="89">
        <f t="shared" si="26"/>
        <v>1.0073418772254199</v>
      </c>
      <c r="N435" s="89">
        <f t="shared" si="25"/>
        <v>0.97108897390384752</v>
      </c>
      <c r="O435" s="89">
        <f t="shared" si="27"/>
        <v>4.9672070276411635E-2</v>
      </c>
    </row>
    <row r="436" spans="1:15" x14ac:dyDescent="0.2">
      <c r="A436" s="21" t="s">
        <v>3528</v>
      </c>
      <c r="B436" s="21" t="s">
        <v>2341</v>
      </c>
      <c r="C436" s="21" t="s">
        <v>2342</v>
      </c>
      <c r="D436" s="21" t="s">
        <v>2641</v>
      </c>
      <c r="E436" s="21" t="s">
        <v>2642</v>
      </c>
      <c r="F436" s="21" t="s">
        <v>216</v>
      </c>
      <c r="G436" s="21" t="s">
        <v>217</v>
      </c>
      <c r="H436" s="21" t="s">
        <v>3540</v>
      </c>
      <c r="I436" s="21">
        <v>15</v>
      </c>
      <c r="J436" s="89">
        <f t="shared" si="24"/>
        <v>3.8363171355498722E-2</v>
      </c>
      <c r="K436" s="94">
        <v>1.0072381122515901</v>
      </c>
      <c r="L436" s="94">
        <v>1.0072325092075201</v>
      </c>
      <c r="M436" s="89">
        <f t="shared" si="26"/>
        <v>1.0072381122515901</v>
      </c>
      <c r="N436" s="89">
        <f t="shared" si="25"/>
        <v>0.97098894329433771</v>
      </c>
      <c r="O436" s="89">
        <f t="shared" si="27"/>
        <v>3.7250215215895312E-2</v>
      </c>
    </row>
    <row r="437" spans="1:15" x14ac:dyDescent="0.2">
      <c r="A437" s="21" t="s">
        <v>3034</v>
      </c>
      <c r="B437" s="21" t="s">
        <v>361</v>
      </c>
      <c r="C437" s="21" t="s">
        <v>362</v>
      </c>
      <c r="D437" s="21" t="s">
        <v>728</v>
      </c>
      <c r="E437" s="21" t="s">
        <v>729</v>
      </c>
      <c r="F437" s="21" t="s">
        <v>218</v>
      </c>
      <c r="G437" s="21" t="s">
        <v>219</v>
      </c>
      <c r="H437" s="21" t="s">
        <v>3052</v>
      </c>
      <c r="I437" s="21">
        <v>379</v>
      </c>
      <c r="J437" s="89">
        <f t="shared" si="24"/>
        <v>0.86529680365296802</v>
      </c>
      <c r="K437" s="94" t="e">
        <v>#N/A</v>
      </c>
      <c r="L437" s="94">
        <v>0.97800971642480705</v>
      </c>
      <c r="M437" s="89">
        <f t="shared" si="26"/>
        <v>0.97800971642480705</v>
      </c>
      <c r="N437" s="89">
        <f t="shared" si="25"/>
        <v>0.94281243881855414</v>
      </c>
      <c r="O437" s="89">
        <f t="shared" si="27"/>
        <v>0.81581258975395432</v>
      </c>
    </row>
    <row r="438" spans="1:15" x14ac:dyDescent="0.2">
      <c r="A438" s="21" t="s">
        <v>3034</v>
      </c>
      <c r="B438" s="21" t="s">
        <v>361</v>
      </c>
      <c r="C438" s="21" t="s">
        <v>362</v>
      </c>
      <c r="D438" s="21" t="s">
        <v>2643</v>
      </c>
      <c r="E438" s="21" t="s">
        <v>2644</v>
      </c>
      <c r="F438" s="21" t="s">
        <v>220</v>
      </c>
      <c r="G438" s="21" t="s">
        <v>221</v>
      </c>
      <c r="H438" s="21" t="s">
        <v>3052</v>
      </c>
      <c r="I438" s="21">
        <v>59</v>
      </c>
      <c r="J438" s="89">
        <f t="shared" si="24"/>
        <v>0.13470319634703196</v>
      </c>
      <c r="K438" s="94">
        <v>0.97660172158979197</v>
      </c>
      <c r="L438" s="94">
        <v>0.97711706050621105</v>
      </c>
      <c r="M438" s="89">
        <f t="shared" si="26"/>
        <v>0.97660172158979197</v>
      </c>
      <c r="N438" s="89">
        <f t="shared" si="25"/>
        <v>0.94145511585749286</v>
      </c>
      <c r="O438" s="89">
        <f t="shared" si="27"/>
        <v>0.12681701332326958</v>
      </c>
    </row>
    <row r="439" spans="1:15" x14ac:dyDescent="0.2">
      <c r="A439" s="21" t="s">
        <v>3528</v>
      </c>
      <c r="B439" s="21" t="s">
        <v>2787</v>
      </c>
      <c r="C439" s="21" t="s">
        <v>2788</v>
      </c>
      <c r="D439" s="21" t="s">
        <v>2645</v>
      </c>
      <c r="E439" s="21" t="s">
        <v>2646</v>
      </c>
      <c r="F439" s="21" t="s">
        <v>222</v>
      </c>
      <c r="G439" s="21" t="s">
        <v>223</v>
      </c>
      <c r="H439" s="21" t="s">
        <v>3559</v>
      </c>
      <c r="I439" s="21">
        <v>24</v>
      </c>
      <c r="J439" s="89">
        <f t="shared" si="24"/>
        <v>0.1095890410958904</v>
      </c>
      <c r="K439" s="94" t="e">
        <v>#N/A</v>
      </c>
      <c r="L439" s="94">
        <v>0.989682290617516</v>
      </c>
      <c r="M439" s="89">
        <f t="shared" si="26"/>
        <v>0.989682290617516</v>
      </c>
      <c r="N439" s="89">
        <f t="shared" si="25"/>
        <v>0.95406493248717361</v>
      </c>
      <c r="O439" s="89">
        <f t="shared" si="27"/>
        <v>0.10455506109448477</v>
      </c>
    </row>
    <row r="440" spans="1:15" x14ac:dyDescent="0.2">
      <c r="A440" s="21" t="s">
        <v>3528</v>
      </c>
      <c r="B440" s="21" t="s">
        <v>2787</v>
      </c>
      <c r="C440" s="21" t="s">
        <v>2788</v>
      </c>
      <c r="D440" s="21" t="s">
        <v>2647</v>
      </c>
      <c r="E440" s="21" t="s">
        <v>2648</v>
      </c>
      <c r="F440" s="21" t="s">
        <v>222</v>
      </c>
      <c r="G440" s="21" t="s">
        <v>223</v>
      </c>
      <c r="H440" s="21" t="s">
        <v>3559</v>
      </c>
      <c r="I440" s="21">
        <v>24</v>
      </c>
      <c r="J440" s="89">
        <f t="shared" si="24"/>
        <v>0.1095890410958904</v>
      </c>
      <c r="K440" s="94" t="e">
        <v>#N/A</v>
      </c>
      <c r="L440" s="94">
        <v>0.989682290617516</v>
      </c>
      <c r="M440" s="89">
        <f t="shared" si="26"/>
        <v>0.989682290617516</v>
      </c>
      <c r="N440" s="89">
        <f t="shared" si="25"/>
        <v>0.95406493248717361</v>
      </c>
      <c r="O440" s="89">
        <f t="shared" si="27"/>
        <v>0.10455506109448477</v>
      </c>
    </row>
    <row r="441" spans="1:15" x14ac:dyDescent="0.2">
      <c r="A441" s="21" t="s">
        <v>3528</v>
      </c>
      <c r="B441" s="21" t="s">
        <v>2787</v>
      </c>
      <c r="C441" s="21" t="s">
        <v>2788</v>
      </c>
      <c r="D441" s="21" t="s">
        <v>2649</v>
      </c>
      <c r="E441" s="21" t="s">
        <v>2650</v>
      </c>
      <c r="F441" s="21" t="s">
        <v>224</v>
      </c>
      <c r="G441" s="21" t="s">
        <v>225</v>
      </c>
      <c r="H441" s="21" t="s">
        <v>3559</v>
      </c>
      <c r="I441" s="21">
        <v>24</v>
      </c>
      <c r="J441" s="89">
        <f t="shared" si="24"/>
        <v>0.1095890410958904</v>
      </c>
      <c r="K441" s="94">
        <v>0.95628957488987698</v>
      </c>
      <c r="L441" s="94">
        <v>0.95607299986296601</v>
      </c>
      <c r="M441" s="89">
        <f t="shared" si="26"/>
        <v>0.95628957488987698</v>
      </c>
      <c r="N441" s="89">
        <f t="shared" si="25"/>
        <v>0.92187397648211578</v>
      </c>
      <c r="O441" s="89">
        <f t="shared" si="27"/>
        <v>0.1010272850939305</v>
      </c>
    </row>
    <row r="442" spans="1:15" x14ac:dyDescent="0.2">
      <c r="A442" s="21" t="s">
        <v>3528</v>
      </c>
      <c r="B442" s="21" t="s">
        <v>2787</v>
      </c>
      <c r="C442" s="21" t="s">
        <v>2788</v>
      </c>
      <c r="D442" s="21" t="s">
        <v>2651</v>
      </c>
      <c r="E442" s="21" t="s">
        <v>2652</v>
      </c>
      <c r="F442" s="21" t="s">
        <v>226</v>
      </c>
      <c r="G442" s="21" t="s">
        <v>227</v>
      </c>
      <c r="H442" s="21" t="s">
        <v>3559</v>
      </c>
      <c r="I442" s="21">
        <v>38</v>
      </c>
      <c r="J442" s="89">
        <f t="shared" si="24"/>
        <v>0.17351598173515981</v>
      </c>
      <c r="K442" s="94">
        <v>0.95245930106757204</v>
      </c>
      <c r="L442" s="94">
        <v>0.95239578178822504</v>
      </c>
      <c r="M442" s="89">
        <f t="shared" si="26"/>
        <v>0.95245930106757204</v>
      </c>
      <c r="N442" s="89">
        <f t="shared" si="25"/>
        <v>0.91818154915434724</v>
      </c>
      <c r="O442" s="89">
        <f t="shared" si="27"/>
        <v>0.15931917291262646</v>
      </c>
    </row>
    <row r="443" spans="1:15" x14ac:dyDescent="0.2">
      <c r="A443" s="21" t="s">
        <v>3528</v>
      </c>
      <c r="B443" s="21" t="s">
        <v>2787</v>
      </c>
      <c r="C443" s="21" t="s">
        <v>2788</v>
      </c>
      <c r="D443" s="21" t="s">
        <v>2653</v>
      </c>
      <c r="E443" s="21" t="s">
        <v>2654</v>
      </c>
      <c r="F443" s="21" t="s">
        <v>228</v>
      </c>
      <c r="G443" s="21" t="s">
        <v>229</v>
      </c>
      <c r="H443" s="21" t="s">
        <v>3559</v>
      </c>
      <c r="I443" s="21">
        <v>29</v>
      </c>
      <c r="J443" s="89">
        <f t="shared" si="24"/>
        <v>0.13242009132420091</v>
      </c>
      <c r="K443" s="94" t="e">
        <v>#N/A</v>
      </c>
      <c r="L443" s="94">
        <v>0.95741001996913699</v>
      </c>
      <c r="M443" s="89">
        <f t="shared" si="26"/>
        <v>0.95741001996913699</v>
      </c>
      <c r="N443" s="89">
        <f t="shared" si="25"/>
        <v>0.92295409822323826</v>
      </c>
      <c r="O443" s="89">
        <f t="shared" si="27"/>
        <v>0.1222176659747667</v>
      </c>
    </row>
    <row r="444" spans="1:15" x14ac:dyDescent="0.2">
      <c r="A444" s="21" t="s">
        <v>3528</v>
      </c>
      <c r="B444" s="21" t="s">
        <v>2787</v>
      </c>
      <c r="C444" s="21" t="s">
        <v>2788</v>
      </c>
      <c r="D444" s="21" t="s">
        <v>2655</v>
      </c>
      <c r="E444" s="21" t="s">
        <v>2656</v>
      </c>
      <c r="F444" s="21" t="s">
        <v>230</v>
      </c>
      <c r="G444" s="21" t="s">
        <v>225</v>
      </c>
      <c r="H444" s="21" t="s">
        <v>3559</v>
      </c>
      <c r="I444" s="21">
        <v>26</v>
      </c>
      <c r="J444" s="89">
        <f t="shared" si="24"/>
        <v>0.11872146118721461</v>
      </c>
      <c r="K444" s="94">
        <v>0.95618967286580603</v>
      </c>
      <c r="L444" s="94">
        <v>0.95607299986296601</v>
      </c>
      <c r="M444" s="89">
        <f t="shared" si="26"/>
        <v>0.95618967286580603</v>
      </c>
      <c r="N444" s="89">
        <f t="shared" si="25"/>
        <v>0.92177766979990661</v>
      </c>
      <c r="O444" s="89">
        <f t="shared" si="27"/>
        <v>0.10943479184839074</v>
      </c>
    </row>
    <row r="445" spans="1:15" x14ac:dyDescent="0.2">
      <c r="A445" s="21" t="s">
        <v>3528</v>
      </c>
      <c r="B445" s="21" t="s">
        <v>2787</v>
      </c>
      <c r="C445" s="21" t="s">
        <v>2788</v>
      </c>
      <c r="D445" s="21" t="s">
        <v>2657</v>
      </c>
      <c r="E445" s="21" t="s">
        <v>2658</v>
      </c>
      <c r="F445" s="21" t="s">
        <v>231</v>
      </c>
      <c r="G445" s="21" t="s">
        <v>227</v>
      </c>
      <c r="H445" s="21" t="s">
        <v>3559</v>
      </c>
      <c r="I445" s="21">
        <v>44</v>
      </c>
      <c r="J445" s="89">
        <f t="shared" si="24"/>
        <v>0.20091324200913241</v>
      </c>
      <c r="K445" s="94">
        <v>0.952472360274634</v>
      </c>
      <c r="L445" s="94">
        <v>0.95239578178822504</v>
      </c>
      <c r="M445" s="89">
        <f t="shared" si="26"/>
        <v>0.952472360274634</v>
      </c>
      <c r="N445" s="89">
        <f t="shared" si="25"/>
        <v>0.91819413837780006</v>
      </c>
      <c r="O445" s="89">
        <f t="shared" si="27"/>
        <v>0.18447736113526575</v>
      </c>
    </row>
    <row r="446" spans="1:15" x14ac:dyDescent="0.2">
      <c r="A446" s="21" t="s">
        <v>3528</v>
      </c>
      <c r="B446" s="21" t="s">
        <v>2787</v>
      </c>
      <c r="C446" s="21" t="s">
        <v>2788</v>
      </c>
      <c r="D446" s="21" t="s">
        <v>2659</v>
      </c>
      <c r="E446" s="21" t="s">
        <v>2660</v>
      </c>
      <c r="F446" s="21" t="s">
        <v>232</v>
      </c>
      <c r="G446" s="21" t="s">
        <v>233</v>
      </c>
      <c r="H446" s="21" t="s">
        <v>3559</v>
      </c>
      <c r="I446" s="21">
        <v>10</v>
      </c>
      <c r="J446" s="89">
        <f t="shared" si="24"/>
        <v>4.5662100456621002E-2</v>
      </c>
      <c r="K446" s="94">
        <v>0.95331638621314496</v>
      </c>
      <c r="L446" s="94">
        <v>0.95255817743926297</v>
      </c>
      <c r="M446" s="89">
        <f t="shared" si="26"/>
        <v>0.95331638621314496</v>
      </c>
      <c r="N446" s="89">
        <f t="shared" si="25"/>
        <v>0.9190077889378605</v>
      </c>
      <c r="O446" s="89">
        <f t="shared" si="27"/>
        <v>4.1963825978897737E-2</v>
      </c>
    </row>
    <row r="447" spans="1:15" x14ac:dyDescent="0.2">
      <c r="A447" s="21" t="s">
        <v>3069</v>
      </c>
      <c r="B447" s="21" t="s">
        <v>3680</v>
      </c>
      <c r="C447" s="21" t="s">
        <v>3681</v>
      </c>
      <c r="D447" s="21" t="s">
        <v>728</v>
      </c>
      <c r="E447" s="21" t="s">
        <v>729</v>
      </c>
      <c r="F447" s="21" t="s">
        <v>234</v>
      </c>
      <c r="G447" s="21" t="s">
        <v>235</v>
      </c>
      <c r="H447" s="21" t="s">
        <v>2118</v>
      </c>
      <c r="I447" s="21">
        <v>415</v>
      </c>
      <c r="J447" s="89">
        <f t="shared" si="24"/>
        <v>0.34583333333333333</v>
      </c>
      <c r="K447" s="94" t="e">
        <v>#N/A</v>
      </c>
      <c r="L447" s="94">
        <v>0.96958281537998703</v>
      </c>
      <c r="M447" s="89">
        <f t="shared" si="26"/>
        <v>0.96958281537998703</v>
      </c>
      <c r="N447" s="89">
        <f t="shared" si="25"/>
        <v>0.93468881080922017</v>
      </c>
      <c r="O447" s="89">
        <f t="shared" si="27"/>
        <v>0.32324654707152195</v>
      </c>
    </row>
    <row r="448" spans="1:15" x14ac:dyDescent="0.2">
      <c r="A448" s="21" t="s">
        <v>3069</v>
      </c>
      <c r="B448" s="21" t="s">
        <v>3680</v>
      </c>
      <c r="C448" s="21" t="s">
        <v>3681</v>
      </c>
      <c r="D448" s="21" t="s">
        <v>2661</v>
      </c>
      <c r="E448" s="21" t="s">
        <v>2662</v>
      </c>
      <c r="F448" s="21" t="s">
        <v>236</v>
      </c>
      <c r="G448" s="21" t="s">
        <v>237</v>
      </c>
      <c r="H448" s="21" t="s">
        <v>3638</v>
      </c>
      <c r="I448" s="21">
        <v>369</v>
      </c>
      <c r="J448" s="89">
        <f t="shared" si="24"/>
        <v>0.3075</v>
      </c>
      <c r="K448" s="94">
        <v>0.95788238305963203</v>
      </c>
      <c r="L448" s="94">
        <v>0.95830719551565502</v>
      </c>
      <c r="M448" s="89">
        <f t="shared" si="26"/>
        <v>0.95788238305963203</v>
      </c>
      <c r="N448" s="89">
        <f t="shared" si="25"/>
        <v>0.92340946159016413</v>
      </c>
      <c r="O448" s="89">
        <f t="shared" si="27"/>
        <v>0.28394840943897548</v>
      </c>
    </row>
    <row r="449" spans="1:15" x14ac:dyDescent="0.2">
      <c r="A449" s="21" t="s">
        <v>3069</v>
      </c>
      <c r="B449" s="21" t="s">
        <v>3680</v>
      </c>
      <c r="C449" s="21" t="s">
        <v>3681</v>
      </c>
      <c r="D449" s="21" t="s">
        <v>2663</v>
      </c>
      <c r="E449" s="21" t="s">
        <v>2664</v>
      </c>
      <c r="F449" s="21" t="s">
        <v>238</v>
      </c>
      <c r="G449" s="21" t="s">
        <v>239</v>
      </c>
      <c r="H449" s="21" t="s">
        <v>2122</v>
      </c>
      <c r="I449" s="21">
        <v>86</v>
      </c>
      <c r="J449" s="89">
        <f t="shared" si="24"/>
        <v>7.166666666666667E-2</v>
      </c>
      <c r="K449" s="94">
        <v>0.98089317360314898</v>
      </c>
      <c r="L449" s="94">
        <v>0.980909783516139</v>
      </c>
      <c r="M449" s="89">
        <f t="shared" si="26"/>
        <v>0.98089317360314898</v>
      </c>
      <c r="N449" s="89">
        <f t="shared" si="25"/>
        <v>0.94559212418249861</v>
      </c>
      <c r="O449" s="89">
        <f t="shared" si="27"/>
        <v>6.7767435566412404E-2</v>
      </c>
    </row>
    <row r="450" spans="1:15" x14ac:dyDescent="0.2">
      <c r="A450" s="21" t="s">
        <v>3069</v>
      </c>
      <c r="B450" s="21" t="s">
        <v>3680</v>
      </c>
      <c r="C450" s="21" t="s">
        <v>3681</v>
      </c>
      <c r="D450" s="21" t="s">
        <v>2665</v>
      </c>
      <c r="E450" s="21" t="s">
        <v>2666</v>
      </c>
      <c r="F450" s="21" t="s">
        <v>240</v>
      </c>
      <c r="G450" s="21" t="s">
        <v>1028</v>
      </c>
      <c r="H450" s="21" t="s">
        <v>2130</v>
      </c>
      <c r="I450" s="21">
        <v>59</v>
      </c>
      <c r="J450" s="89">
        <f t="shared" ref="J450:J513" si="28">I450/SUMIF(B:B,B450,I:I)</f>
        <v>4.9166666666666664E-2</v>
      </c>
      <c r="K450" s="94">
        <v>0.96268737540470894</v>
      </c>
      <c r="L450" s="94">
        <v>0.96248249860972801</v>
      </c>
      <c r="M450" s="89">
        <f t="shared" si="26"/>
        <v>0.96268737540470894</v>
      </c>
      <c r="N450" s="89">
        <f t="shared" ref="N450:N513" si="29">M450/M$757</f>
        <v>0.92804152860880995</v>
      </c>
      <c r="O450" s="89">
        <f t="shared" si="27"/>
        <v>4.5628708489933154E-2</v>
      </c>
    </row>
    <row r="451" spans="1:15" x14ac:dyDescent="0.2">
      <c r="A451" s="21" t="s">
        <v>3069</v>
      </c>
      <c r="B451" s="21" t="s">
        <v>3680</v>
      </c>
      <c r="C451" s="21" t="s">
        <v>3681</v>
      </c>
      <c r="D451" s="21" t="s">
        <v>2667</v>
      </c>
      <c r="E451" s="21" t="s">
        <v>2668</v>
      </c>
      <c r="F451" s="21" t="s">
        <v>241</v>
      </c>
      <c r="G451" s="21" t="s">
        <v>242</v>
      </c>
      <c r="H451" s="21" t="s">
        <v>2118</v>
      </c>
      <c r="I451" s="21">
        <v>72</v>
      </c>
      <c r="J451" s="89">
        <f t="shared" si="28"/>
        <v>0.06</v>
      </c>
      <c r="K451" s="94">
        <v>0.969811479602399</v>
      </c>
      <c r="L451" s="94">
        <v>0.97021234250143196</v>
      </c>
      <c r="M451" s="89">
        <f t="shared" ref="M451:M514" si="30">IF(ISNA(K451),L451,K451)</f>
        <v>0.969811479602399</v>
      </c>
      <c r="N451" s="89">
        <f t="shared" si="29"/>
        <v>0.93490924570836498</v>
      </c>
      <c r="O451" s="89">
        <f t="shared" ref="O451:O514" si="31">N451*J451</f>
        <v>5.6094554742501898E-2</v>
      </c>
    </row>
    <row r="452" spans="1:15" x14ac:dyDescent="0.2">
      <c r="A452" s="21" t="s">
        <v>3069</v>
      </c>
      <c r="B452" s="21" t="s">
        <v>3680</v>
      </c>
      <c r="C452" s="21" t="s">
        <v>3681</v>
      </c>
      <c r="D452" s="21" t="s">
        <v>2669</v>
      </c>
      <c r="E452" s="21" t="s">
        <v>2670</v>
      </c>
      <c r="F452" s="21" t="s">
        <v>243</v>
      </c>
      <c r="G452" s="21" t="s">
        <v>244</v>
      </c>
      <c r="H452" s="21" t="s">
        <v>2118</v>
      </c>
      <c r="I452" s="21">
        <v>83</v>
      </c>
      <c r="J452" s="89">
        <f t="shared" si="28"/>
        <v>6.9166666666666668E-2</v>
      </c>
      <c r="K452" s="94">
        <v>0.96865453850067895</v>
      </c>
      <c r="L452" s="94">
        <v>0.968357202186515</v>
      </c>
      <c r="M452" s="89">
        <f t="shared" si="30"/>
        <v>0.96865453850067895</v>
      </c>
      <c r="N452" s="89">
        <f t="shared" si="29"/>
        <v>0.93379394138841454</v>
      </c>
      <c r="O452" s="89">
        <f t="shared" si="31"/>
        <v>6.4587414279365346E-2</v>
      </c>
    </row>
    <row r="453" spans="1:15" x14ac:dyDescent="0.2">
      <c r="A453" s="21" t="s">
        <v>3069</v>
      </c>
      <c r="B453" s="21" t="s">
        <v>3680</v>
      </c>
      <c r="C453" s="21" t="s">
        <v>3681</v>
      </c>
      <c r="D453" s="21" t="s">
        <v>2671</v>
      </c>
      <c r="E453" s="21" t="s">
        <v>2672</v>
      </c>
      <c r="F453" s="21" t="s">
        <v>245</v>
      </c>
      <c r="G453" s="21" t="s">
        <v>235</v>
      </c>
      <c r="H453" s="21" t="s">
        <v>2118</v>
      </c>
      <c r="I453" s="21">
        <v>12</v>
      </c>
      <c r="J453" s="89">
        <f t="shared" si="28"/>
        <v>0.01</v>
      </c>
      <c r="K453" s="94">
        <v>0.97002643941446298</v>
      </c>
      <c r="L453" s="94">
        <v>0.96958281537998703</v>
      </c>
      <c r="M453" s="89">
        <f t="shared" si="30"/>
        <v>0.97002643941446298</v>
      </c>
      <c r="N453" s="89">
        <f t="shared" si="29"/>
        <v>0.93511646940078486</v>
      </c>
      <c r="O453" s="89">
        <f t="shared" si="31"/>
        <v>9.3511646940078481E-3</v>
      </c>
    </row>
    <row r="454" spans="1:15" x14ac:dyDescent="0.2">
      <c r="A454" s="21" t="s">
        <v>3069</v>
      </c>
      <c r="B454" s="21" t="s">
        <v>3680</v>
      </c>
      <c r="C454" s="21" t="s">
        <v>3681</v>
      </c>
      <c r="D454" s="21" t="s">
        <v>2673</v>
      </c>
      <c r="E454" s="21" t="s">
        <v>2674</v>
      </c>
      <c r="F454" s="21" t="s">
        <v>246</v>
      </c>
      <c r="G454" s="21" t="s">
        <v>247</v>
      </c>
      <c r="H454" s="21" t="s">
        <v>2130</v>
      </c>
      <c r="I454" s="21">
        <v>12</v>
      </c>
      <c r="J454" s="89">
        <f t="shared" si="28"/>
        <v>0.01</v>
      </c>
      <c r="K454" s="94">
        <v>0.96945199339064902</v>
      </c>
      <c r="L454" s="94">
        <v>0.96962169737716597</v>
      </c>
      <c r="M454" s="89">
        <f t="shared" si="30"/>
        <v>0.96945199339064902</v>
      </c>
      <c r="N454" s="89">
        <f t="shared" si="29"/>
        <v>0.93456269693044425</v>
      </c>
      <c r="O454" s="89">
        <f t="shared" si="31"/>
        <v>9.3456269693044432E-3</v>
      </c>
    </row>
    <row r="455" spans="1:15" x14ac:dyDescent="0.2">
      <c r="A455" s="21" t="s">
        <v>3069</v>
      </c>
      <c r="B455" s="21" t="s">
        <v>3680</v>
      </c>
      <c r="C455" s="21" t="s">
        <v>3681</v>
      </c>
      <c r="D455" s="21" t="s">
        <v>2675</v>
      </c>
      <c r="E455" s="21" t="s">
        <v>2676</v>
      </c>
      <c r="F455" s="21" t="s">
        <v>248</v>
      </c>
      <c r="G455" s="21" t="s">
        <v>249</v>
      </c>
      <c r="H455" s="21" t="s">
        <v>3066</v>
      </c>
      <c r="I455" s="21">
        <v>60</v>
      </c>
      <c r="J455" s="89">
        <f t="shared" si="28"/>
        <v>0.05</v>
      </c>
      <c r="K455" s="94">
        <v>0.96035142147319397</v>
      </c>
      <c r="L455" s="94">
        <v>0.96075845328251097</v>
      </c>
      <c r="M455" s="89">
        <f t="shared" si="30"/>
        <v>0.96035142147319397</v>
      </c>
      <c r="N455" s="89">
        <f t="shared" si="29"/>
        <v>0.92578964257316776</v>
      </c>
      <c r="O455" s="89">
        <f t="shared" si="31"/>
        <v>4.6289482128658389E-2</v>
      </c>
    </row>
    <row r="456" spans="1:15" x14ac:dyDescent="0.2">
      <c r="A456" s="21" t="s">
        <v>3069</v>
      </c>
      <c r="B456" s="21" t="s">
        <v>3680</v>
      </c>
      <c r="C456" s="21" t="s">
        <v>3681</v>
      </c>
      <c r="D456" s="21" t="s">
        <v>2677</v>
      </c>
      <c r="E456" s="21" t="s">
        <v>2678</v>
      </c>
      <c r="F456" s="21" t="s">
        <v>250</v>
      </c>
      <c r="G456" s="21" t="s">
        <v>251</v>
      </c>
      <c r="H456" s="21" t="s">
        <v>2118</v>
      </c>
      <c r="I456" s="21">
        <v>20</v>
      </c>
      <c r="J456" s="89">
        <f t="shared" si="28"/>
        <v>1.6666666666666666E-2</v>
      </c>
      <c r="K456" s="94" t="e">
        <v>#N/A</v>
      </c>
      <c r="L456" s="94">
        <v>0.97044124527583997</v>
      </c>
      <c r="M456" s="89">
        <f t="shared" si="30"/>
        <v>0.97044124527583997</v>
      </c>
      <c r="N456" s="89">
        <f t="shared" si="29"/>
        <v>0.93551634694722752</v>
      </c>
      <c r="O456" s="89">
        <f t="shared" si="31"/>
        <v>1.5591939115787126E-2</v>
      </c>
    </row>
    <row r="457" spans="1:15" x14ac:dyDescent="0.2">
      <c r="A457" s="21" t="s">
        <v>3069</v>
      </c>
      <c r="B457" s="21" t="s">
        <v>3680</v>
      </c>
      <c r="C457" s="21" t="s">
        <v>3681</v>
      </c>
      <c r="D457" s="21" t="s">
        <v>2679</v>
      </c>
      <c r="E457" s="21" t="s">
        <v>2680</v>
      </c>
      <c r="F457" s="21" t="s">
        <v>252</v>
      </c>
      <c r="G457" s="21" t="s">
        <v>253</v>
      </c>
      <c r="H457" s="21" t="s">
        <v>2130</v>
      </c>
      <c r="I457" s="21">
        <v>12</v>
      </c>
      <c r="J457" s="89">
        <f t="shared" si="28"/>
        <v>0.01</v>
      </c>
      <c r="K457" s="94">
        <v>0.97202026110932804</v>
      </c>
      <c r="L457" s="94">
        <v>0.97203998165842498</v>
      </c>
      <c r="M457" s="89">
        <f t="shared" si="30"/>
        <v>0.97202026110932804</v>
      </c>
      <c r="N457" s="89">
        <f t="shared" si="29"/>
        <v>0.93703853608696952</v>
      </c>
      <c r="O457" s="89">
        <f t="shared" si="31"/>
        <v>9.3703853608696954E-3</v>
      </c>
    </row>
    <row r="458" spans="1:15" x14ac:dyDescent="0.2">
      <c r="A458" s="21" t="s">
        <v>191</v>
      </c>
      <c r="B458" s="21" t="s">
        <v>3686</v>
      </c>
      <c r="C458" s="21" t="s">
        <v>3687</v>
      </c>
      <c r="D458" s="21" t="s">
        <v>2681</v>
      </c>
      <c r="E458" s="21" t="s">
        <v>2682</v>
      </c>
      <c r="F458" s="21" t="s">
        <v>254</v>
      </c>
      <c r="G458" s="21" t="s">
        <v>1065</v>
      </c>
      <c r="H458" s="21" t="s">
        <v>201</v>
      </c>
      <c r="I458" s="21">
        <v>3</v>
      </c>
      <c r="J458" s="89">
        <f t="shared" si="28"/>
        <v>0.05</v>
      </c>
      <c r="K458" s="94">
        <v>1.0793631596308</v>
      </c>
      <c r="L458" s="94">
        <v>1.0768447113383199</v>
      </c>
      <c r="M458" s="89">
        <f t="shared" si="30"/>
        <v>1.0793631596308</v>
      </c>
      <c r="N458" s="89">
        <f t="shared" si="29"/>
        <v>1.0405183055056637</v>
      </c>
      <c r="O458" s="89">
        <f t="shared" si="31"/>
        <v>5.2025915275283191E-2</v>
      </c>
    </row>
    <row r="459" spans="1:15" x14ac:dyDescent="0.2">
      <c r="A459" s="21" t="s">
        <v>191</v>
      </c>
      <c r="B459" s="21" t="s">
        <v>3686</v>
      </c>
      <c r="C459" s="21" t="s">
        <v>3687</v>
      </c>
      <c r="D459" s="21" t="s">
        <v>2683</v>
      </c>
      <c r="E459" s="21" t="s">
        <v>2684</v>
      </c>
      <c r="F459" s="21" t="s">
        <v>255</v>
      </c>
      <c r="G459" s="21" t="s">
        <v>16</v>
      </c>
      <c r="H459" s="21" t="s">
        <v>201</v>
      </c>
      <c r="I459" s="21">
        <v>5</v>
      </c>
      <c r="J459" s="89">
        <f t="shared" si="28"/>
        <v>8.3333333333333329E-2</v>
      </c>
      <c r="K459" s="94">
        <v>1.0752596189808501</v>
      </c>
      <c r="L459" s="94">
        <v>1.0766747883982299</v>
      </c>
      <c r="M459" s="89">
        <f t="shared" si="30"/>
        <v>1.0752596189808501</v>
      </c>
      <c r="N459" s="89">
        <f t="shared" si="29"/>
        <v>1.0365624458623535</v>
      </c>
      <c r="O459" s="89">
        <f t="shared" si="31"/>
        <v>8.6380203821862789E-2</v>
      </c>
    </row>
    <row r="460" spans="1:15" x14ac:dyDescent="0.2">
      <c r="A460" s="21" t="s">
        <v>191</v>
      </c>
      <c r="B460" s="21" t="s">
        <v>3686</v>
      </c>
      <c r="C460" s="21" t="s">
        <v>3687</v>
      </c>
      <c r="D460" s="21" t="s">
        <v>2685</v>
      </c>
      <c r="E460" s="21" t="s">
        <v>2686</v>
      </c>
      <c r="F460" s="21" t="s">
        <v>256</v>
      </c>
      <c r="G460" s="21" t="s">
        <v>257</v>
      </c>
      <c r="H460" s="21" t="s">
        <v>196</v>
      </c>
      <c r="I460" s="21">
        <v>10</v>
      </c>
      <c r="J460" s="89">
        <f t="shared" si="28"/>
        <v>0.16666666666666666</v>
      </c>
      <c r="K460" s="94">
        <v>1.1635199497631199</v>
      </c>
      <c r="L460" s="94">
        <v>1.16159189420928</v>
      </c>
      <c r="M460" s="89">
        <f t="shared" si="30"/>
        <v>1.1635199497631199</v>
      </c>
      <c r="N460" s="89">
        <f t="shared" si="29"/>
        <v>1.1216464039440335</v>
      </c>
      <c r="O460" s="89">
        <f t="shared" si="31"/>
        <v>0.18694106732400556</v>
      </c>
    </row>
    <row r="461" spans="1:15" x14ac:dyDescent="0.2">
      <c r="A461" s="21" t="s">
        <v>191</v>
      </c>
      <c r="B461" s="21" t="s">
        <v>3686</v>
      </c>
      <c r="C461" s="21" t="s">
        <v>3687</v>
      </c>
      <c r="D461" s="21" t="s">
        <v>2687</v>
      </c>
      <c r="E461" s="21" t="s">
        <v>2688</v>
      </c>
      <c r="F461" s="21" t="s">
        <v>254</v>
      </c>
      <c r="G461" s="21" t="s">
        <v>1065</v>
      </c>
      <c r="H461" s="21" t="s">
        <v>201</v>
      </c>
      <c r="I461" s="21">
        <v>7</v>
      </c>
      <c r="J461" s="89">
        <f t="shared" si="28"/>
        <v>0.11666666666666667</v>
      </c>
      <c r="K461" s="94">
        <v>1.0793631596308</v>
      </c>
      <c r="L461" s="94">
        <v>1.0768447113383199</v>
      </c>
      <c r="M461" s="89">
        <f t="shared" si="30"/>
        <v>1.0793631596308</v>
      </c>
      <c r="N461" s="89">
        <f t="shared" si="29"/>
        <v>1.0405183055056637</v>
      </c>
      <c r="O461" s="89">
        <f t="shared" si="31"/>
        <v>0.1213938023089941</v>
      </c>
    </row>
    <row r="462" spans="1:15" x14ac:dyDescent="0.2">
      <c r="A462" s="21" t="s">
        <v>191</v>
      </c>
      <c r="B462" s="21" t="s">
        <v>3686</v>
      </c>
      <c r="C462" s="21" t="s">
        <v>3687</v>
      </c>
      <c r="D462" s="21" t="s">
        <v>2689</v>
      </c>
      <c r="E462" s="21" t="s">
        <v>2690</v>
      </c>
      <c r="F462" s="21" t="s">
        <v>254</v>
      </c>
      <c r="G462" s="21" t="s">
        <v>1065</v>
      </c>
      <c r="H462" s="21" t="s">
        <v>201</v>
      </c>
      <c r="I462" s="21">
        <v>7</v>
      </c>
      <c r="J462" s="89">
        <f t="shared" si="28"/>
        <v>0.11666666666666667</v>
      </c>
      <c r="K462" s="94">
        <v>1.0793631596308</v>
      </c>
      <c r="L462" s="94">
        <v>1.0768447113383199</v>
      </c>
      <c r="M462" s="89">
        <f t="shared" si="30"/>
        <v>1.0793631596308</v>
      </c>
      <c r="N462" s="89">
        <f t="shared" si="29"/>
        <v>1.0405183055056637</v>
      </c>
      <c r="O462" s="89">
        <f t="shared" si="31"/>
        <v>0.1213938023089941</v>
      </c>
    </row>
    <row r="463" spans="1:15" x14ac:dyDescent="0.2">
      <c r="A463" s="21" t="s">
        <v>191</v>
      </c>
      <c r="B463" s="21" t="s">
        <v>3686</v>
      </c>
      <c r="C463" s="21" t="s">
        <v>3687</v>
      </c>
      <c r="D463" s="21" t="s">
        <v>2691</v>
      </c>
      <c r="E463" s="21" t="s">
        <v>2692</v>
      </c>
      <c r="F463" s="21" t="s">
        <v>258</v>
      </c>
      <c r="G463" s="21" t="s">
        <v>259</v>
      </c>
      <c r="H463" s="21" t="s">
        <v>3532</v>
      </c>
      <c r="I463" s="21">
        <v>7</v>
      </c>
      <c r="J463" s="89">
        <f t="shared" si="28"/>
        <v>0.11666666666666667</v>
      </c>
      <c r="K463" s="94">
        <v>1.04773908696252</v>
      </c>
      <c r="L463" s="94">
        <v>1.0376195171240501</v>
      </c>
      <c r="M463" s="89">
        <f t="shared" si="30"/>
        <v>1.04773908696252</v>
      </c>
      <c r="N463" s="89">
        <f t="shared" si="29"/>
        <v>1.010032341432884</v>
      </c>
      <c r="O463" s="89">
        <f t="shared" si="31"/>
        <v>0.11783710650050314</v>
      </c>
    </row>
    <row r="464" spans="1:15" x14ac:dyDescent="0.2">
      <c r="A464" s="21" t="s">
        <v>191</v>
      </c>
      <c r="B464" s="21" t="s">
        <v>3686</v>
      </c>
      <c r="C464" s="21" t="s">
        <v>3687</v>
      </c>
      <c r="D464" s="21" t="s">
        <v>2693</v>
      </c>
      <c r="E464" s="21" t="s">
        <v>2694</v>
      </c>
      <c r="F464" s="21" t="s">
        <v>260</v>
      </c>
      <c r="G464" s="21" t="s">
        <v>261</v>
      </c>
      <c r="H464" s="21" t="s">
        <v>3544</v>
      </c>
      <c r="I464" s="21">
        <v>6</v>
      </c>
      <c r="J464" s="89">
        <f t="shared" si="28"/>
        <v>0.1</v>
      </c>
      <c r="K464" s="94">
        <v>1.0649446652091099</v>
      </c>
      <c r="L464" s="94">
        <v>1.0650141327822999</v>
      </c>
      <c r="M464" s="89">
        <f t="shared" si="30"/>
        <v>1.0649446652091099</v>
      </c>
      <c r="N464" s="89">
        <f t="shared" si="29"/>
        <v>1.0266187136493587</v>
      </c>
      <c r="O464" s="89">
        <f t="shared" si="31"/>
        <v>0.10266187136493587</v>
      </c>
    </row>
    <row r="465" spans="1:15" x14ac:dyDescent="0.2">
      <c r="A465" s="21" t="s">
        <v>191</v>
      </c>
      <c r="B465" s="21" t="s">
        <v>3686</v>
      </c>
      <c r="C465" s="21" t="s">
        <v>3687</v>
      </c>
      <c r="D465" s="21" t="s">
        <v>2695</v>
      </c>
      <c r="E465" s="21" t="s">
        <v>2696</v>
      </c>
      <c r="F465" s="21" t="s">
        <v>262</v>
      </c>
      <c r="G465" s="21" t="s">
        <v>263</v>
      </c>
      <c r="H465" s="21" t="s">
        <v>3532</v>
      </c>
      <c r="I465" s="21">
        <v>9</v>
      </c>
      <c r="J465" s="89">
        <f t="shared" si="28"/>
        <v>0.15</v>
      </c>
      <c r="K465" s="94">
        <v>1.0606431597829999</v>
      </c>
      <c r="L465" s="94">
        <v>1.06079814587166</v>
      </c>
      <c r="M465" s="89">
        <f t="shared" si="30"/>
        <v>1.0606431597829999</v>
      </c>
      <c r="N465" s="89">
        <f t="shared" si="29"/>
        <v>1.0224720137206431</v>
      </c>
      <c r="O465" s="89">
        <f t="shared" si="31"/>
        <v>0.15337080205809647</v>
      </c>
    </row>
    <row r="466" spans="1:15" x14ac:dyDescent="0.2">
      <c r="A466" s="21" t="s">
        <v>191</v>
      </c>
      <c r="B466" s="21" t="s">
        <v>3686</v>
      </c>
      <c r="C466" s="21" t="s">
        <v>3687</v>
      </c>
      <c r="D466" s="21" t="s">
        <v>2697</v>
      </c>
      <c r="E466" s="21" t="s">
        <v>2698</v>
      </c>
      <c r="F466" s="21" t="s">
        <v>264</v>
      </c>
      <c r="G466" s="21" t="s">
        <v>265</v>
      </c>
      <c r="H466" s="21" t="s">
        <v>3532</v>
      </c>
      <c r="I466" s="21">
        <v>6</v>
      </c>
      <c r="J466" s="89">
        <f t="shared" si="28"/>
        <v>0.1</v>
      </c>
      <c r="K466" s="94">
        <v>1.06397367769134</v>
      </c>
      <c r="L466" s="94">
        <v>1.06288422410202</v>
      </c>
      <c r="M466" s="89">
        <f t="shared" si="30"/>
        <v>1.06397367769134</v>
      </c>
      <c r="N466" s="89">
        <f t="shared" si="29"/>
        <v>1.0256826706895428</v>
      </c>
      <c r="O466" s="89">
        <f t="shared" si="31"/>
        <v>0.10256826706895428</v>
      </c>
    </row>
    <row r="467" spans="1:15" x14ac:dyDescent="0.2">
      <c r="A467" s="21" t="s">
        <v>2975</v>
      </c>
      <c r="B467" s="21" t="s">
        <v>2300</v>
      </c>
      <c r="C467" s="21" t="s">
        <v>2699</v>
      </c>
      <c r="D467" s="21" t="s">
        <v>2700</v>
      </c>
      <c r="E467" s="21" t="s">
        <v>2701</v>
      </c>
      <c r="F467" s="21" t="s">
        <v>266</v>
      </c>
      <c r="G467" s="21" t="s">
        <v>267</v>
      </c>
      <c r="H467" s="21" t="s">
        <v>2984</v>
      </c>
      <c r="I467" s="21">
        <v>195</v>
      </c>
      <c r="J467" s="89">
        <f t="shared" si="28"/>
        <v>0.89861751152073732</v>
      </c>
      <c r="K467" s="94">
        <v>0.95993884917790995</v>
      </c>
      <c r="L467" s="94">
        <v>0.95951238410891204</v>
      </c>
      <c r="M467" s="89">
        <f t="shared" si="30"/>
        <v>0.95993884917790995</v>
      </c>
      <c r="N467" s="89">
        <f t="shared" si="29"/>
        <v>0.92539191820972511</v>
      </c>
      <c r="O467" s="89">
        <f t="shared" si="31"/>
        <v>0.83157338272302483</v>
      </c>
    </row>
    <row r="468" spans="1:15" x14ac:dyDescent="0.2">
      <c r="A468" s="21" t="s">
        <v>2975</v>
      </c>
      <c r="B468" s="21" t="s">
        <v>2300</v>
      </c>
      <c r="C468" s="21" t="s">
        <v>2699</v>
      </c>
      <c r="D468" s="21" t="s">
        <v>2702</v>
      </c>
      <c r="E468" s="21" t="s">
        <v>2703</v>
      </c>
      <c r="F468" s="21" t="s">
        <v>268</v>
      </c>
      <c r="G468" s="21" t="s">
        <v>269</v>
      </c>
      <c r="H468" s="21" t="s">
        <v>3605</v>
      </c>
      <c r="I468" s="21">
        <v>21</v>
      </c>
      <c r="J468" s="89">
        <f t="shared" si="28"/>
        <v>9.6774193548387094E-2</v>
      </c>
      <c r="K468" s="94">
        <v>0.98447145075748799</v>
      </c>
      <c r="L468" s="94">
        <v>0.98435490188930197</v>
      </c>
      <c r="M468" s="89">
        <f t="shared" si="30"/>
        <v>0.98447145075748799</v>
      </c>
      <c r="N468" s="89">
        <f t="shared" si="29"/>
        <v>0.94904162386945845</v>
      </c>
      <c r="O468" s="89">
        <f t="shared" si="31"/>
        <v>9.184273779381856E-2</v>
      </c>
    </row>
    <row r="469" spans="1:15" x14ac:dyDescent="0.2">
      <c r="A469" s="21" t="s">
        <v>2975</v>
      </c>
      <c r="B469" s="21" t="s">
        <v>2300</v>
      </c>
      <c r="C469" s="21" t="s">
        <v>2699</v>
      </c>
      <c r="D469" s="21" t="s">
        <v>2704</v>
      </c>
      <c r="E469" s="21" t="s">
        <v>2705</v>
      </c>
      <c r="F469" s="21" t="s">
        <v>270</v>
      </c>
      <c r="G469" s="21" t="s">
        <v>271</v>
      </c>
      <c r="H469" s="21" t="s">
        <v>2984</v>
      </c>
      <c r="I469" s="21">
        <v>1</v>
      </c>
      <c r="J469" s="89">
        <f t="shared" si="28"/>
        <v>4.608294930875576E-3</v>
      </c>
      <c r="K469" s="94">
        <v>0.95931316899845198</v>
      </c>
      <c r="L469" s="94">
        <v>0.95867964269137396</v>
      </c>
      <c r="M469" s="89">
        <f t="shared" si="30"/>
        <v>0.95931316899845198</v>
      </c>
      <c r="N469" s="89">
        <f t="shared" si="29"/>
        <v>0.92478875543331474</v>
      </c>
      <c r="O469" s="89">
        <f t="shared" si="31"/>
        <v>4.2616993337940773E-3</v>
      </c>
    </row>
    <row r="470" spans="1:15" x14ac:dyDescent="0.2">
      <c r="A470" s="21" t="s">
        <v>1167</v>
      </c>
      <c r="B470" s="21" t="s">
        <v>678</v>
      </c>
      <c r="C470" s="21" t="s">
        <v>679</v>
      </c>
      <c r="D470" s="21" t="s">
        <v>2706</v>
      </c>
      <c r="E470" s="21" t="s">
        <v>2707</v>
      </c>
      <c r="F470" s="21" t="s">
        <v>934</v>
      </c>
      <c r="G470" s="21" t="s">
        <v>935</v>
      </c>
      <c r="H470" s="21" t="s">
        <v>3397</v>
      </c>
      <c r="I470" s="21">
        <v>94</v>
      </c>
      <c r="J470" s="89">
        <f t="shared" si="28"/>
        <v>8.1739130434782606E-2</v>
      </c>
      <c r="K470" s="94">
        <v>1.22455721684654</v>
      </c>
      <c r="L470" s="94">
        <v>1.2232426536696499</v>
      </c>
      <c r="M470" s="89">
        <f t="shared" si="30"/>
        <v>1.22455721684654</v>
      </c>
      <c r="N470" s="89">
        <f t="shared" si="29"/>
        <v>1.1804870204239037</v>
      </c>
      <c r="O470" s="89">
        <f t="shared" si="31"/>
        <v>9.6491982538997351E-2</v>
      </c>
    </row>
    <row r="471" spans="1:15" x14ac:dyDescent="0.2">
      <c r="A471" s="21" t="s">
        <v>1167</v>
      </c>
      <c r="B471" s="21" t="s">
        <v>678</v>
      </c>
      <c r="C471" s="21" t="s">
        <v>679</v>
      </c>
      <c r="D471" s="21" t="s">
        <v>419</v>
      </c>
      <c r="E471" s="21" t="s">
        <v>420</v>
      </c>
      <c r="F471" s="21" t="s">
        <v>272</v>
      </c>
      <c r="G471" s="21" t="s">
        <v>273</v>
      </c>
      <c r="H471" s="21" t="s">
        <v>481</v>
      </c>
      <c r="I471" s="21">
        <v>40</v>
      </c>
      <c r="J471" s="89">
        <f t="shared" si="28"/>
        <v>3.4782608695652174E-2</v>
      </c>
      <c r="K471" s="94">
        <v>1.22258382817096</v>
      </c>
      <c r="L471" s="94">
        <v>1.2226776409314299</v>
      </c>
      <c r="M471" s="89">
        <f t="shared" si="30"/>
        <v>1.22258382817096</v>
      </c>
      <c r="N471" s="89">
        <f t="shared" si="29"/>
        <v>1.178584651399635</v>
      </c>
      <c r="O471" s="89">
        <f t="shared" si="31"/>
        <v>4.0994248744335132E-2</v>
      </c>
    </row>
    <row r="472" spans="1:15" x14ac:dyDescent="0.2">
      <c r="A472" s="21" t="s">
        <v>1167</v>
      </c>
      <c r="B472" s="21" t="s">
        <v>678</v>
      </c>
      <c r="C472" s="21" t="s">
        <v>679</v>
      </c>
      <c r="D472" s="21" t="s">
        <v>421</v>
      </c>
      <c r="E472" s="21" t="s">
        <v>422</v>
      </c>
      <c r="F472" s="21" t="s">
        <v>274</v>
      </c>
      <c r="G472" s="21" t="s">
        <v>275</v>
      </c>
      <c r="H472" s="21" t="s">
        <v>194</v>
      </c>
      <c r="I472" s="21">
        <v>453</v>
      </c>
      <c r="J472" s="89">
        <f t="shared" si="28"/>
        <v>0.39391304347826089</v>
      </c>
      <c r="K472" s="94">
        <v>1.1766903627360099</v>
      </c>
      <c r="L472" s="94">
        <v>1.17503495376888</v>
      </c>
      <c r="M472" s="89">
        <f t="shared" si="30"/>
        <v>1.1766903627360099</v>
      </c>
      <c r="N472" s="89">
        <f t="shared" si="29"/>
        <v>1.13434283115399</v>
      </c>
      <c r="O472" s="89">
        <f t="shared" si="31"/>
        <v>0.44683243696761521</v>
      </c>
    </row>
    <row r="473" spans="1:15" x14ac:dyDescent="0.2">
      <c r="A473" s="21" t="s">
        <v>1167</v>
      </c>
      <c r="B473" s="21" t="s">
        <v>678</v>
      </c>
      <c r="C473" s="21" t="s">
        <v>679</v>
      </c>
      <c r="D473" s="21" t="s">
        <v>423</v>
      </c>
      <c r="E473" s="21" t="s">
        <v>424</v>
      </c>
      <c r="F473" s="21" t="s">
        <v>276</v>
      </c>
      <c r="G473" s="21" t="s">
        <v>277</v>
      </c>
      <c r="H473" s="21" t="s">
        <v>3441</v>
      </c>
      <c r="I473" s="21">
        <v>40</v>
      </c>
      <c r="J473" s="89">
        <f t="shared" si="28"/>
        <v>3.4782608695652174E-2</v>
      </c>
      <c r="K473" s="94">
        <v>1.2181597040432399</v>
      </c>
      <c r="L473" s="94">
        <v>1.2191642188014</v>
      </c>
      <c r="M473" s="89">
        <f t="shared" si="30"/>
        <v>1.2181597040432399</v>
      </c>
      <c r="N473" s="89">
        <f t="shared" si="29"/>
        <v>1.1743197456543835</v>
      </c>
      <c r="O473" s="89">
        <f t="shared" si="31"/>
        <v>4.0845904196674207E-2</v>
      </c>
    </row>
    <row r="474" spans="1:15" x14ac:dyDescent="0.2">
      <c r="A474" s="21" t="s">
        <v>1167</v>
      </c>
      <c r="B474" s="21" t="s">
        <v>678</v>
      </c>
      <c r="C474" s="21" t="s">
        <v>679</v>
      </c>
      <c r="D474" s="21" t="s">
        <v>425</v>
      </c>
      <c r="E474" s="21" t="s">
        <v>426</v>
      </c>
      <c r="F474" s="21" t="s">
        <v>278</v>
      </c>
      <c r="G474" s="21" t="s">
        <v>1101</v>
      </c>
      <c r="H474" s="21" t="s">
        <v>3441</v>
      </c>
      <c r="I474" s="21">
        <v>438</v>
      </c>
      <c r="J474" s="89">
        <f t="shared" si="28"/>
        <v>0.38086956521739129</v>
      </c>
      <c r="K474" s="94">
        <v>1.2217035382222201</v>
      </c>
      <c r="L474" s="94">
        <v>1.2199475688233601</v>
      </c>
      <c r="M474" s="89">
        <f t="shared" si="30"/>
        <v>1.2217035382222201</v>
      </c>
      <c r="N474" s="89">
        <f t="shared" si="29"/>
        <v>1.1777360419231637</v>
      </c>
      <c r="O474" s="89">
        <f t="shared" si="31"/>
        <v>0.44856381422812669</v>
      </c>
    </row>
    <row r="475" spans="1:15" x14ac:dyDescent="0.2">
      <c r="A475" s="21" t="s">
        <v>1167</v>
      </c>
      <c r="B475" s="21" t="s">
        <v>678</v>
      </c>
      <c r="C475" s="21" t="s">
        <v>679</v>
      </c>
      <c r="D475" s="21" t="s">
        <v>427</v>
      </c>
      <c r="E475" s="21" t="s">
        <v>428</v>
      </c>
      <c r="F475" s="21" t="s">
        <v>279</v>
      </c>
      <c r="G475" s="21" t="s">
        <v>2507</v>
      </c>
      <c r="H475" s="21" t="s">
        <v>467</v>
      </c>
      <c r="I475" s="21">
        <v>85</v>
      </c>
      <c r="J475" s="89">
        <f t="shared" si="28"/>
        <v>7.3913043478260873E-2</v>
      </c>
      <c r="K475" s="94">
        <v>1.23980493351901</v>
      </c>
      <c r="L475" s="94">
        <v>1.2399732574001401</v>
      </c>
      <c r="M475" s="89">
        <f t="shared" si="30"/>
        <v>1.23980493351901</v>
      </c>
      <c r="N475" s="89">
        <f t="shared" si="29"/>
        <v>1.1951859919177017</v>
      </c>
      <c r="O475" s="89">
        <f t="shared" si="31"/>
        <v>8.8339834185221427E-2</v>
      </c>
    </row>
    <row r="476" spans="1:15" x14ac:dyDescent="0.2">
      <c r="A476" s="21" t="s">
        <v>1127</v>
      </c>
      <c r="B476" s="21" t="s">
        <v>407</v>
      </c>
      <c r="C476" s="21" t="s">
        <v>408</v>
      </c>
      <c r="D476" s="21" t="s">
        <v>728</v>
      </c>
      <c r="E476" s="21" t="s">
        <v>729</v>
      </c>
      <c r="F476" s="21" t="s">
        <v>280</v>
      </c>
      <c r="G476" s="21" t="s">
        <v>281</v>
      </c>
      <c r="H476" s="21" t="s">
        <v>1140</v>
      </c>
      <c r="I476" s="21">
        <v>8</v>
      </c>
      <c r="J476" s="89">
        <f t="shared" si="28"/>
        <v>1.3445378151260505E-2</v>
      </c>
      <c r="K476" s="94" t="e">
        <v>#N/A</v>
      </c>
      <c r="L476" s="94">
        <v>0.93488285110634795</v>
      </c>
      <c r="M476" s="89">
        <f t="shared" si="30"/>
        <v>0.93488285110634795</v>
      </c>
      <c r="N476" s="89">
        <f t="shared" si="29"/>
        <v>0.90123765240627429</v>
      </c>
      <c r="O476" s="89">
        <f t="shared" si="31"/>
        <v>1.211748104075663E-2</v>
      </c>
    </row>
    <row r="477" spans="1:15" x14ac:dyDescent="0.2">
      <c r="A477" s="21" t="s">
        <v>1127</v>
      </c>
      <c r="B477" s="21" t="s">
        <v>407</v>
      </c>
      <c r="C477" s="21" t="s">
        <v>408</v>
      </c>
      <c r="D477" s="21" t="s">
        <v>429</v>
      </c>
      <c r="E477" s="21" t="s">
        <v>430</v>
      </c>
      <c r="F477" s="21" t="s">
        <v>280</v>
      </c>
      <c r="G477" s="21" t="s">
        <v>281</v>
      </c>
      <c r="H477" s="21" t="s">
        <v>1140</v>
      </c>
      <c r="I477" s="21">
        <v>101</v>
      </c>
      <c r="J477" s="89">
        <f t="shared" si="28"/>
        <v>0.16974789915966387</v>
      </c>
      <c r="K477" s="94">
        <v>0.93484476199654998</v>
      </c>
      <c r="L477" s="94">
        <v>0.93488285110634795</v>
      </c>
      <c r="M477" s="89">
        <f t="shared" si="30"/>
        <v>0.93484476199654998</v>
      </c>
      <c r="N477" s="89">
        <f t="shared" si="29"/>
        <v>0.90120093407321689</v>
      </c>
      <c r="O477" s="89">
        <f t="shared" si="31"/>
        <v>0.15297696527965532</v>
      </c>
    </row>
    <row r="478" spans="1:15" x14ac:dyDescent="0.2">
      <c r="A478" s="21" t="s">
        <v>1127</v>
      </c>
      <c r="B478" s="21" t="s">
        <v>407</v>
      </c>
      <c r="C478" s="21" t="s">
        <v>408</v>
      </c>
      <c r="D478" s="21" t="s">
        <v>431</v>
      </c>
      <c r="E478" s="21" t="s">
        <v>432</v>
      </c>
      <c r="F478" s="21" t="s">
        <v>282</v>
      </c>
      <c r="G478" s="21" t="s">
        <v>283</v>
      </c>
      <c r="H478" s="21" t="s">
        <v>1140</v>
      </c>
      <c r="I478" s="21">
        <v>80</v>
      </c>
      <c r="J478" s="89">
        <f t="shared" si="28"/>
        <v>0.13445378151260504</v>
      </c>
      <c r="K478" s="94">
        <v>0.93503231559837996</v>
      </c>
      <c r="L478" s="94">
        <v>0.93510738938110405</v>
      </c>
      <c r="M478" s="89">
        <f t="shared" si="30"/>
        <v>0.93503231559837996</v>
      </c>
      <c r="N478" s="89">
        <f t="shared" si="29"/>
        <v>0.90138173786870168</v>
      </c>
      <c r="O478" s="89">
        <f t="shared" si="31"/>
        <v>0.12119418324285064</v>
      </c>
    </row>
    <row r="479" spans="1:15" x14ac:dyDescent="0.2">
      <c r="A479" s="21" t="s">
        <v>1127</v>
      </c>
      <c r="B479" s="21" t="s">
        <v>407</v>
      </c>
      <c r="C479" s="21" t="s">
        <v>408</v>
      </c>
      <c r="D479" s="21" t="s">
        <v>433</v>
      </c>
      <c r="E479" s="21" t="s">
        <v>434</v>
      </c>
      <c r="F479" s="21" t="s">
        <v>284</v>
      </c>
      <c r="G479" s="21" t="s">
        <v>285</v>
      </c>
      <c r="H479" s="21" t="s">
        <v>1147</v>
      </c>
      <c r="I479" s="21">
        <v>29</v>
      </c>
      <c r="J479" s="89">
        <f t="shared" si="28"/>
        <v>4.8739495798319328E-2</v>
      </c>
      <c r="K479" s="94">
        <v>0.94156223444905096</v>
      </c>
      <c r="L479" s="94">
        <v>0.94160717807744598</v>
      </c>
      <c r="M479" s="89">
        <f t="shared" si="30"/>
        <v>0.94156223444905096</v>
      </c>
      <c r="N479" s="89">
        <f t="shared" si="29"/>
        <v>0.90767665356687477</v>
      </c>
      <c r="O479" s="89">
        <f t="shared" si="31"/>
        <v>4.4239702442755241E-2</v>
      </c>
    </row>
    <row r="480" spans="1:15" x14ac:dyDescent="0.2">
      <c r="A480" s="21" t="s">
        <v>1127</v>
      </c>
      <c r="B480" s="21" t="s">
        <v>407</v>
      </c>
      <c r="C480" s="21" t="s">
        <v>408</v>
      </c>
      <c r="D480" s="21" t="s">
        <v>435</v>
      </c>
      <c r="E480" s="21" t="s">
        <v>436</v>
      </c>
      <c r="F480" s="21" t="s">
        <v>286</v>
      </c>
      <c r="G480" s="21" t="s">
        <v>287</v>
      </c>
      <c r="H480" s="21" t="s">
        <v>1140</v>
      </c>
      <c r="I480" s="21">
        <v>49</v>
      </c>
      <c r="J480" s="89">
        <f t="shared" si="28"/>
        <v>8.2352941176470587E-2</v>
      </c>
      <c r="K480" s="94">
        <v>0.93601488627003704</v>
      </c>
      <c r="L480" s="94">
        <v>0.93576992084238897</v>
      </c>
      <c r="M480" s="89">
        <f t="shared" si="30"/>
        <v>0.93601488627003704</v>
      </c>
      <c r="N480" s="89">
        <f t="shared" si="29"/>
        <v>0.90232894711999934</v>
      </c>
      <c r="O480" s="89">
        <f t="shared" si="31"/>
        <v>7.4309442703999945E-2</v>
      </c>
    </row>
    <row r="481" spans="1:15" x14ac:dyDescent="0.2">
      <c r="A481" s="21" t="s">
        <v>1127</v>
      </c>
      <c r="B481" s="21" t="s">
        <v>407</v>
      </c>
      <c r="C481" s="21" t="s">
        <v>408</v>
      </c>
      <c r="D481" s="21" t="s">
        <v>437</v>
      </c>
      <c r="E481" s="21" t="s">
        <v>438</v>
      </c>
      <c r="F481" s="21" t="s">
        <v>288</v>
      </c>
      <c r="G481" s="21" t="s">
        <v>289</v>
      </c>
      <c r="H481" s="21" t="s">
        <v>1147</v>
      </c>
      <c r="I481" s="21">
        <v>75</v>
      </c>
      <c r="J481" s="89">
        <f t="shared" si="28"/>
        <v>0.12605042016806722</v>
      </c>
      <c r="K481" s="94">
        <v>0.94237003986575296</v>
      </c>
      <c r="L481" s="94">
        <v>0.94236894048622899</v>
      </c>
      <c r="M481" s="89">
        <f t="shared" si="30"/>
        <v>0.94237003986575296</v>
      </c>
      <c r="N481" s="89">
        <f t="shared" si="29"/>
        <v>0.90845538713385388</v>
      </c>
      <c r="O481" s="89">
        <f t="shared" si="31"/>
        <v>0.11451118325216646</v>
      </c>
    </row>
    <row r="482" spans="1:15" x14ac:dyDescent="0.2">
      <c r="A482" s="21" t="s">
        <v>1127</v>
      </c>
      <c r="B482" s="21" t="s">
        <v>407</v>
      </c>
      <c r="C482" s="21" t="s">
        <v>408</v>
      </c>
      <c r="D482" s="21" t="s">
        <v>439</v>
      </c>
      <c r="E482" s="21" t="s">
        <v>440</v>
      </c>
      <c r="F482" s="21" t="s">
        <v>290</v>
      </c>
      <c r="G482" s="21" t="s">
        <v>287</v>
      </c>
      <c r="H482" s="21" t="s">
        <v>1140</v>
      </c>
      <c r="I482" s="21">
        <v>16</v>
      </c>
      <c r="J482" s="89">
        <f t="shared" si="28"/>
        <v>2.689075630252101E-2</v>
      </c>
      <c r="K482" s="94">
        <v>0.93600254369753599</v>
      </c>
      <c r="L482" s="94">
        <v>0.93576992084238897</v>
      </c>
      <c r="M482" s="89">
        <f t="shared" si="30"/>
        <v>0.93600254369753599</v>
      </c>
      <c r="N482" s="89">
        <f t="shared" si="29"/>
        <v>0.90231704874037633</v>
      </c>
      <c r="O482" s="89">
        <f t="shared" si="31"/>
        <v>2.4263987865287433E-2</v>
      </c>
    </row>
    <row r="483" spans="1:15" x14ac:dyDescent="0.2">
      <c r="A483" s="21" t="s">
        <v>1127</v>
      </c>
      <c r="B483" s="21" t="s">
        <v>407</v>
      </c>
      <c r="C483" s="21" t="s">
        <v>408</v>
      </c>
      <c r="D483" s="21" t="s">
        <v>441</v>
      </c>
      <c r="E483" s="21" t="s">
        <v>442</v>
      </c>
      <c r="F483" s="21" t="s">
        <v>883</v>
      </c>
      <c r="G483" s="21" t="s">
        <v>884</v>
      </c>
      <c r="H483" s="21" t="s">
        <v>1140</v>
      </c>
      <c r="I483" s="21">
        <v>24</v>
      </c>
      <c r="J483" s="89">
        <f t="shared" si="28"/>
        <v>4.0336134453781515E-2</v>
      </c>
      <c r="K483" s="94">
        <v>0.954728266236479</v>
      </c>
      <c r="L483" s="94">
        <v>0.957896413061607</v>
      </c>
      <c r="M483" s="89">
        <f t="shared" si="30"/>
        <v>0.954728266236479</v>
      </c>
      <c r="N483" s="89">
        <f t="shared" si="29"/>
        <v>0.92036885726444617</v>
      </c>
      <c r="O483" s="89">
        <f t="shared" si="31"/>
        <v>3.7124121973691949E-2</v>
      </c>
    </row>
    <row r="484" spans="1:15" x14ac:dyDescent="0.2">
      <c r="A484" s="21" t="s">
        <v>1127</v>
      </c>
      <c r="B484" s="21" t="s">
        <v>407</v>
      </c>
      <c r="C484" s="21" t="s">
        <v>408</v>
      </c>
      <c r="D484" s="21" t="s">
        <v>443</v>
      </c>
      <c r="E484" s="21" t="s">
        <v>444</v>
      </c>
      <c r="F484" s="21" t="s">
        <v>291</v>
      </c>
      <c r="G484" s="21" t="s">
        <v>292</v>
      </c>
      <c r="H484" s="21" t="s">
        <v>1140</v>
      </c>
      <c r="I484" s="21">
        <v>36</v>
      </c>
      <c r="J484" s="89">
        <f t="shared" si="28"/>
        <v>6.0504201680672269E-2</v>
      </c>
      <c r="K484" s="94">
        <v>0.96142187760556197</v>
      </c>
      <c r="L484" s="94">
        <v>0.96281906981430998</v>
      </c>
      <c r="M484" s="89">
        <f t="shared" si="30"/>
        <v>0.96142187760556197</v>
      </c>
      <c r="N484" s="89">
        <f t="shared" si="29"/>
        <v>0.92682157440355439</v>
      </c>
      <c r="O484" s="89">
        <f t="shared" si="31"/>
        <v>5.6076599459710857E-2</v>
      </c>
    </row>
    <row r="485" spans="1:15" x14ac:dyDescent="0.2">
      <c r="A485" s="21" t="s">
        <v>2975</v>
      </c>
      <c r="B485" s="21" t="s">
        <v>9</v>
      </c>
      <c r="C485" s="21" t="s">
        <v>10</v>
      </c>
      <c r="D485" s="21" t="s">
        <v>728</v>
      </c>
      <c r="E485" s="21" t="s">
        <v>729</v>
      </c>
      <c r="F485" s="21" t="s">
        <v>293</v>
      </c>
      <c r="G485" s="21" t="s">
        <v>294</v>
      </c>
      <c r="H485" s="21" t="s">
        <v>2994</v>
      </c>
      <c r="I485" s="21">
        <v>5</v>
      </c>
      <c r="J485" s="89">
        <f t="shared" si="28"/>
        <v>3.1055900621118012E-2</v>
      </c>
      <c r="K485" s="94" t="e">
        <v>#N/A</v>
      </c>
      <c r="L485" s="94">
        <v>0.95224132610731704</v>
      </c>
      <c r="M485" s="89">
        <f t="shared" si="30"/>
        <v>0.95224132610731704</v>
      </c>
      <c r="N485" s="89">
        <f t="shared" si="29"/>
        <v>0.91797141882493627</v>
      </c>
      <c r="O485" s="89">
        <f t="shared" si="31"/>
        <v>2.8508429156053922E-2</v>
      </c>
    </row>
    <row r="486" spans="1:15" x14ac:dyDescent="0.2">
      <c r="A486" s="21" t="s">
        <v>2975</v>
      </c>
      <c r="B486" s="21" t="s">
        <v>9</v>
      </c>
      <c r="C486" s="21" t="s">
        <v>10</v>
      </c>
      <c r="D486" s="21" t="s">
        <v>445</v>
      </c>
      <c r="E486" s="21" t="s">
        <v>446</v>
      </c>
      <c r="F486" s="21" t="s">
        <v>293</v>
      </c>
      <c r="G486" s="21" t="s">
        <v>294</v>
      </c>
      <c r="H486" s="21" t="s">
        <v>2994</v>
      </c>
      <c r="I486" s="21">
        <v>82</v>
      </c>
      <c r="J486" s="89">
        <f t="shared" si="28"/>
        <v>0.50931677018633537</v>
      </c>
      <c r="K486" s="94">
        <v>0.95224251623913803</v>
      </c>
      <c r="L486" s="94">
        <v>0.95224132610731704</v>
      </c>
      <c r="M486" s="89">
        <f t="shared" si="30"/>
        <v>0.95224251623913803</v>
      </c>
      <c r="N486" s="89">
        <f t="shared" si="29"/>
        <v>0.91797256612548539</v>
      </c>
      <c r="O486" s="89">
        <f t="shared" si="31"/>
        <v>0.46753882249869438</v>
      </c>
    </row>
    <row r="487" spans="1:15" x14ac:dyDescent="0.2">
      <c r="A487" s="21" t="s">
        <v>2975</v>
      </c>
      <c r="B487" s="21" t="s">
        <v>9</v>
      </c>
      <c r="C487" s="21" t="s">
        <v>10</v>
      </c>
      <c r="D487" s="21" t="s">
        <v>3737</v>
      </c>
      <c r="E487" s="21" t="s">
        <v>3738</v>
      </c>
      <c r="F487" s="21" t="s">
        <v>3258</v>
      </c>
      <c r="G487" s="21" t="s">
        <v>3259</v>
      </c>
      <c r="H487" s="21" t="s">
        <v>2994</v>
      </c>
      <c r="I487" s="21">
        <v>16</v>
      </c>
      <c r="J487" s="89">
        <f t="shared" si="28"/>
        <v>9.9378881987577633E-2</v>
      </c>
      <c r="K487" s="94">
        <v>0.95207688326409701</v>
      </c>
      <c r="L487" s="94">
        <v>0.95207989574886498</v>
      </c>
      <c r="M487" s="89">
        <f t="shared" si="30"/>
        <v>0.95207688326409701</v>
      </c>
      <c r="N487" s="89">
        <f t="shared" si="29"/>
        <v>0.91781289406239175</v>
      </c>
      <c r="O487" s="89">
        <f t="shared" si="31"/>
        <v>9.1211219285703526E-2</v>
      </c>
    </row>
    <row r="488" spans="1:15" x14ac:dyDescent="0.2">
      <c r="A488" s="21" t="s">
        <v>2975</v>
      </c>
      <c r="B488" s="21" t="s">
        <v>9</v>
      </c>
      <c r="C488" s="21" t="s">
        <v>10</v>
      </c>
      <c r="D488" s="21" t="s">
        <v>3739</v>
      </c>
      <c r="E488" s="21" t="s">
        <v>3740</v>
      </c>
      <c r="F488" s="21" t="s">
        <v>29</v>
      </c>
      <c r="G488" s="21" t="s">
        <v>30</v>
      </c>
      <c r="H488" s="21" t="s">
        <v>2994</v>
      </c>
      <c r="I488" s="21">
        <v>28</v>
      </c>
      <c r="J488" s="89">
        <f t="shared" si="28"/>
        <v>0.17391304347826086</v>
      </c>
      <c r="K488" s="94">
        <v>0.95349758503752702</v>
      </c>
      <c r="L488" s="94">
        <v>0.953436403174444</v>
      </c>
      <c r="M488" s="89">
        <f t="shared" si="30"/>
        <v>0.95349758503752702</v>
      </c>
      <c r="N488" s="89">
        <f t="shared" si="29"/>
        <v>0.91918246665594217</v>
      </c>
      <c r="O488" s="89">
        <f t="shared" si="31"/>
        <v>0.15985782028798995</v>
      </c>
    </row>
    <row r="489" spans="1:15" x14ac:dyDescent="0.2">
      <c r="A489" s="21" t="s">
        <v>2975</v>
      </c>
      <c r="B489" s="21" t="s">
        <v>9</v>
      </c>
      <c r="C489" s="21" t="s">
        <v>10</v>
      </c>
      <c r="D489" s="21" t="s">
        <v>3741</v>
      </c>
      <c r="E489" s="21" t="s">
        <v>3742</v>
      </c>
      <c r="F489" s="21" t="s">
        <v>295</v>
      </c>
      <c r="G489" s="21" t="s">
        <v>296</v>
      </c>
      <c r="H489" s="21" t="s">
        <v>2994</v>
      </c>
      <c r="I489" s="21">
        <v>20</v>
      </c>
      <c r="J489" s="89">
        <f t="shared" si="28"/>
        <v>0.12422360248447205</v>
      </c>
      <c r="K489" s="94">
        <v>0.95330312721852195</v>
      </c>
      <c r="L489" s="94">
        <v>0.95323492515979003</v>
      </c>
      <c r="M489" s="89">
        <f t="shared" si="30"/>
        <v>0.95330312721852195</v>
      </c>
      <c r="N489" s="89">
        <f t="shared" si="29"/>
        <v>0.91899500711693705</v>
      </c>
      <c r="O489" s="89">
        <f t="shared" si="31"/>
        <v>0.11416087044930895</v>
      </c>
    </row>
    <row r="490" spans="1:15" x14ac:dyDescent="0.2">
      <c r="A490" s="21" t="s">
        <v>2975</v>
      </c>
      <c r="B490" s="21" t="s">
        <v>9</v>
      </c>
      <c r="C490" s="21" t="s">
        <v>10</v>
      </c>
      <c r="D490" s="21" t="s">
        <v>3743</v>
      </c>
      <c r="E490" s="21" t="s">
        <v>3744</v>
      </c>
      <c r="F490" s="21" t="s">
        <v>27</v>
      </c>
      <c r="G490" s="21" t="s">
        <v>28</v>
      </c>
      <c r="H490" s="21" t="s">
        <v>2994</v>
      </c>
      <c r="I490" s="21">
        <v>10</v>
      </c>
      <c r="J490" s="89">
        <f t="shared" si="28"/>
        <v>6.2111801242236024E-2</v>
      </c>
      <c r="K490" s="94">
        <v>0.952957853836784</v>
      </c>
      <c r="L490" s="94">
        <v>0.95286192216093102</v>
      </c>
      <c r="M490" s="89">
        <f t="shared" si="30"/>
        <v>0.952957853836784</v>
      </c>
      <c r="N490" s="89">
        <f t="shared" si="29"/>
        <v>0.91866215966805331</v>
      </c>
      <c r="O490" s="89">
        <f t="shared" si="31"/>
        <v>5.7059761470065425E-2</v>
      </c>
    </row>
    <row r="491" spans="1:15" x14ac:dyDescent="0.2">
      <c r="A491" s="21" t="s">
        <v>191</v>
      </c>
      <c r="B491" s="21" t="s">
        <v>3684</v>
      </c>
      <c r="C491" s="21" t="s">
        <v>3685</v>
      </c>
      <c r="D491" s="21" t="s">
        <v>3745</v>
      </c>
      <c r="E491" s="21" t="s">
        <v>3746</v>
      </c>
      <c r="F491" s="21" t="s">
        <v>297</v>
      </c>
      <c r="G491" s="21" t="s">
        <v>14</v>
      </c>
      <c r="H491" s="21" t="s">
        <v>201</v>
      </c>
      <c r="I491" s="21">
        <v>17</v>
      </c>
      <c r="J491" s="89">
        <f t="shared" si="28"/>
        <v>4.5454545454545456E-2</v>
      </c>
      <c r="K491" s="94">
        <v>1.03616978890258</v>
      </c>
      <c r="L491" s="94">
        <v>1.0367367826132401</v>
      </c>
      <c r="M491" s="89">
        <f t="shared" si="30"/>
        <v>1.03616978890258</v>
      </c>
      <c r="N491" s="89">
        <f t="shared" si="29"/>
        <v>0.99887940712545742</v>
      </c>
      <c r="O491" s="89">
        <f t="shared" si="31"/>
        <v>4.5403609414793523E-2</v>
      </c>
    </row>
    <row r="492" spans="1:15" x14ac:dyDescent="0.2">
      <c r="A492" s="21" t="s">
        <v>191</v>
      </c>
      <c r="B492" s="21" t="s">
        <v>3684</v>
      </c>
      <c r="C492" s="21" t="s">
        <v>3685</v>
      </c>
      <c r="D492" s="21" t="s">
        <v>3747</v>
      </c>
      <c r="E492" s="21" t="s">
        <v>3748</v>
      </c>
      <c r="F492" s="21" t="s">
        <v>298</v>
      </c>
      <c r="G492" s="21" t="s">
        <v>299</v>
      </c>
      <c r="H492" s="21" t="s">
        <v>201</v>
      </c>
      <c r="I492" s="21">
        <v>144</v>
      </c>
      <c r="J492" s="89">
        <f t="shared" si="28"/>
        <v>0.38502673796791442</v>
      </c>
      <c r="K492" s="94">
        <v>1.0786837918608601</v>
      </c>
      <c r="L492" s="94">
        <v>1.07781389409913</v>
      </c>
      <c r="M492" s="89">
        <f t="shared" si="30"/>
        <v>1.0786837918608601</v>
      </c>
      <c r="N492" s="89">
        <f t="shared" si="29"/>
        <v>1.039863387284224</v>
      </c>
      <c r="O492" s="89">
        <f t="shared" si="31"/>
        <v>0.40037520793831083</v>
      </c>
    </row>
    <row r="493" spans="1:15" x14ac:dyDescent="0.2">
      <c r="A493" s="21" t="s">
        <v>191</v>
      </c>
      <c r="B493" s="21" t="s">
        <v>3684</v>
      </c>
      <c r="C493" s="21" t="s">
        <v>3685</v>
      </c>
      <c r="D493" s="21" t="s">
        <v>3749</v>
      </c>
      <c r="E493" s="21" t="s">
        <v>3750</v>
      </c>
      <c r="F493" s="21" t="s">
        <v>300</v>
      </c>
      <c r="G493" s="21" t="s">
        <v>1065</v>
      </c>
      <c r="H493" s="21" t="s">
        <v>201</v>
      </c>
      <c r="I493" s="21">
        <v>70</v>
      </c>
      <c r="J493" s="89">
        <f t="shared" si="28"/>
        <v>0.18716577540106952</v>
      </c>
      <c r="K493" s="94">
        <v>1.0759862576416599</v>
      </c>
      <c r="L493" s="94">
        <v>1.0768447113383199</v>
      </c>
      <c r="M493" s="89">
        <f t="shared" si="30"/>
        <v>1.0759862576416599</v>
      </c>
      <c r="N493" s="89">
        <f t="shared" si="29"/>
        <v>1.0372629337577521</v>
      </c>
      <c r="O493" s="89">
        <f t="shared" si="31"/>
        <v>0.19414012129155789</v>
      </c>
    </row>
    <row r="494" spans="1:15" x14ac:dyDescent="0.2">
      <c r="A494" s="21" t="s">
        <v>191</v>
      </c>
      <c r="B494" s="21" t="s">
        <v>3684</v>
      </c>
      <c r="C494" s="21" t="s">
        <v>3685</v>
      </c>
      <c r="D494" s="21" t="s">
        <v>1666</v>
      </c>
      <c r="E494" s="21" t="s">
        <v>1667</v>
      </c>
      <c r="F494" s="21" t="s">
        <v>301</v>
      </c>
      <c r="G494" s="21" t="s">
        <v>1065</v>
      </c>
      <c r="H494" s="21" t="s">
        <v>201</v>
      </c>
      <c r="I494" s="21">
        <v>34</v>
      </c>
      <c r="J494" s="89">
        <f t="shared" si="28"/>
        <v>9.0909090909090912E-2</v>
      </c>
      <c r="K494" s="94">
        <v>1.0766531180154599</v>
      </c>
      <c r="L494" s="94">
        <v>1.0768447113383199</v>
      </c>
      <c r="M494" s="89">
        <f t="shared" si="30"/>
        <v>1.0766531180154599</v>
      </c>
      <c r="N494" s="89">
        <f t="shared" si="29"/>
        <v>1.037905794707715</v>
      </c>
      <c r="O494" s="89">
        <f t="shared" si="31"/>
        <v>9.4355072246155913E-2</v>
      </c>
    </row>
    <row r="495" spans="1:15" x14ac:dyDescent="0.2">
      <c r="A495" s="21" t="s">
        <v>191</v>
      </c>
      <c r="B495" s="21" t="s">
        <v>3684</v>
      </c>
      <c r="C495" s="21" t="s">
        <v>3685</v>
      </c>
      <c r="D495" s="21" t="s">
        <v>1668</v>
      </c>
      <c r="E495" s="21" t="s">
        <v>1669</v>
      </c>
      <c r="F495" s="21" t="s">
        <v>302</v>
      </c>
      <c r="G495" s="21" t="s">
        <v>894</v>
      </c>
      <c r="H495" s="21" t="s">
        <v>200</v>
      </c>
      <c r="I495" s="21">
        <v>28</v>
      </c>
      <c r="J495" s="89">
        <f t="shared" si="28"/>
        <v>7.4866310160427801E-2</v>
      </c>
      <c r="K495" s="94">
        <v>1.08157804047742</v>
      </c>
      <c r="L495" s="94">
        <v>1.0818183646244</v>
      </c>
      <c r="M495" s="89">
        <f t="shared" si="30"/>
        <v>1.08157804047742</v>
      </c>
      <c r="N495" s="89">
        <f t="shared" si="29"/>
        <v>1.0426534757167818</v>
      </c>
      <c r="O495" s="89">
        <f t="shared" si="31"/>
        <v>7.8059618502860667E-2</v>
      </c>
    </row>
    <row r="496" spans="1:15" x14ac:dyDescent="0.2">
      <c r="A496" s="21" t="s">
        <v>191</v>
      </c>
      <c r="B496" s="21" t="s">
        <v>3684</v>
      </c>
      <c r="C496" s="21" t="s">
        <v>3685</v>
      </c>
      <c r="D496" s="21" t="s">
        <v>1670</v>
      </c>
      <c r="E496" s="21" t="s">
        <v>1671</v>
      </c>
      <c r="F496" s="21" t="s">
        <v>303</v>
      </c>
      <c r="G496" s="21" t="s">
        <v>304</v>
      </c>
      <c r="H496" s="21" t="s">
        <v>196</v>
      </c>
      <c r="I496" s="21">
        <v>20</v>
      </c>
      <c r="J496" s="89">
        <f t="shared" si="28"/>
        <v>5.3475935828877004E-2</v>
      </c>
      <c r="K496" s="94">
        <v>1.1293041942939299</v>
      </c>
      <c r="L496" s="94">
        <v>1.1301696888683199</v>
      </c>
      <c r="M496" s="89">
        <f t="shared" si="30"/>
        <v>1.1293041942939299</v>
      </c>
      <c r="N496" s="89">
        <f t="shared" si="29"/>
        <v>1.0886620283103723</v>
      </c>
      <c r="O496" s="89">
        <f t="shared" si="31"/>
        <v>5.8217220765260549E-2</v>
      </c>
    </row>
    <row r="497" spans="1:15" x14ac:dyDescent="0.2">
      <c r="A497" s="21" t="s">
        <v>191</v>
      </c>
      <c r="B497" s="21" t="s">
        <v>3684</v>
      </c>
      <c r="C497" s="21" t="s">
        <v>3685</v>
      </c>
      <c r="D497" s="21" t="s">
        <v>1672</v>
      </c>
      <c r="E497" s="21" t="s">
        <v>1673</v>
      </c>
      <c r="F497" s="21" t="s">
        <v>305</v>
      </c>
      <c r="G497" s="21" t="s">
        <v>304</v>
      </c>
      <c r="H497" s="21" t="s">
        <v>196</v>
      </c>
      <c r="I497" s="21">
        <v>44</v>
      </c>
      <c r="J497" s="89">
        <f t="shared" si="28"/>
        <v>0.11764705882352941</v>
      </c>
      <c r="K497" s="94">
        <v>1.12859917288998</v>
      </c>
      <c r="L497" s="94">
        <v>1.1301696888683199</v>
      </c>
      <c r="M497" s="89">
        <f t="shared" si="30"/>
        <v>1.12859917288998</v>
      </c>
      <c r="N497" s="89">
        <f t="shared" si="29"/>
        <v>1.0879823796953185</v>
      </c>
      <c r="O497" s="89">
        <f t="shared" si="31"/>
        <v>0.12799792702297866</v>
      </c>
    </row>
    <row r="498" spans="1:15" x14ac:dyDescent="0.2">
      <c r="A498" s="21" t="s">
        <v>191</v>
      </c>
      <c r="B498" s="21" t="s">
        <v>3684</v>
      </c>
      <c r="C498" s="21" t="s">
        <v>3685</v>
      </c>
      <c r="D498" s="21" t="s">
        <v>1674</v>
      </c>
      <c r="E498" s="21" t="s">
        <v>1675</v>
      </c>
      <c r="F498" s="21" t="s">
        <v>306</v>
      </c>
      <c r="G498" s="21" t="s">
        <v>304</v>
      </c>
      <c r="H498" s="21" t="s">
        <v>196</v>
      </c>
      <c r="I498" s="21">
        <v>17</v>
      </c>
      <c r="J498" s="89">
        <f t="shared" si="28"/>
        <v>4.5454545454545456E-2</v>
      </c>
      <c r="K498" s="94">
        <v>1.12965649599329</v>
      </c>
      <c r="L498" s="94">
        <v>1.1301696888683199</v>
      </c>
      <c r="M498" s="89">
        <f t="shared" si="30"/>
        <v>1.12965649599329</v>
      </c>
      <c r="N498" s="89">
        <f t="shared" si="29"/>
        <v>1.0890016511370122</v>
      </c>
      <c r="O498" s="89">
        <f t="shared" si="31"/>
        <v>4.9500075051682371E-2</v>
      </c>
    </row>
    <row r="499" spans="1:15" x14ac:dyDescent="0.2">
      <c r="A499" s="21" t="s">
        <v>3069</v>
      </c>
      <c r="B499" s="21" t="s">
        <v>369</v>
      </c>
      <c r="C499" s="21" t="s">
        <v>370</v>
      </c>
      <c r="D499" s="21" t="s">
        <v>728</v>
      </c>
      <c r="E499" s="21" t="s">
        <v>729</v>
      </c>
      <c r="F499" s="21" t="s">
        <v>307</v>
      </c>
      <c r="G499" s="21" t="s">
        <v>308</v>
      </c>
      <c r="H499" s="21" t="s">
        <v>2124</v>
      </c>
      <c r="I499" s="21">
        <v>40</v>
      </c>
      <c r="J499" s="89">
        <f t="shared" si="28"/>
        <v>0.16393442622950818</v>
      </c>
      <c r="K499" s="94" t="e">
        <v>#N/A</v>
      </c>
      <c r="L499" s="94">
        <v>0.928205891501243</v>
      </c>
      <c r="M499" s="89">
        <f t="shared" si="30"/>
        <v>0.928205891501243</v>
      </c>
      <c r="N499" s="89">
        <f t="shared" si="29"/>
        <v>0.89480098775615791</v>
      </c>
      <c r="O499" s="89">
        <f t="shared" si="31"/>
        <v>0.14668868651740291</v>
      </c>
    </row>
    <row r="500" spans="1:15" x14ac:dyDescent="0.2">
      <c r="A500" s="21" t="s">
        <v>3069</v>
      </c>
      <c r="B500" s="21" t="s">
        <v>369</v>
      </c>
      <c r="C500" s="21" t="s">
        <v>370</v>
      </c>
      <c r="D500" s="21" t="s">
        <v>1676</v>
      </c>
      <c r="E500" s="21" t="s">
        <v>1677</v>
      </c>
      <c r="F500" s="21" t="s">
        <v>309</v>
      </c>
      <c r="G500" s="21" t="s">
        <v>310</v>
      </c>
      <c r="H500" s="21" t="s">
        <v>2124</v>
      </c>
      <c r="I500" s="21">
        <v>41</v>
      </c>
      <c r="J500" s="89">
        <f t="shared" si="28"/>
        <v>0.16803278688524589</v>
      </c>
      <c r="K500" s="94">
        <v>0.93483526171438502</v>
      </c>
      <c r="L500" s="94">
        <v>0.93539507212615403</v>
      </c>
      <c r="M500" s="89">
        <f t="shared" si="30"/>
        <v>0.93483526171438502</v>
      </c>
      <c r="N500" s="89">
        <f t="shared" si="29"/>
        <v>0.90119177569365594</v>
      </c>
      <c r="O500" s="89">
        <f t="shared" si="31"/>
        <v>0.15142976558786841</v>
      </c>
    </row>
    <row r="501" spans="1:15" x14ac:dyDescent="0.2">
      <c r="A501" s="21" t="s">
        <v>3069</v>
      </c>
      <c r="B501" s="21" t="s">
        <v>369</v>
      </c>
      <c r="C501" s="21" t="s">
        <v>370</v>
      </c>
      <c r="D501" s="21" t="s">
        <v>1678</v>
      </c>
      <c r="E501" s="21" t="s">
        <v>1679</v>
      </c>
      <c r="F501" s="21" t="s">
        <v>131</v>
      </c>
      <c r="G501" s="21" t="s">
        <v>132</v>
      </c>
      <c r="H501" s="21" t="s">
        <v>2124</v>
      </c>
      <c r="I501" s="21">
        <v>43</v>
      </c>
      <c r="J501" s="89">
        <f t="shared" si="28"/>
        <v>0.17622950819672131</v>
      </c>
      <c r="K501" s="94">
        <v>0.93407412502327403</v>
      </c>
      <c r="L501" s="94">
        <v>0.93412528874773204</v>
      </c>
      <c r="M501" s="89">
        <f t="shared" si="30"/>
        <v>0.93407412502327403</v>
      </c>
      <c r="N501" s="89">
        <f t="shared" si="29"/>
        <v>0.90045803130648971</v>
      </c>
      <c r="O501" s="89">
        <f t="shared" si="31"/>
        <v>0.15868727600893057</v>
      </c>
    </row>
    <row r="502" spans="1:15" x14ac:dyDescent="0.2">
      <c r="A502" s="21" t="s">
        <v>3069</v>
      </c>
      <c r="B502" s="21" t="s">
        <v>369</v>
      </c>
      <c r="C502" s="21" t="s">
        <v>370</v>
      </c>
      <c r="D502" s="21" t="s">
        <v>1680</v>
      </c>
      <c r="E502" s="21" t="s">
        <v>1681</v>
      </c>
      <c r="F502" s="21" t="s">
        <v>131</v>
      </c>
      <c r="G502" s="21" t="s">
        <v>132</v>
      </c>
      <c r="H502" s="21" t="s">
        <v>2124</v>
      </c>
      <c r="I502" s="21">
        <v>15</v>
      </c>
      <c r="J502" s="89">
        <f t="shared" si="28"/>
        <v>6.1475409836065573E-2</v>
      </c>
      <c r="K502" s="94">
        <v>0.93407412502327403</v>
      </c>
      <c r="L502" s="94">
        <v>0.93412528874773204</v>
      </c>
      <c r="M502" s="89">
        <f t="shared" si="30"/>
        <v>0.93407412502327403</v>
      </c>
      <c r="N502" s="89">
        <f t="shared" si="29"/>
        <v>0.90045803130648971</v>
      </c>
      <c r="O502" s="89">
        <f t="shared" si="31"/>
        <v>5.5356026514743216E-2</v>
      </c>
    </row>
    <row r="503" spans="1:15" x14ac:dyDescent="0.2">
      <c r="A503" s="21" t="s">
        <v>3069</v>
      </c>
      <c r="B503" s="21" t="s">
        <v>369</v>
      </c>
      <c r="C503" s="21" t="s">
        <v>370</v>
      </c>
      <c r="D503" s="21" t="s">
        <v>1682</v>
      </c>
      <c r="E503" s="21" t="s">
        <v>1683</v>
      </c>
      <c r="F503" s="21" t="s">
        <v>311</v>
      </c>
      <c r="G503" s="21" t="s">
        <v>312</v>
      </c>
      <c r="H503" s="21" t="s">
        <v>2124</v>
      </c>
      <c r="I503" s="21">
        <v>22</v>
      </c>
      <c r="J503" s="89">
        <f t="shared" si="28"/>
        <v>9.0163934426229511E-2</v>
      </c>
      <c r="K503" s="94">
        <v>0.93681417663218702</v>
      </c>
      <c r="L503" s="94">
        <v>0.93567943239527696</v>
      </c>
      <c r="M503" s="89">
        <f t="shared" si="30"/>
        <v>0.93681417663218702</v>
      </c>
      <c r="N503" s="89">
        <f t="shared" si="29"/>
        <v>0.90309947207799013</v>
      </c>
      <c r="O503" s="89">
        <f t="shared" si="31"/>
        <v>8.1427001580802391E-2</v>
      </c>
    </row>
    <row r="504" spans="1:15" x14ac:dyDescent="0.2">
      <c r="A504" s="21" t="s">
        <v>3069</v>
      </c>
      <c r="B504" s="21" t="s">
        <v>369</v>
      </c>
      <c r="C504" s="21" t="s">
        <v>370</v>
      </c>
      <c r="D504" s="21" t="s">
        <v>1684</v>
      </c>
      <c r="E504" s="21" t="s">
        <v>1685</v>
      </c>
      <c r="F504" s="21" t="s">
        <v>129</v>
      </c>
      <c r="G504" s="21" t="s">
        <v>130</v>
      </c>
      <c r="H504" s="21" t="s">
        <v>2124</v>
      </c>
      <c r="I504" s="21">
        <v>40</v>
      </c>
      <c r="J504" s="89">
        <f t="shared" si="28"/>
        <v>0.16393442622950818</v>
      </c>
      <c r="K504" s="94">
        <v>0.92907830250910495</v>
      </c>
      <c r="L504" s="94">
        <v>0.92914193134974399</v>
      </c>
      <c r="M504" s="89">
        <f t="shared" si="30"/>
        <v>0.92907830250910495</v>
      </c>
      <c r="N504" s="89">
        <f t="shared" si="29"/>
        <v>0.89564200184442411</v>
      </c>
      <c r="O504" s="89">
        <f t="shared" si="31"/>
        <v>0.14682655767941377</v>
      </c>
    </row>
    <row r="505" spans="1:15" x14ac:dyDescent="0.2">
      <c r="A505" s="21" t="s">
        <v>3069</v>
      </c>
      <c r="B505" s="21" t="s">
        <v>369</v>
      </c>
      <c r="C505" s="21" t="s">
        <v>370</v>
      </c>
      <c r="D505" s="21" t="s">
        <v>1686</v>
      </c>
      <c r="E505" s="21" t="s">
        <v>1687</v>
      </c>
      <c r="F505" s="21" t="s">
        <v>127</v>
      </c>
      <c r="G505" s="21" t="s">
        <v>128</v>
      </c>
      <c r="H505" s="21" t="s">
        <v>2124</v>
      </c>
      <c r="I505" s="21">
        <v>20</v>
      </c>
      <c r="J505" s="89">
        <f t="shared" si="28"/>
        <v>8.1967213114754092E-2</v>
      </c>
      <c r="K505" s="94">
        <v>0.94742014417241005</v>
      </c>
      <c r="L505" s="94">
        <v>0.948566709118426</v>
      </c>
      <c r="M505" s="89">
        <f t="shared" si="30"/>
        <v>0.94742014417241005</v>
      </c>
      <c r="N505" s="89">
        <f t="shared" si="29"/>
        <v>0.91332374485840973</v>
      </c>
      <c r="O505" s="89">
        <f t="shared" si="31"/>
        <v>7.4862602037574569E-2</v>
      </c>
    </row>
    <row r="506" spans="1:15" x14ac:dyDescent="0.2">
      <c r="A506" s="21" t="s">
        <v>3069</v>
      </c>
      <c r="B506" s="21" t="s">
        <v>369</v>
      </c>
      <c r="C506" s="21" t="s">
        <v>370</v>
      </c>
      <c r="D506" s="21" t="s">
        <v>1688</v>
      </c>
      <c r="E506" s="21" t="s">
        <v>1689</v>
      </c>
      <c r="F506" s="21" t="s">
        <v>313</v>
      </c>
      <c r="G506" s="21" t="s">
        <v>314</v>
      </c>
      <c r="H506" s="21" t="s">
        <v>2124</v>
      </c>
      <c r="I506" s="21">
        <v>23</v>
      </c>
      <c r="J506" s="89">
        <f t="shared" si="28"/>
        <v>9.4262295081967207E-2</v>
      </c>
      <c r="K506" s="94">
        <v>0.94727917146617102</v>
      </c>
      <c r="L506" s="94">
        <v>0.94514774154580505</v>
      </c>
      <c r="M506" s="89">
        <f t="shared" si="30"/>
        <v>0.94727917146617102</v>
      </c>
      <c r="N506" s="89">
        <f t="shared" si="29"/>
        <v>0.91318784557362354</v>
      </c>
      <c r="O506" s="89">
        <f t="shared" si="31"/>
        <v>8.6079182164726806E-2</v>
      </c>
    </row>
    <row r="507" spans="1:15" x14ac:dyDescent="0.2">
      <c r="A507" s="21" t="s">
        <v>1167</v>
      </c>
      <c r="B507" s="21" t="s">
        <v>562</v>
      </c>
      <c r="C507" s="21" t="s">
        <v>563</v>
      </c>
      <c r="D507" s="21" t="s">
        <v>728</v>
      </c>
      <c r="E507" s="21" t="s">
        <v>729</v>
      </c>
      <c r="F507" s="21" t="s">
        <v>315</v>
      </c>
      <c r="G507" s="21" t="s">
        <v>316</v>
      </c>
      <c r="H507" s="21" t="s">
        <v>3476</v>
      </c>
      <c r="I507" s="21">
        <v>93</v>
      </c>
      <c r="J507" s="89">
        <f t="shared" si="28"/>
        <v>0.13006993006993006</v>
      </c>
      <c r="K507" s="94" t="e">
        <v>#N/A</v>
      </c>
      <c r="L507" s="94">
        <v>1.2345477649468</v>
      </c>
      <c r="M507" s="89">
        <f t="shared" si="30"/>
        <v>1.2345477649468</v>
      </c>
      <c r="N507" s="89">
        <f t="shared" si="29"/>
        <v>1.1901180218969494</v>
      </c>
      <c r="O507" s="89">
        <f t="shared" si="31"/>
        <v>0.1547985678830997</v>
      </c>
    </row>
    <row r="508" spans="1:15" x14ac:dyDescent="0.2">
      <c r="A508" s="21" t="s">
        <v>1167</v>
      </c>
      <c r="B508" s="21" t="s">
        <v>562</v>
      </c>
      <c r="C508" s="21" t="s">
        <v>563</v>
      </c>
      <c r="D508" s="21" t="s">
        <v>1690</v>
      </c>
      <c r="E508" s="21" t="s">
        <v>1691</v>
      </c>
      <c r="F508" s="21" t="s">
        <v>315</v>
      </c>
      <c r="G508" s="21" t="s">
        <v>316</v>
      </c>
      <c r="H508" s="21" t="s">
        <v>3476</v>
      </c>
      <c r="I508" s="21">
        <v>279</v>
      </c>
      <c r="J508" s="89">
        <f t="shared" si="28"/>
        <v>0.39020979020979019</v>
      </c>
      <c r="K508" s="94">
        <v>1.2341408955167501</v>
      </c>
      <c r="L508" s="94">
        <v>1.2345477649468</v>
      </c>
      <c r="M508" s="89">
        <f t="shared" si="30"/>
        <v>1.2341408955167501</v>
      </c>
      <c r="N508" s="89">
        <f t="shared" si="29"/>
        <v>1.1897257951601554</v>
      </c>
      <c r="O508" s="89">
        <f t="shared" si="31"/>
        <v>0.46424265293662004</v>
      </c>
    </row>
    <row r="509" spans="1:15" x14ac:dyDescent="0.2">
      <c r="A509" s="21" t="s">
        <v>1167</v>
      </c>
      <c r="B509" s="21" t="s">
        <v>562</v>
      </c>
      <c r="C509" s="21" t="s">
        <v>563</v>
      </c>
      <c r="D509" s="21" t="s">
        <v>1692</v>
      </c>
      <c r="E509" s="21" t="s">
        <v>1693</v>
      </c>
      <c r="F509" s="21" t="s">
        <v>317</v>
      </c>
      <c r="G509" s="21" t="s">
        <v>3306</v>
      </c>
      <c r="H509" s="21" t="s">
        <v>3444</v>
      </c>
      <c r="I509" s="21">
        <v>66</v>
      </c>
      <c r="J509" s="89">
        <f t="shared" si="28"/>
        <v>9.2307692307692313E-2</v>
      </c>
      <c r="K509" s="94">
        <v>1.2144634835279799</v>
      </c>
      <c r="L509" s="94">
        <v>1.21563421047158</v>
      </c>
      <c r="M509" s="89">
        <f t="shared" si="30"/>
        <v>1.2144634835279799</v>
      </c>
      <c r="N509" s="89">
        <f t="shared" si="29"/>
        <v>1.1707565472322425</v>
      </c>
      <c r="O509" s="89">
        <f t="shared" si="31"/>
        <v>0.10806983512913008</v>
      </c>
    </row>
    <row r="510" spans="1:15" x14ac:dyDescent="0.2">
      <c r="A510" s="21" t="s">
        <v>1167</v>
      </c>
      <c r="B510" s="21" t="s">
        <v>562</v>
      </c>
      <c r="C510" s="21" t="s">
        <v>563</v>
      </c>
      <c r="D510" s="21" t="s">
        <v>1694</v>
      </c>
      <c r="E510" s="21" t="s">
        <v>1695</v>
      </c>
      <c r="F510" s="21" t="s">
        <v>318</v>
      </c>
      <c r="G510" s="21" t="s">
        <v>319</v>
      </c>
      <c r="H510" s="21" t="s">
        <v>481</v>
      </c>
      <c r="I510" s="21">
        <v>56</v>
      </c>
      <c r="J510" s="89">
        <f t="shared" si="28"/>
        <v>7.8321678321678329E-2</v>
      </c>
      <c r="K510" s="94">
        <v>1.2332768903933999</v>
      </c>
      <c r="L510" s="94">
        <v>1.23242590443674</v>
      </c>
      <c r="M510" s="89">
        <f t="shared" si="30"/>
        <v>1.2332768903933999</v>
      </c>
      <c r="N510" s="89">
        <f t="shared" si="29"/>
        <v>1.1888928844397229</v>
      </c>
      <c r="O510" s="89">
        <f t="shared" si="31"/>
        <v>9.3116086054020261E-2</v>
      </c>
    </row>
    <row r="511" spans="1:15" x14ac:dyDescent="0.2">
      <c r="A511" s="21" t="s">
        <v>1167</v>
      </c>
      <c r="B511" s="21" t="s">
        <v>562</v>
      </c>
      <c r="C511" s="21" t="s">
        <v>563</v>
      </c>
      <c r="D511" s="21" t="s">
        <v>1696</v>
      </c>
      <c r="E511" s="21" t="s">
        <v>1697</v>
      </c>
      <c r="F511" s="21" t="s">
        <v>320</v>
      </c>
      <c r="G511" s="21" t="s">
        <v>3306</v>
      </c>
      <c r="H511" s="21" t="s">
        <v>3444</v>
      </c>
      <c r="I511" s="21">
        <v>2</v>
      </c>
      <c r="J511" s="89">
        <f t="shared" si="28"/>
        <v>2.7972027972027972E-3</v>
      </c>
      <c r="K511" s="94">
        <v>1.2148128720213001</v>
      </c>
      <c r="L511" s="94">
        <v>1.21563421047158</v>
      </c>
      <c r="M511" s="89">
        <f t="shared" si="30"/>
        <v>1.2148128720213001</v>
      </c>
      <c r="N511" s="89">
        <f t="shared" si="29"/>
        <v>1.1710933616952792</v>
      </c>
      <c r="O511" s="89">
        <f t="shared" si="31"/>
        <v>3.275785627119662E-3</v>
      </c>
    </row>
    <row r="512" spans="1:15" x14ac:dyDescent="0.2">
      <c r="A512" s="21" t="s">
        <v>1167</v>
      </c>
      <c r="B512" s="21" t="s">
        <v>562</v>
      </c>
      <c r="C512" s="21" t="s">
        <v>563</v>
      </c>
      <c r="D512" s="21" t="s">
        <v>1698</v>
      </c>
      <c r="E512" s="21" t="s">
        <v>1699</v>
      </c>
      <c r="F512" s="21" t="s">
        <v>321</v>
      </c>
      <c r="G512" s="21" t="s">
        <v>322</v>
      </c>
      <c r="H512" s="21" t="s">
        <v>3476</v>
      </c>
      <c r="I512" s="21">
        <v>69</v>
      </c>
      <c r="J512" s="89">
        <f t="shared" si="28"/>
        <v>9.6503496503496503E-2</v>
      </c>
      <c r="K512" s="94">
        <v>1.23332425224482</v>
      </c>
      <c r="L512" s="94">
        <v>1.23382089573925</v>
      </c>
      <c r="M512" s="89">
        <f t="shared" si="30"/>
        <v>1.23332425224482</v>
      </c>
      <c r="N512" s="89">
        <f t="shared" si="29"/>
        <v>1.1889385418006819</v>
      </c>
      <c r="O512" s="89">
        <f t="shared" si="31"/>
        <v>0.11473672641153433</v>
      </c>
    </row>
    <row r="513" spans="1:15" x14ac:dyDescent="0.2">
      <c r="A513" s="21" t="s">
        <v>1167</v>
      </c>
      <c r="B513" s="21" t="s">
        <v>562</v>
      </c>
      <c r="C513" s="21" t="s">
        <v>563</v>
      </c>
      <c r="D513" s="21" t="s">
        <v>1700</v>
      </c>
      <c r="E513" s="21" t="s">
        <v>1701</v>
      </c>
      <c r="F513" s="21" t="s">
        <v>323</v>
      </c>
      <c r="G513" s="21" t="s">
        <v>324</v>
      </c>
      <c r="H513" s="21" t="s">
        <v>3455</v>
      </c>
      <c r="I513" s="21">
        <v>116</v>
      </c>
      <c r="J513" s="89">
        <f t="shared" si="28"/>
        <v>0.16223776223776223</v>
      </c>
      <c r="K513" s="94">
        <v>1.2147694899677499</v>
      </c>
      <c r="L513" s="94">
        <v>1.2147594439628799</v>
      </c>
      <c r="M513" s="89">
        <f t="shared" si="30"/>
        <v>1.2147694899677499</v>
      </c>
      <c r="N513" s="89">
        <f t="shared" si="29"/>
        <v>1.1710515409045226</v>
      </c>
      <c r="O513" s="89">
        <f t="shared" si="31"/>
        <v>0.18998878146143303</v>
      </c>
    </row>
    <row r="514" spans="1:15" x14ac:dyDescent="0.2">
      <c r="A514" s="21" t="s">
        <v>1167</v>
      </c>
      <c r="B514" s="21" t="s">
        <v>562</v>
      </c>
      <c r="C514" s="21" t="s">
        <v>563</v>
      </c>
      <c r="D514" s="21" t="s">
        <v>1702</v>
      </c>
      <c r="E514" s="21" t="s">
        <v>1703</v>
      </c>
      <c r="F514" s="21" t="s">
        <v>325</v>
      </c>
      <c r="G514" s="21" t="s">
        <v>326</v>
      </c>
      <c r="H514" s="21" t="s">
        <v>3476</v>
      </c>
      <c r="I514" s="21">
        <v>16</v>
      </c>
      <c r="J514" s="89">
        <f t="shared" ref="J514:J577" si="32">I514/SUMIF(B:B,B514,I:I)</f>
        <v>2.2377622377622378E-2</v>
      </c>
      <c r="K514" s="94">
        <v>1.2349077321305699</v>
      </c>
      <c r="L514" s="94">
        <v>1.2361117805119</v>
      </c>
      <c r="M514" s="89">
        <f t="shared" si="30"/>
        <v>1.2349077321305699</v>
      </c>
      <c r="N514" s="89">
        <f t="shared" ref="N514:N577" si="33">M514/M$757</f>
        <v>1.1904650343373424</v>
      </c>
      <c r="O514" s="89">
        <f t="shared" si="31"/>
        <v>2.6639776992164306E-2</v>
      </c>
    </row>
    <row r="515" spans="1:15" x14ac:dyDescent="0.2">
      <c r="A515" s="21" t="s">
        <v>1167</v>
      </c>
      <c r="B515" s="21" t="s">
        <v>562</v>
      </c>
      <c r="C515" s="21" t="s">
        <v>563</v>
      </c>
      <c r="D515" s="21" t="s">
        <v>1704</v>
      </c>
      <c r="E515" s="21" t="s">
        <v>1705</v>
      </c>
      <c r="F515" s="21" t="s">
        <v>315</v>
      </c>
      <c r="G515" s="21" t="s">
        <v>316</v>
      </c>
      <c r="H515" s="21" t="s">
        <v>3476</v>
      </c>
      <c r="I515" s="21">
        <v>18</v>
      </c>
      <c r="J515" s="89">
        <f t="shared" si="32"/>
        <v>2.5174825174825177E-2</v>
      </c>
      <c r="K515" s="94" t="e">
        <v>#N/A</v>
      </c>
      <c r="L515" s="94">
        <v>1.2345477649468</v>
      </c>
      <c r="M515" s="89">
        <f t="shared" ref="M515:M578" si="34">IF(ISNA(K515),L515,K515)</f>
        <v>1.2345477649468</v>
      </c>
      <c r="N515" s="89">
        <f t="shared" si="33"/>
        <v>1.1901180218969494</v>
      </c>
      <c r="O515" s="89">
        <f t="shared" ref="O515:O578" si="35">N515*J515</f>
        <v>2.9961013138664463E-2</v>
      </c>
    </row>
    <row r="516" spans="1:15" x14ac:dyDescent="0.2">
      <c r="A516" s="21" t="s">
        <v>1127</v>
      </c>
      <c r="B516" s="21" t="s">
        <v>418</v>
      </c>
      <c r="C516" s="21" t="s">
        <v>3655</v>
      </c>
      <c r="D516" s="21" t="s">
        <v>728</v>
      </c>
      <c r="E516" s="21" t="s">
        <v>729</v>
      </c>
      <c r="F516" s="21" t="s">
        <v>327</v>
      </c>
      <c r="G516" s="21" t="s">
        <v>328</v>
      </c>
      <c r="H516" s="21" t="s">
        <v>1151</v>
      </c>
      <c r="I516" s="21">
        <v>49</v>
      </c>
      <c r="J516" s="89">
        <f t="shared" si="32"/>
        <v>0.13424657534246576</v>
      </c>
      <c r="K516" s="94" t="e">
        <v>#N/A</v>
      </c>
      <c r="L516" s="94">
        <v>1.0759664978797501</v>
      </c>
      <c r="M516" s="89">
        <f t="shared" si="34"/>
        <v>1.0759664978797501</v>
      </c>
      <c r="N516" s="89">
        <f t="shared" si="33"/>
        <v>1.0372438851235679</v>
      </c>
      <c r="O516" s="89">
        <f t="shared" si="35"/>
        <v>0.13924643937275297</v>
      </c>
    </row>
    <row r="517" spans="1:15" x14ac:dyDescent="0.2">
      <c r="A517" s="21" t="s">
        <v>1127</v>
      </c>
      <c r="B517" s="21" t="s">
        <v>418</v>
      </c>
      <c r="C517" s="21" t="s">
        <v>3655</v>
      </c>
      <c r="D517" s="21" t="s">
        <v>1706</v>
      </c>
      <c r="E517" s="21" t="s">
        <v>1707</v>
      </c>
      <c r="F517" s="21" t="s">
        <v>329</v>
      </c>
      <c r="G517" s="21" t="s">
        <v>3321</v>
      </c>
      <c r="H517" s="21" t="s">
        <v>1151</v>
      </c>
      <c r="I517" s="21">
        <v>57</v>
      </c>
      <c r="J517" s="89">
        <f t="shared" si="32"/>
        <v>0.15616438356164383</v>
      </c>
      <c r="K517" s="94">
        <v>1.0673776591953801</v>
      </c>
      <c r="L517" s="94">
        <v>1.0655049709648901</v>
      </c>
      <c r="M517" s="89">
        <f t="shared" si="34"/>
        <v>1.0673776591953801</v>
      </c>
      <c r="N517" s="89">
        <f t="shared" si="33"/>
        <v>1.0289641473963891</v>
      </c>
      <c r="O517" s="89">
        <f t="shared" si="35"/>
        <v>0.16068755178518954</v>
      </c>
    </row>
    <row r="518" spans="1:15" x14ac:dyDescent="0.2">
      <c r="A518" s="21" t="s">
        <v>1127</v>
      </c>
      <c r="B518" s="21" t="s">
        <v>418</v>
      </c>
      <c r="C518" s="21" t="s">
        <v>3655</v>
      </c>
      <c r="D518" s="21" t="s">
        <v>1708</v>
      </c>
      <c r="E518" s="21" t="s">
        <v>1709</v>
      </c>
      <c r="F518" s="21" t="s">
        <v>330</v>
      </c>
      <c r="G518" s="21" t="s">
        <v>331</v>
      </c>
      <c r="H518" s="21" t="s">
        <v>1136</v>
      </c>
      <c r="I518" s="21">
        <v>28</v>
      </c>
      <c r="J518" s="89">
        <f t="shared" si="32"/>
        <v>7.6712328767123292E-2</v>
      </c>
      <c r="K518" s="94">
        <v>0.98454290869736505</v>
      </c>
      <c r="L518" s="94">
        <v>0.98447511421202305</v>
      </c>
      <c r="M518" s="89">
        <f t="shared" si="34"/>
        <v>0.98454290869736505</v>
      </c>
      <c r="N518" s="89">
        <f t="shared" si="33"/>
        <v>0.94911051013248526</v>
      </c>
      <c r="O518" s="89">
        <f t="shared" si="35"/>
        <v>7.2808477489615317E-2</v>
      </c>
    </row>
    <row r="519" spans="1:15" x14ac:dyDescent="0.2">
      <c r="A519" s="21" t="s">
        <v>1127</v>
      </c>
      <c r="B519" s="21" t="s">
        <v>418</v>
      </c>
      <c r="C519" s="21" t="s">
        <v>3655</v>
      </c>
      <c r="D519" s="21" t="s">
        <v>1710</v>
      </c>
      <c r="E519" s="21" t="s">
        <v>1711</v>
      </c>
      <c r="F519" s="21" t="s">
        <v>332</v>
      </c>
      <c r="G519" s="21" t="s">
        <v>900</v>
      </c>
      <c r="H519" s="21" t="s">
        <v>1136</v>
      </c>
      <c r="I519" s="21">
        <v>52</v>
      </c>
      <c r="J519" s="89">
        <f t="shared" si="32"/>
        <v>0.14246575342465753</v>
      </c>
      <c r="K519" s="94">
        <v>0.98369668516036601</v>
      </c>
      <c r="L519" s="94">
        <v>0.98323816515009699</v>
      </c>
      <c r="M519" s="89">
        <f t="shared" si="34"/>
        <v>0.98369668516036601</v>
      </c>
      <c r="N519" s="89">
        <f t="shared" si="33"/>
        <v>0.94829474106260292</v>
      </c>
      <c r="O519" s="89">
        <f t="shared" si="35"/>
        <v>0.13509952475412426</v>
      </c>
    </row>
    <row r="520" spans="1:15" x14ac:dyDescent="0.2">
      <c r="A520" s="21" t="s">
        <v>1127</v>
      </c>
      <c r="B520" s="21" t="s">
        <v>418</v>
      </c>
      <c r="C520" s="21" t="s">
        <v>3655</v>
      </c>
      <c r="D520" s="21" t="s">
        <v>1712</v>
      </c>
      <c r="E520" s="21" t="s">
        <v>1713</v>
      </c>
      <c r="F520" s="21" t="s">
        <v>333</v>
      </c>
      <c r="G520" s="21" t="s">
        <v>900</v>
      </c>
      <c r="H520" s="21" t="s">
        <v>1136</v>
      </c>
      <c r="I520" s="21">
        <v>41</v>
      </c>
      <c r="J520" s="89">
        <f t="shared" si="32"/>
        <v>0.11232876712328767</v>
      </c>
      <c r="K520" s="94">
        <v>0.98393333028138197</v>
      </c>
      <c r="L520" s="94">
        <v>0.98323816515009699</v>
      </c>
      <c r="M520" s="89">
        <f t="shared" si="34"/>
        <v>0.98393333028138197</v>
      </c>
      <c r="N520" s="89">
        <f t="shared" si="33"/>
        <v>0.94852286963835486</v>
      </c>
      <c r="O520" s="89">
        <f t="shared" si="35"/>
        <v>0.10654640453471931</v>
      </c>
    </row>
    <row r="521" spans="1:15" x14ac:dyDescent="0.2">
      <c r="A521" s="21" t="s">
        <v>1127</v>
      </c>
      <c r="B521" s="21" t="s">
        <v>418</v>
      </c>
      <c r="C521" s="21" t="s">
        <v>3655</v>
      </c>
      <c r="D521" s="21" t="s">
        <v>1714</v>
      </c>
      <c r="E521" s="21" t="s">
        <v>1715</v>
      </c>
      <c r="F521" s="21" t="s">
        <v>899</v>
      </c>
      <c r="G521" s="21" t="s">
        <v>900</v>
      </c>
      <c r="H521" s="21" t="s">
        <v>1136</v>
      </c>
      <c r="I521" s="21">
        <v>36</v>
      </c>
      <c r="J521" s="89">
        <f t="shared" si="32"/>
        <v>9.8630136986301367E-2</v>
      </c>
      <c r="K521" s="94">
        <v>0.98390569031050201</v>
      </c>
      <c r="L521" s="94">
        <v>0.98323816515009699</v>
      </c>
      <c r="M521" s="89">
        <f t="shared" si="34"/>
        <v>0.98390569031050201</v>
      </c>
      <c r="N521" s="89">
        <f t="shared" si="33"/>
        <v>0.94849622439351067</v>
      </c>
      <c r="O521" s="89">
        <f t="shared" si="35"/>
        <v>9.3550312542921593E-2</v>
      </c>
    </row>
    <row r="522" spans="1:15" x14ac:dyDescent="0.2">
      <c r="A522" s="21" t="s">
        <v>1127</v>
      </c>
      <c r="B522" s="21" t="s">
        <v>418</v>
      </c>
      <c r="C522" s="21" t="s">
        <v>3655</v>
      </c>
      <c r="D522" s="21" t="s">
        <v>1716</v>
      </c>
      <c r="E522" s="21" t="s">
        <v>1717</v>
      </c>
      <c r="F522" s="21" t="s">
        <v>330</v>
      </c>
      <c r="G522" s="21" t="s">
        <v>331</v>
      </c>
      <c r="H522" s="21" t="s">
        <v>1136</v>
      </c>
      <c r="I522" s="21">
        <v>17</v>
      </c>
      <c r="J522" s="89">
        <f t="shared" si="32"/>
        <v>4.6575342465753428E-2</v>
      </c>
      <c r="K522" s="94">
        <v>0.98454290869736505</v>
      </c>
      <c r="L522" s="94">
        <v>0.98447511421202305</v>
      </c>
      <c r="M522" s="89">
        <f t="shared" si="34"/>
        <v>0.98454290869736505</v>
      </c>
      <c r="N522" s="89">
        <f t="shared" si="33"/>
        <v>0.94911051013248526</v>
      </c>
      <c r="O522" s="89">
        <f t="shared" si="35"/>
        <v>4.4205147047266441E-2</v>
      </c>
    </row>
    <row r="523" spans="1:15" x14ac:dyDescent="0.2">
      <c r="A523" s="21" t="s">
        <v>1127</v>
      </c>
      <c r="B523" s="21" t="s">
        <v>418</v>
      </c>
      <c r="C523" s="21" t="s">
        <v>3655</v>
      </c>
      <c r="D523" s="21" t="s">
        <v>1718</v>
      </c>
      <c r="E523" s="21" t="s">
        <v>1719</v>
      </c>
      <c r="F523" s="21" t="s">
        <v>334</v>
      </c>
      <c r="G523" s="21" t="s">
        <v>900</v>
      </c>
      <c r="H523" s="21" t="s">
        <v>1136</v>
      </c>
      <c r="I523" s="21">
        <v>13</v>
      </c>
      <c r="J523" s="89">
        <f t="shared" si="32"/>
        <v>3.5616438356164383E-2</v>
      </c>
      <c r="K523" s="94">
        <v>0.98371126227182304</v>
      </c>
      <c r="L523" s="94">
        <v>0.98323816515009699</v>
      </c>
      <c r="M523" s="89">
        <f t="shared" si="34"/>
        <v>0.98371126227182304</v>
      </c>
      <c r="N523" s="89">
        <f t="shared" si="33"/>
        <v>0.94830879356307707</v>
      </c>
      <c r="O523" s="89">
        <f t="shared" si="35"/>
        <v>3.3775381688547948E-2</v>
      </c>
    </row>
    <row r="524" spans="1:15" x14ac:dyDescent="0.2">
      <c r="A524" s="21" t="s">
        <v>1127</v>
      </c>
      <c r="B524" s="21" t="s">
        <v>418</v>
      </c>
      <c r="C524" s="21" t="s">
        <v>3655</v>
      </c>
      <c r="D524" s="21" t="s">
        <v>1720</v>
      </c>
      <c r="E524" s="21" t="s">
        <v>1721</v>
      </c>
      <c r="F524" s="21" t="s">
        <v>335</v>
      </c>
      <c r="G524" s="21" t="s">
        <v>336</v>
      </c>
      <c r="H524" s="21" t="s">
        <v>1159</v>
      </c>
      <c r="I524" s="21">
        <v>30</v>
      </c>
      <c r="J524" s="89">
        <f t="shared" si="32"/>
        <v>8.2191780821917804E-2</v>
      </c>
      <c r="K524" s="94">
        <v>1.1804086613496001</v>
      </c>
      <c r="L524" s="94">
        <v>1.17451900823341</v>
      </c>
      <c r="M524" s="89">
        <f t="shared" si="34"/>
        <v>1.1804086613496001</v>
      </c>
      <c r="N524" s="89">
        <f t="shared" si="33"/>
        <v>1.1379273131128707</v>
      </c>
      <c r="O524" s="89">
        <f t="shared" si="35"/>
        <v>9.3528272310646893E-2</v>
      </c>
    </row>
    <row r="525" spans="1:15" x14ac:dyDescent="0.2">
      <c r="A525" s="21" t="s">
        <v>1127</v>
      </c>
      <c r="B525" s="21" t="s">
        <v>418</v>
      </c>
      <c r="C525" s="21" t="s">
        <v>3655</v>
      </c>
      <c r="D525" s="21" t="s">
        <v>1722</v>
      </c>
      <c r="E525" s="21" t="s">
        <v>1723</v>
      </c>
      <c r="F525" s="21" t="s">
        <v>3326</v>
      </c>
      <c r="G525" s="21" t="s">
        <v>3327</v>
      </c>
      <c r="H525" s="21" t="s">
        <v>1159</v>
      </c>
      <c r="I525" s="21">
        <v>42</v>
      </c>
      <c r="J525" s="89">
        <f t="shared" si="32"/>
        <v>0.11506849315068493</v>
      </c>
      <c r="K525" s="94">
        <v>1.1625078804959501</v>
      </c>
      <c r="L525" s="94">
        <v>1.16204663318827</v>
      </c>
      <c r="M525" s="89">
        <f t="shared" si="34"/>
        <v>1.1625078804959501</v>
      </c>
      <c r="N525" s="89">
        <f t="shared" si="33"/>
        <v>1.1206707577127037</v>
      </c>
      <c r="O525" s="89">
        <f t="shared" si="35"/>
        <v>0.12895389540803714</v>
      </c>
    </row>
    <row r="526" spans="1:15" x14ac:dyDescent="0.2">
      <c r="A526" s="21" t="s">
        <v>2133</v>
      </c>
      <c r="B526" s="21" t="s">
        <v>554</v>
      </c>
      <c r="C526" s="21" t="s">
        <v>555</v>
      </c>
      <c r="D526" s="21" t="s">
        <v>1724</v>
      </c>
      <c r="E526" s="21" t="s">
        <v>1725</v>
      </c>
      <c r="F526" s="21" t="s">
        <v>1007</v>
      </c>
      <c r="G526" s="21" t="s">
        <v>1008</v>
      </c>
      <c r="H526" s="21" t="s">
        <v>2140</v>
      </c>
      <c r="I526" s="21">
        <v>26</v>
      </c>
      <c r="J526" s="89">
        <f t="shared" si="32"/>
        <v>5.2953156822810592E-2</v>
      </c>
      <c r="K526" s="94">
        <v>0.97428283446899899</v>
      </c>
      <c r="L526" s="94">
        <v>0.97481268472631999</v>
      </c>
      <c r="M526" s="89">
        <f t="shared" si="34"/>
        <v>0.97428283446899899</v>
      </c>
      <c r="N526" s="89">
        <f t="shared" si="33"/>
        <v>0.93921968242060239</v>
      </c>
      <c r="O526" s="89">
        <f t="shared" si="35"/>
        <v>4.9734647134288518E-2</v>
      </c>
    </row>
    <row r="527" spans="1:15" x14ac:dyDescent="0.2">
      <c r="A527" s="21" t="s">
        <v>2133</v>
      </c>
      <c r="B527" s="21" t="s">
        <v>554</v>
      </c>
      <c r="C527" s="21" t="s">
        <v>555</v>
      </c>
      <c r="D527" s="21" t="s">
        <v>1726</v>
      </c>
      <c r="E527" s="21" t="s">
        <v>1727</v>
      </c>
      <c r="F527" s="21" t="s">
        <v>337</v>
      </c>
      <c r="G527" s="21" t="s">
        <v>338</v>
      </c>
      <c r="H527" s="21" t="s">
        <v>2140</v>
      </c>
      <c r="I527" s="21">
        <v>29</v>
      </c>
      <c r="J527" s="89">
        <f t="shared" si="32"/>
        <v>5.9063136456211814E-2</v>
      </c>
      <c r="K527" s="94">
        <v>0.96387781597563205</v>
      </c>
      <c r="L527" s="94">
        <v>0.96344619525474096</v>
      </c>
      <c r="M527" s="89">
        <f t="shared" si="34"/>
        <v>0.96387781597563205</v>
      </c>
      <c r="N527" s="89">
        <f t="shared" si="33"/>
        <v>0.92918912679632426</v>
      </c>
      <c r="O527" s="89">
        <f t="shared" si="35"/>
        <v>5.4880824189599602E-2</v>
      </c>
    </row>
    <row r="528" spans="1:15" x14ac:dyDescent="0.2">
      <c r="A528" s="21" t="s">
        <v>2133</v>
      </c>
      <c r="B528" s="21" t="s">
        <v>554</v>
      </c>
      <c r="C528" s="21" t="s">
        <v>555</v>
      </c>
      <c r="D528" s="21" t="s">
        <v>1728</v>
      </c>
      <c r="E528" s="21" t="s">
        <v>1729</v>
      </c>
      <c r="F528" s="21" t="s">
        <v>339</v>
      </c>
      <c r="G528" s="21" t="s">
        <v>340</v>
      </c>
      <c r="H528" s="21" t="s">
        <v>2140</v>
      </c>
      <c r="I528" s="21">
        <v>17</v>
      </c>
      <c r="J528" s="89">
        <f t="shared" si="32"/>
        <v>3.4623217922606926E-2</v>
      </c>
      <c r="K528" s="94">
        <v>0.96631892428120902</v>
      </c>
      <c r="L528" s="94">
        <v>0.96636621692511104</v>
      </c>
      <c r="M528" s="89">
        <f t="shared" si="34"/>
        <v>0.96631892428120902</v>
      </c>
      <c r="N528" s="89">
        <f t="shared" si="33"/>
        <v>0.93154238283902968</v>
      </c>
      <c r="O528" s="89">
        <f t="shared" si="35"/>
        <v>3.2252994925180252E-2</v>
      </c>
    </row>
    <row r="529" spans="1:15" x14ac:dyDescent="0.2">
      <c r="A529" s="21" t="s">
        <v>2133</v>
      </c>
      <c r="B529" s="21" t="s">
        <v>554</v>
      </c>
      <c r="C529" s="21" t="s">
        <v>555</v>
      </c>
      <c r="D529" s="21" t="s">
        <v>1730</v>
      </c>
      <c r="E529" s="21" t="s">
        <v>1731</v>
      </c>
      <c r="F529" s="21" t="s">
        <v>341</v>
      </c>
      <c r="G529" s="21" t="s">
        <v>1002</v>
      </c>
      <c r="H529" s="21" t="s">
        <v>2140</v>
      </c>
      <c r="I529" s="21">
        <v>158</v>
      </c>
      <c r="J529" s="89">
        <f t="shared" si="32"/>
        <v>0.32179226069246436</v>
      </c>
      <c r="K529" s="94">
        <v>0.96269303536383999</v>
      </c>
      <c r="L529" s="94">
        <v>0.96278791297010602</v>
      </c>
      <c r="M529" s="89">
        <f t="shared" si="34"/>
        <v>0.96269303536383999</v>
      </c>
      <c r="N529" s="89">
        <f t="shared" si="33"/>
        <v>0.92804698487348947</v>
      </c>
      <c r="O529" s="89">
        <f t="shared" si="35"/>
        <v>0.29863833729126543</v>
      </c>
    </row>
    <row r="530" spans="1:15" x14ac:dyDescent="0.2">
      <c r="A530" s="21" t="s">
        <v>2133</v>
      </c>
      <c r="B530" s="21" t="s">
        <v>554</v>
      </c>
      <c r="C530" s="21" t="s">
        <v>555</v>
      </c>
      <c r="D530" s="21" t="s">
        <v>1732</v>
      </c>
      <c r="E530" s="21" t="s">
        <v>1733</v>
      </c>
      <c r="F530" s="21" t="s">
        <v>342</v>
      </c>
      <c r="G530" s="21" t="s">
        <v>343</v>
      </c>
      <c r="H530" s="21" t="s">
        <v>2140</v>
      </c>
      <c r="I530" s="21">
        <v>29</v>
      </c>
      <c r="J530" s="89">
        <f t="shared" si="32"/>
        <v>5.9063136456211814E-2</v>
      </c>
      <c r="K530" s="94">
        <v>0.97946196922279305</v>
      </c>
      <c r="L530" s="94">
        <v>0.97983030831026996</v>
      </c>
      <c r="M530" s="89">
        <f t="shared" si="34"/>
        <v>0.97946196922279305</v>
      </c>
      <c r="N530" s="89">
        <f t="shared" si="33"/>
        <v>0.94421242695697016</v>
      </c>
      <c r="O530" s="89">
        <f t="shared" si="35"/>
        <v>5.5768147417010458E-2</v>
      </c>
    </row>
    <row r="531" spans="1:15" x14ac:dyDescent="0.2">
      <c r="A531" s="21" t="s">
        <v>2133</v>
      </c>
      <c r="B531" s="21" t="s">
        <v>554</v>
      </c>
      <c r="C531" s="21" t="s">
        <v>555</v>
      </c>
      <c r="D531" s="21" t="s">
        <v>1734</v>
      </c>
      <c r="E531" s="21" t="s">
        <v>1735</v>
      </c>
      <c r="F531" s="21" t="s">
        <v>344</v>
      </c>
      <c r="G531" s="21" t="s">
        <v>2477</v>
      </c>
      <c r="H531" s="21" t="s">
        <v>2154</v>
      </c>
      <c r="I531" s="21">
        <v>184</v>
      </c>
      <c r="J531" s="89">
        <f t="shared" si="32"/>
        <v>0.37474541751527496</v>
      </c>
      <c r="K531" s="94">
        <v>0.941353133394351</v>
      </c>
      <c r="L531" s="94">
        <v>0.94122266840228597</v>
      </c>
      <c r="M531" s="89">
        <f t="shared" si="34"/>
        <v>0.941353133394351</v>
      </c>
      <c r="N531" s="89">
        <f t="shared" si="33"/>
        <v>0.90747507778288172</v>
      </c>
      <c r="O531" s="89">
        <f t="shared" si="35"/>
        <v>0.34007212690845262</v>
      </c>
    </row>
    <row r="532" spans="1:15" x14ac:dyDescent="0.2">
      <c r="A532" s="21" t="s">
        <v>2133</v>
      </c>
      <c r="B532" s="21" t="s">
        <v>554</v>
      </c>
      <c r="C532" s="21" t="s">
        <v>555</v>
      </c>
      <c r="D532" s="21" t="s">
        <v>1736</v>
      </c>
      <c r="E532" s="21" t="s">
        <v>1737</v>
      </c>
      <c r="F532" s="21" t="s">
        <v>345</v>
      </c>
      <c r="G532" s="21" t="s">
        <v>346</v>
      </c>
      <c r="H532" s="21" t="s">
        <v>1406</v>
      </c>
      <c r="I532" s="21">
        <v>12</v>
      </c>
      <c r="J532" s="89">
        <f t="shared" si="32"/>
        <v>2.4439918533604887E-2</v>
      </c>
      <c r="K532" s="94">
        <v>0.95711932757276597</v>
      </c>
      <c r="L532" s="94">
        <v>0.95761102440375001</v>
      </c>
      <c r="M532" s="89">
        <f t="shared" si="34"/>
        <v>0.95711932757276597</v>
      </c>
      <c r="N532" s="89">
        <f t="shared" si="33"/>
        <v>0.92267386746216717</v>
      </c>
      <c r="O532" s="89">
        <f t="shared" si="35"/>
        <v>2.2550074153861521E-2</v>
      </c>
    </row>
    <row r="533" spans="1:15" x14ac:dyDescent="0.2">
      <c r="A533" s="21" t="s">
        <v>2133</v>
      </c>
      <c r="B533" s="21" t="s">
        <v>554</v>
      </c>
      <c r="C533" s="21" t="s">
        <v>555</v>
      </c>
      <c r="D533" s="21" t="s">
        <v>1738</v>
      </c>
      <c r="E533" s="21" t="s">
        <v>1739</v>
      </c>
      <c r="F533" s="21" t="s">
        <v>347</v>
      </c>
      <c r="G533" s="21" t="s">
        <v>348</v>
      </c>
      <c r="H533" s="21" t="s">
        <v>2154</v>
      </c>
      <c r="I533" s="21">
        <v>14</v>
      </c>
      <c r="J533" s="89">
        <f t="shared" si="32"/>
        <v>2.8513238289205704E-2</v>
      </c>
      <c r="K533" s="94">
        <v>0.94171795127305802</v>
      </c>
      <c r="L533" s="94">
        <v>0.94181833692333505</v>
      </c>
      <c r="M533" s="89">
        <f t="shared" si="34"/>
        <v>0.94171795127305802</v>
      </c>
      <c r="N533" s="89">
        <f t="shared" si="33"/>
        <v>0.90782676634810955</v>
      </c>
      <c r="O533" s="89">
        <f t="shared" si="35"/>
        <v>2.5885080914202718E-2</v>
      </c>
    </row>
    <row r="534" spans="1:15" x14ac:dyDescent="0.2">
      <c r="A534" s="21" t="s">
        <v>2133</v>
      </c>
      <c r="B534" s="21" t="s">
        <v>554</v>
      </c>
      <c r="C534" s="21" t="s">
        <v>555</v>
      </c>
      <c r="D534" s="21" t="s">
        <v>1740</v>
      </c>
      <c r="E534" s="21" t="s">
        <v>1741</v>
      </c>
      <c r="F534" s="21" t="s">
        <v>2476</v>
      </c>
      <c r="G534" s="21" t="s">
        <v>2477</v>
      </c>
      <c r="H534" s="21" t="s">
        <v>2154</v>
      </c>
      <c r="I534" s="21">
        <v>10</v>
      </c>
      <c r="J534" s="89">
        <f t="shared" si="32"/>
        <v>2.0366598778004074E-2</v>
      </c>
      <c r="K534" s="94">
        <v>0.94125800596519904</v>
      </c>
      <c r="L534" s="94">
        <v>0.94122266840228597</v>
      </c>
      <c r="M534" s="89">
        <f t="shared" si="34"/>
        <v>0.94125800596519904</v>
      </c>
      <c r="N534" s="89">
        <f t="shared" si="33"/>
        <v>0.90738337386422818</v>
      </c>
      <c r="O534" s="89">
        <f t="shared" si="35"/>
        <v>1.8480313113324404E-2</v>
      </c>
    </row>
    <row r="535" spans="1:15" x14ac:dyDescent="0.2">
      <c r="A535" s="21" t="s">
        <v>2133</v>
      </c>
      <c r="B535" s="21" t="s">
        <v>554</v>
      </c>
      <c r="C535" s="21" t="s">
        <v>555</v>
      </c>
      <c r="D535" s="21" t="s">
        <v>1742</v>
      </c>
      <c r="E535" s="21" t="s">
        <v>1743</v>
      </c>
      <c r="F535" s="21" t="s">
        <v>349</v>
      </c>
      <c r="G535" s="21" t="s">
        <v>350</v>
      </c>
      <c r="H535" s="21" t="s">
        <v>1406</v>
      </c>
      <c r="I535" s="21">
        <v>12</v>
      </c>
      <c r="J535" s="89">
        <f t="shared" si="32"/>
        <v>2.4439918533604887E-2</v>
      </c>
      <c r="K535" s="94">
        <v>0.95969674971877905</v>
      </c>
      <c r="L535" s="94">
        <v>0.95964846523185499</v>
      </c>
      <c r="M535" s="89">
        <f t="shared" si="34"/>
        <v>0.95969674971877905</v>
      </c>
      <c r="N535" s="89">
        <f t="shared" si="33"/>
        <v>0.92515853159028105</v>
      </c>
      <c r="O535" s="89">
        <f t="shared" si="35"/>
        <v>2.2610799142735994E-2</v>
      </c>
    </row>
    <row r="536" spans="1:15" x14ac:dyDescent="0.2">
      <c r="A536" s="21" t="s">
        <v>1167</v>
      </c>
      <c r="B536" s="21" t="s">
        <v>2263</v>
      </c>
      <c r="C536" s="21" t="s">
        <v>2264</v>
      </c>
      <c r="D536" s="21" t="s">
        <v>1744</v>
      </c>
      <c r="E536" s="21" t="s">
        <v>1180</v>
      </c>
      <c r="F536" s="21" t="s">
        <v>65</v>
      </c>
      <c r="G536" s="21" t="s">
        <v>66</v>
      </c>
      <c r="H536" s="21" t="s">
        <v>1171</v>
      </c>
      <c r="I536" s="21">
        <v>38</v>
      </c>
      <c r="J536" s="89">
        <f t="shared" si="32"/>
        <v>5.8371735791090631E-2</v>
      </c>
      <c r="K536" s="94">
        <v>1.21278823863461</v>
      </c>
      <c r="L536" s="94">
        <v>1.21292448684056</v>
      </c>
      <c r="M536" s="89">
        <f t="shared" si="34"/>
        <v>1.21278823863461</v>
      </c>
      <c r="N536" s="89">
        <f t="shared" si="33"/>
        <v>1.1691415921893518</v>
      </c>
      <c r="O536" s="89">
        <f t="shared" si="35"/>
        <v>6.8244824121651865E-2</v>
      </c>
    </row>
    <row r="537" spans="1:15" x14ac:dyDescent="0.2">
      <c r="A537" s="21" t="s">
        <v>1167</v>
      </c>
      <c r="B537" s="21" t="s">
        <v>2263</v>
      </c>
      <c r="C537" s="21" t="s">
        <v>2264</v>
      </c>
      <c r="D537" s="21" t="s">
        <v>1745</v>
      </c>
      <c r="E537" s="21" t="s">
        <v>1746</v>
      </c>
      <c r="F537" s="21" t="s">
        <v>351</v>
      </c>
      <c r="G537" s="21" t="s">
        <v>1418</v>
      </c>
      <c r="H537" s="21" t="s">
        <v>3466</v>
      </c>
      <c r="I537" s="21">
        <v>23</v>
      </c>
      <c r="J537" s="89">
        <f t="shared" si="32"/>
        <v>3.5330261136712747E-2</v>
      </c>
      <c r="K537" s="94">
        <v>1.2129551047396001</v>
      </c>
      <c r="L537" s="94">
        <v>1.2145100155859601</v>
      </c>
      <c r="M537" s="89">
        <f t="shared" si="34"/>
        <v>1.2129551047396001</v>
      </c>
      <c r="N537" s="89">
        <f t="shared" si="33"/>
        <v>1.1693024530036769</v>
      </c>
      <c r="O537" s="89">
        <f t="shared" si="35"/>
        <v>4.1311761012418687E-2</v>
      </c>
    </row>
    <row r="538" spans="1:15" x14ac:dyDescent="0.2">
      <c r="A538" s="21" t="s">
        <v>1167</v>
      </c>
      <c r="B538" s="21" t="s">
        <v>2263</v>
      </c>
      <c r="C538" s="21" t="s">
        <v>2264</v>
      </c>
      <c r="D538" s="21" t="s">
        <v>1747</v>
      </c>
      <c r="E538" s="21" t="s">
        <v>1182</v>
      </c>
      <c r="F538" s="21" t="s">
        <v>67</v>
      </c>
      <c r="G538" s="21" t="s">
        <v>68</v>
      </c>
      <c r="H538" s="21" t="s">
        <v>3466</v>
      </c>
      <c r="I538" s="21">
        <v>226</v>
      </c>
      <c r="J538" s="89">
        <f t="shared" si="32"/>
        <v>0.34715821812596004</v>
      </c>
      <c r="K538" s="94">
        <v>1.21066599129908</v>
      </c>
      <c r="L538" s="94">
        <v>1.21193195262228</v>
      </c>
      <c r="M538" s="89">
        <f t="shared" si="34"/>
        <v>1.21066599129908</v>
      </c>
      <c r="N538" s="89">
        <f t="shared" si="33"/>
        <v>1.1670957217316413</v>
      </c>
      <c r="O538" s="89">
        <f t="shared" si="35"/>
        <v>0.40516687113878791</v>
      </c>
    </row>
    <row r="539" spans="1:15" x14ac:dyDescent="0.2">
      <c r="A539" s="21" t="s">
        <v>1167</v>
      </c>
      <c r="B539" s="21" t="s">
        <v>2263</v>
      </c>
      <c r="C539" s="21" t="s">
        <v>2264</v>
      </c>
      <c r="D539" s="21" t="s">
        <v>1748</v>
      </c>
      <c r="E539" s="21" t="s">
        <v>1749</v>
      </c>
      <c r="F539" s="21" t="s">
        <v>1419</v>
      </c>
      <c r="G539" s="21" t="s">
        <v>1420</v>
      </c>
      <c r="H539" s="21" t="s">
        <v>1171</v>
      </c>
      <c r="I539" s="21">
        <v>12</v>
      </c>
      <c r="J539" s="89">
        <f t="shared" si="32"/>
        <v>1.8433179723502304E-2</v>
      </c>
      <c r="K539" s="94">
        <v>1.22505846203969</v>
      </c>
      <c r="L539" s="94">
        <v>1.2245893593458499</v>
      </c>
      <c r="M539" s="89">
        <f t="shared" si="34"/>
        <v>1.22505846203969</v>
      </c>
      <c r="N539" s="89">
        <f t="shared" si="33"/>
        <v>1.1809702264647675</v>
      </c>
      <c r="O539" s="89">
        <f t="shared" si="35"/>
        <v>2.1769036432530274E-2</v>
      </c>
    </row>
    <row r="540" spans="1:15" x14ac:dyDescent="0.2">
      <c r="A540" s="21" t="s">
        <v>1167</v>
      </c>
      <c r="B540" s="21" t="s">
        <v>2263</v>
      </c>
      <c r="C540" s="21" t="s">
        <v>2264</v>
      </c>
      <c r="D540" s="21" t="s">
        <v>1750</v>
      </c>
      <c r="E540" s="21" t="s">
        <v>1751</v>
      </c>
      <c r="F540" s="21" t="s">
        <v>1421</v>
      </c>
      <c r="G540" s="21" t="s">
        <v>1422</v>
      </c>
      <c r="H540" s="21" t="s">
        <v>1171</v>
      </c>
      <c r="I540" s="21">
        <v>181</v>
      </c>
      <c r="J540" s="89">
        <f t="shared" si="32"/>
        <v>0.27803379416282642</v>
      </c>
      <c r="K540" s="94">
        <v>1.2207724086796199</v>
      </c>
      <c r="L540" s="94">
        <v>1.2220670140327099</v>
      </c>
      <c r="M540" s="89">
        <f t="shared" si="34"/>
        <v>1.2207724086796199</v>
      </c>
      <c r="N540" s="89">
        <f t="shared" si="33"/>
        <v>1.1768384225026491</v>
      </c>
      <c r="O540" s="89">
        <f t="shared" si="35"/>
        <v>0.3272008517250069</v>
      </c>
    </row>
    <row r="541" spans="1:15" x14ac:dyDescent="0.2">
      <c r="A541" s="21" t="s">
        <v>1167</v>
      </c>
      <c r="B541" s="21" t="s">
        <v>2263</v>
      </c>
      <c r="C541" s="21" t="s">
        <v>2264</v>
      </c>
      <c r="D541" s="21" t="s">
        <v>1752</v>
      </c>
      <c r="E541" s="21" t="s">
        <v>1753</v>
      </c>
      <c r="F541" s="21" t="s">
        <v>1423</v>
      </c>
      <c r="G541" s="21" t="s">
        <v>1424</v>
      </c>
      <c r="H541" s="21" t="s">
        <v>1173</v>
      </c>
      <c r="I541" s="21">
        <v>171</v>
      </c>
      <c r="J541" s="89">
        <f t="shared" si="32"/>
        <v>0.26267281105990781</v>
      </c>
      <c r="K541" s="94">
        <v>1.2326164986480601</v>
      </c>
      <c r="L541" s="94">
        <v>1.23175420948141</v>
      </c>
      <c r="M541" s="89">
        <f t="shared" si="34"/>
        <v>1.2326164986480601</v>
      </c>
      <c r="N541" s="89">
        <f t="shared" si="33"/>
        <v>1.1882562593208277</v>
      </c>
      <c r="O541" s="89">
        <f t="shared" si="35"/>
        <v>0.31212261189533258</v>
      </c>
    </row>
    <row r="542" spans="1:15" x14ac:dyDescent="0.2">
      <c r="A542" s="21" t="s">
        <v>1127</v>
      </c>
      <c r="B542" s="21" t="s">
        <v>2304</v>
      </c>
      <c r="C542" s="21" t="s">
        <v>2305</v>
      </c>
      <c r="D542" s="21" t="s">
        <v>728</v>
      </c>
      <c r="E542" s="21" t="s">
        <v>729</v>
      </c>
      <c r="F542" s="21" t="s">
        <v>1425</v>
      </c>
      <c r="G542" s="21" t="s">
        <v>1426</v>
      </c>
      <c r="H542" s="21" t="s">
        <v>1133</v>
      </c>
      <c r="I542" s="21">
        <v>169</v>
      </c>
      <c r="J542" s="89">
        <f t="shared" si="32"/>
        <v>0.36344086021505378</v>
      </c>
      <c r="K542" s="94" t="e">
        <v>#N/A</v>
      </c>
      <c r="L542" s="94">
        <v>1.04963086585498</v>
      </c>
      <c r="M542" s="89">
        <f t="shared" si="34"/>
        <v>1.04963086585498</v>
      </c>
      <c r="N542" s="89">
        <f t="shared" si="33"/>
        <v>1.0118560377023094</v>
      </c>
      <c r="O542" s="89">
        <f t="shared" si="35"/>
        <v>0.36774982875632323</v>
      </c>
    </row>
    <row r="543" spans="1:15" x14ac:dyDescent="0.2">
      <c r="A543" s="21" t="s">
        <v>1127</v>
      </c>
      <c r="B543" s="21" t="s">
        <v>2304</v>
      </c>
      <c r="C543" s="21" t="s">
        <v>2305</v>
      </c>
      <c r="D543" s="21" t="s">
        <v>1754</v>
      </c>
      <c r="E543" s="21" t="s">
        <v>1755</v>
      </c>
      <c r="F543" s="21" t="s">
        <v>1427</v>
      </c>
      <c r="G543" s="21" t="s">
        <v>1428</v>
      </c>
      <c r="H543" s="21" t="s">
        <v>1133</v>
      </c>
      <c r="I543" s="21">
        <v>155</v>
      </c>
      <c r="J543" s="89">
        <f t="shared" si="32"/>
        <v>0.33333333333333331</v>
      </c>
      <c r="K543" s="94">
        <v>1.0500581087301999</v>
      </c>
      <c r="L543" s="94" t="e">
        <v>#N/A</v>
      </c>
      <c r="M543" s="89">
        <f t="shared" si="34"/>
        <v>1.0500581087301999</v>
      </c>
      <c r="N543" s="89">
        <f t="shared" si="33"/>
        <v>1.0122679046708978</v>
      </c>
      <c r="O543" s="89">
        <f t="shared" si="35"/>
        <v>0.33742263489029922</v>
      </c>
    </row>
    <row r="544" spans="1:15" x14ac:dyDescent="0.2">
      <c r="A544" s="21" t="s">
        <v>1127</v>
      </c>
      <c r="B544" s="21" t="s">
        <v>2304</v>
      </c>
      <c r="C544" s="21" t="s">
        <v>2305</v>
      </c>
      <c r="D544" s="21" t="s">
        <v>1756</v>
      </c>
      <c r="E544" s="21" t="s">
        <v>1757</v>
      </c>
      <c r="F544" s="21" t="s">
        <v>1429</v>
      </c>
      <c r="G544" s="21" t="s">
        <v>1428</v>
      </c>
      <c r="H544" s="21" t="s">
        <v>1133</v>
      </c>
      <c r="I544" s="21">
        <v>51</v>
      </c>
      <c r="J544" s="89">
        <f t="shared" si="32"/>
        <v>0.10967741935483871</v>
      </c>
      <c r="K544" s="94">
        <v>1.0498621760244899</v>
      </c>
      <c r="L544" s="94" t="e">
        <v>#N/A</v>
      </c>
      <c r="M544" s="89">
        <f t="shared" si="34"/>
        <v>1.0498621760244899</v>
      </c>
      <c r="N544" s="89">
        <f t="shared" si="33"/>
        <v>1.0120790233244117</v>
      </c>
      <c r="O544" s="89">
        <f t="shared" si="35"/>
        <v>0.1110022154613871</v>
      </c>
    </row>
    <row r="545" spans="1:15" x14ac:dyDescent="0.2">
      <c r="A545" s="21" t="s">
        <v>1127</v>
      </c>
      <c r="B545" s="21" t="s">
        <v>2304</v>
      </c>
      <c r="C545" s="21" t="s">
        <v>2305</v>
      </c>
      <c r="D545" s="21" t="s">
        <v>1758</v>
      </c>
      <c r="E545" s="21" t="s">
        <v>1759</v>
      </c>
      <c r="F545" s="21" t="s">
        <v>1430</v>
      </c>
      <c r="G545" s="21" t="s">
        <v>1431</v>
      </c>
      <c r="H545" s="21" t="s">
        <v>1157</v>
      </c>
      <c r="I545" s="21">
        <v>70</v>
      </c>
      <c r="J545" s="89">
        <f t="shared" si="32"/>
        <v>0.15053763440860216</v>
      </c>
      <c r="K545" s="94">
        <v>1.00574508052486</v>
      </c>
      <c r="L545" s="94">
        <v>1.0056128770649799</v>
      </c>
      <c r="M545" s="89">
        <f t="shared" si="34"/>
        <v>1.00574508052486</v>
      </c>
      <c r="N545" s="89">
        <f t="shared" si="33"/>
        <v>0.96954964380694852</v>
      </c>
      <c r="O545" s="89">
        <f t="shared" si="35"/>
        <v>0.14595370982040085</v>
      </c>
    </row>
    <row r="546" spans="1:15" x14ac:dyDescent="0.2">
      <c r="A546" s="21" t="s">
        <v>1127</v>
      </c>
      <c r="B546" s="21" t="s">
        <v>2304</v>
      </c>
      <c r="C546" s="21" t="s">
        <v>2305</v>
      </c>
      <c r="D546" s="21" t="s">
        <v>1760</v>
      </c>
      <c r="E546" s="21" t="s">
        <v>1761</v>
      </c>
      <c r="F546" s="21" t="s">
        <v>1432</v>
      </c>
      <c r="G546" s="21" t="s">
        <v>949</v>
      </c>
      <c r="H546" s="21" t="s">
        <v>1157</v>
      </c>
      <c r="I546" s="21">
        <v>20</v>
      </c>
      <c r="J546" s="89">
        <f t="shared" si="32"/>
        <v>4.3010752688172046E-2</v>
      </c>
      <c r="K546" s="94">
        <v>1.00504703142212</v>
      </c>
      <c r="L546" s="94">
        <v>1.0048309315869901</v>
      </c>
      <c r="M546" s="89">
        <f t="shared" si="34"/>
        <v>1.00504703142212</v>
      </c>
      <c r="N546" s="89">
        <f t="shared" si="33"/>
        <v>0.9688767165691955</v>
      </c>
      <c r="O546" s="89">
        <f t="shared" si="35"/>
        <v>4.1672116841685834E-2</v>
      </c>
    </row>
    <row r="547" spans="1:15" x14ac:dyDescent="0.2">
      <c r="A547" s="21" t="s">
        <v>2975</v>
      </c>
      <c r="B547" s="21" t="s">
        <v>3694</v>
      </c>
      <c r="C547" s="21" t="s">
        <v>3695</v>
      </c>
      <c r="D547" s="21" t="s">
        <v>728</v>
      </c>
      <c r="E547" s="21" t="s">
        <v>729</v>
      </c>
      <c r="F547" s="21" t="s">
        <v>1433</v>
      </c>
      <c r="G547" s="21" t="s">
        <v>1434</v>
      </c>
      <c r="H547" s="21" t="s">
        <v>3013</v>
      </c>
      <c r="I547" s="21">
        <v>8</v>
      </c>
      <c r="J547" s="89">
        <f t="shared" si="32"/>
        <v>1.6359918200408999E-2</v>
      </c>
      <c r="K547" s="94" t="e">
        <v>#N/A</v>
      </c>
      <c r="L547" s="94">
        <v>0.99760394073566505</v>
      </c>
      <c r="M547" s="89">
        <f t="shared" si="34"/>
        <v>0.99760394073566505</v>
      </c>
      <c r="N547" s="89">
        <f t="shared" si="33"/>
        <v>0.9617014928831803</v>
      </c>
      <c r="O547" s="89">
        <f t="shared" si="35"/>
        <v>1.5733357756780048E-2</v>
      </c>
    </row>
    <row r="548" spans="1:15" x14ac:dyDescent="0.2">
      <c r="A548" s="21" t="s">
        <v>2975</v>
      </c>
      <c r="B548" s="21" t="s">
        <v>3694</v>
      </c>
      <c r="C548" s="21" t="s">
        <v>3695</v>
      </c>
      <c r="D548" s="21" t="s">
        <v>1762</v>
      </c>
      <c r="E548" s="21" t="s">
        <v>1237</v>
      </c>
      <c r="F548" s="21" t="s">
        <v>115</v>
      </c>
      <c r="G548" s="21" t="s">
        <v>116</v>
      </c>
      <c r="H548" s="21" t="s">
        <v>3000</v>
      </c>
      <c r="I548" s="21">
        <v>72</v>
      </c>
      <c r="J548" s="89">
        <f t="shared" si="32"/>
        <v>0.14723926380368099</v>
      </c>
      <c r="K548" s="94">
        <v>0.98710229017027595</v>
      </c>
      <c r="L548" s="94">
        <v>0.98774617121333197</v>
      </c>
      <c r="M548" s="89">
        <f t="shared" si="34"/>
        <v>0.98710229017027595</v>
      </c>
      <c r="N548" s="89">
        <f t="shared" si="33"/>
        <v>0.95157778284748762</v>
      </c>
      <c r="O548" s="89">
        <f t="shared" si="35"/>
        <v>0.14010961219840309</v>
      </c>
    </row>
    <row r="549" spans="1:15" x14ac:dyDescent="0.2">
      <c r="A549" s="21" t="s">
        <v>2975</v>
      </c>
      <c r="B549" s="21" t="s">
        <v>3694</v>
      </c>
      <c r="C549" s="21" t="s">
        <v>3695</v>
      </c>
      <c r="D549" s="21" t="s">
        <v>1763</v>
      </c>
      <c r="E549" s="21" t="s">
        <v>1764</v>
      </c>
      <c r="F549" s="21" t="s">
        <v>3236</v>
      </c>
      <c r="G549" s="21" t="s">
        <v>3237</v>
      </c>
      <c r="H549" s="21" t="s">
        <v>3013</v>
      </c>
      <c r="I549" s="21">
        <v>87</v>
      </c>
      <c r="J549" s="89">
        <f t="shared" si="32"/>
        <v>0.17791411042944785</v>
      </c>
      <c r="K549" s="94">
        <v>0.99591501369181201</v>
      </c>
      <c r="L549" s="94">
        <v>0.99543978970719604</v>
      </c>
      <c r="M549" s="89">
        <f t="shared" si="34"/>
        <v>0.99591501369181201</v>
      </c>
      <c r="N549" s="89">
        <f t="shared" si="33"/>
        <v>0.96007334809232625</v>
      </c>
      <c r="O549" s="89">
        <f t="shared" si="35"/>
        <v>0.17081059567286785</v>
      </c>
    </row>
    <row r="550" spans="1:15" x14ac:dyDescent="0.2">
      <c r="A550" s="21" t="s">
        <v>2975</v>
      </c>
      <c r="B550" s="21" t="s">
        <v>3694</v>
      </c>
      <c r="C550" s="21" t="s">
        <v>3695</v>
      </c>
      <c r="D550" s="21" t="s">
        <v>1765</v>
      </c>
      <c r="E550" s="21" t="s">
        <v>1766</v>
      </c>
      <c r="F550" s="21" t="s">
        <v>1435</v>
      </c>
      <c r="G550" s="21" t="s">
        <v>118</v>
      </c>
      <c r="H550" s="21" t="s">
        <v>3612</v>
      </c>
      <c r="I550" s="21">
        <v>66</v>
      </c>
      <c r="J550" s="89">
        <f t="shared" si="32"/>
        <v>0.13496932515337423</v>
      </c>
      <c r="K550" s="94">
        <v>0.99079303164381205</v>
      </c>
      <c r="L550" s="94">
        <v>0.99068863370151705</v>
      </c>
      <c r="M550" s="89">
        <f t="shared" si="34"/>
        <v>0.99079303164381205</v>
      </c>
      <c r="N550" s="89">
        <f t="shared" si="33"/>
        <v>0.95513569941137777</v>
      </c>
      <c r="O550" s="89">
        <f t="shared" si="35"/>
        <v>0.12891402077944975</v>
      </c>
    </row>
    <row r="551" spans="1:15" x14ac:dyDescent="0.2">
      <c r="A551" s="21" t="s">
        <v>2975</v>
      </c>
      <c r="B551" s="21" t="s">
        <v>3694</v>
      </c>
      <c r="C551" s="21" t="s">
        <v>3695</v>
      </c>
      <c r="D551" s="21" t="s">
        <v>1767</v>
      </c>
      <c r="E551" s="21" t="s">
        <v>1233</v>
      </c>
      <c r="F551" s="21" t="s">
        <v>111</v>
      </c>
      <c r="G551" s="21" t="s">
        <v>112</v>
      </c>
      <c r="H551" s="21" t="s">
        <v>3605</v>
      </c>
      <c r="I551" s="21">
        <v>65</v>
      </c>
      <c r="J551" s="89">
        <f t="shared" si="32"/>
        <v>0.1329243353783231</v>
      </c>
      <c r="K551" s="94">
        <v>0.98031120698134999</v>
      </c>
      <c r="L551" s="94">
        <v>0.980961134294841</v>
      </c>
      <c r="M551" s="89">
        <f t="shared" si="34"/>
        <v>0.98031120698134999</v>
      </c>
      <c r="N551" s="89">
        <f t="shared" si="33"/>
        <v>0.94503110177055871</v>
      </c>
      <c r="O551" s="89">
        <f t="shared" si="35"/>
        <v>0.12561763111469593</v>
      </c>
    </row>
    <row r="552" spans="1:15" x14ac:dyDescent="0.2">
      <c r="A552" s="21" t="s">
        <v>2975</v>
      </c>
      <c r="B552" s="21" t="s">
        <v>3694</v>
      </c>
      <c r="C552" s="21" t="s">
        <v>3695</v>
      </c>
      <c r="D552" s="21" t="s">
        <v>1768</v>
      </c>
      <c r="E552" s="21" t="s">
        <v>1279</v>
      </c>
      <c r="F552" s="21" t="s">
        <v>157</v>
      </c>
      <c r="G552" s="21" t="s">
        <v>156</v>
      </c>
      <c r="H552" s="21" t="s">
        <v>3023</v>
      </c>
      <c r="I552" s="21">
        <v>93</v>
      </c>
      <c r="J552" s="89">
        <f t="shared" si="32"/>
        <v>0.19018404907975461</v>
      </c>
      <c r="K552" s="94">
        <v>1.0031097292726601</v>
      </c>
      <c r="L552" s="94">
        <v>1.0033094186887399</v>
      </c>
      <c r="M552" s="89">
        <f t="shared" si="34"/>
        <v>1.0031097292726601</v>
      </c>
      <c r="N552" s="89">
        <f t="shared" si="33"/>
        <v>0.96700913536464705</v>
      </c>
      <c r="O552" s="89">
        <f t="shared" si="35"/>
        <v>0.1839097128607611</v>
      </c>
    </row>
    <row r="553" spans="1:15" x14ac:dyDescent="0.2">
      <c r="A553" s="21" t="s">
        <v>2975</v>
      </c>
      <c r="B553" s="21" t="s">
        <v>3694</v>
      </c>
      <c r="C553" s="21" t="s">
        <v>3695</v>
      </c>
      <c r="D553" s="21" t="s">
        <v>1769</v>
      </c>
      <c r="E553" s="21" t="s">
        <v>1770</v>
      </c>
      <c r="F553" s="21" t="s">
        <v>1436</v>
      </c>
      <c r="G553" s="21" t="s">
        <v>1437</v>
      </c>
      <c r="H553" s="21" t="s">
        <v>3013</v>
      </c>
      <c r="I553" s="21">
        <v>22</v>
      </c>
      <c r="J553" s="89">
        <f t="shared" si="32"/>
        <v>4.4989775051124746E-2</v>
      </c>
      <c r="K553" s="94">
        <v>0.99226292256513404</v>
      </c>
      <c r="L553" s="94">
        <v>0.99168859911438101</v>
      </c>
      <c r="M553" s="89">
        <f t="shared" si="34"/>
        <v>0.99226292256513404</v>
      </c>
      <c r="N553" s="89">
        <f t="shared" si="33"/>
        <v>0.95655269090037331</v>
      </c>
      <c r="O553" s="89">
        <f t="shared" si="35"/>
        <v>4.3035090388155853E-2</v>
      </c>
    </row>
    <row r="554" spans="1:15" x14ac:dyDescent="0.2">
      <c r="A554" s="21" t="s">
        <v>2975</v>
      </c>
      <c r="B554" s="21" t="s">
        <v>3694</v>
      </c>
      <c r="C554" s="21" t="s">
        <v>3695</v>
      </c>
      <c r="D554" s="21" t="s">
        <v>1771</v>
      </c>
      <c r="E554" s="21" t="s">
        <v>1772</v>
      </c>
      <c r="F554" s="21" t="s">
        <v>1438</v>
      </c>
      <c r="G554" s="21" t="s">
        <v>1439</v>
      </c>
      <c r="H554" s="21" t="s">
        <v>3023</v>
      </c>
      <c r="I554" s="21">
        <v>45</v>
      </c>
      <c r="J554" s="89">
        <f t="shared" si="32"/>
        <v>9.202453987730061E-2</v>
      </c>
      <c r="K554" s="94">
        <v>1.0029140813408</v>
      </c>
      <c r="L554" s="94">
        <v>1.00287225687215</v>
      </c>
      <c r="M554" s="89">
        <f t="shared" si="34"/>
        <v>1.0029140813408</v>
      </c>
      <c r="N554" s="89">
        <f t="shared" si="33"/>
        <v>0.96682052854337619</v>
      </c>
      <c r="O554" s="89">
        <f t="shared" si="35"/>
        <v>8.8971214283132774E-2</v>
      </c>
    </row>
    <row r="555" spans="1:15" x14ac:dyDescent="0.2">
      <c r="A555" s="21" t="s">
        <v>2975</v>
      </c>
      <c r="B555" s="21" t="s">
        <v>3694</v>
      </c>
      <c r="C555" s="21" t="s">
        <v>3695</v>
      </c>
      <c r="D555" s="21" t="s">
        <v>1773</v>
      </c>
      <c r="E555" s="21" t="s">
        <v>1774</v>
      </c>
      <c r="F555" s="21" t="s">
        <v>1440</v>
      </c>
      <c r="G555" s="21" t="s">
        <v>1441</v>
      </c>
      <c r="H555" s="21" t="s">
        <v>3023</v>
      </c>
      <c r="I555" s="21">
        <v>19</v>
      </c>
      <c r="J555" s="89">
        <f t="shared" si="32"/>
        <v>3.8854805725971372E-2</v>
      </c>
      <c r="K555" s="94">
        <v>1.00386532638712</v>
      </c>
      <c r="L555" s="94">
        <v>1.0036443311362</v>
      </c>
      <c r="M555" s="89">
        <f t="shared" si="34"/>
        <v>1.00386532638712</v>
      </c>
      <c r="N555" s="89">
        <f t="shared" si="33"/>
        <v>0.9677375395372072</v>
      </c>
      <c r="O555" s="89">
        <f t="shared" si="35"/>
        <v>3.7601254092447724E-2</v>
      </c>
    </row>
    <row r="556" spans="1:15" x14ac:dyDescent="0.2">
      <c r="A556" s="21" t="s">
        <v>2975</v>
      </c>
      <c r="B556" s="21" t="s">
        <v>3694</v>
      </c>
      <c r="C556" s="21" t="s">
        <v>3695</v>
      </c>
      <c r="D556" s="21" t="s">
        <v>1775</v>
      </c>
      <c r="E556" s="21" t="s">
        <v>2792</v>
      </c>
      <c r="F556" s="21" t="s">
        <v>1442</v>
      </c>
      <c r="G556" s="21" t="s">
        <v>1443</v>
      </c>
      <c r="H556" s="21" t="s">
        <v>3605</v>
      </c>
      <c r="I556" s="21">
        <v>12</v>
      </c>
      <c r="J556" s="89">
        <f t="shared" si="32"/>
        <v>2.4539877300613498E-2</v>
      </c>
      <c r="K556" s="94">
        <v>0.98362921926218905</v>
      </c>
      <c r="L556" s="94">
        <v>0.984150736588421</v>
      </c>
      <c r="M556" s="89">
        <f t="shared" si="34"/>
        <v>0.98362921926218905</v>
      </c>
      <c r="N556" s="89">
        <f t="shared" si="33"/>
        <v>0.94822970317296951</v>
      </c>
      <c r="O556" s="89">
        <f t="shared" si="35"/>
        <v>2.3269440568661828E-2</v>
      </c>
    </row>
    <row r="557" spans="1:15" x14ac:dyDescent="0.2">
      <c r="A557" s="21" t="s">
        <v>3069</v>
      </c>
      <c r="B557" s="21" t="s">
        <v>365</v>
      </c>
      <c r="C557" s="21" t="s">
        <v>366</v>
      </c>
      <c r="D557" s="21" t="s">
        <v>728</v>
      </c>
      <c r="E557" s="21" t="s">
        <v>729</v>
      </c>
      <c r="F557" s="21" t="s">
        <v>1444</v>
      </c>
      <c r="G557" s="21" t="s">
        <v>239</v>
      </c>
      <c r="H557" s="21" t="s">
        <v>2122</v>
      </c>
      <c r="I557" s="21">
        <v>200</v>
      </c>
      <c r="J557" s="89">
        <f t="shared" si="32"/>
        <v>0.36968576709796674</v>
      </c>
      <c r="K557" s="94" t="e">
        <v>#N/A</v>
      </c>
      <c r="L557" s="94">
        <v>0.980909783516139</v>
      </c>
      <c r="M557" s="89">
        <f t="shared" si="34"/>
        <v>0.980909783516139</v>
      </c>
      <c r="N557" s="89">
        <f t="shared" si="33"/>
        <v>0.94560813632666407</v>
      </c>
      <c r="O557" s="89">
        <f t="shared" si="35"/>
        <v>0.34957786925200152</v>
      </c>
    </row>
    <row r="558" spans="1:15" x14ac:dyDescent="0.2">
      <c r="A558" s="21" t="s">
        <v>3069</v>
      </c>
      <c r="B558" s="21" t="s">
        <v>365</v>
      </c>
      <c r="C558" s="21" t="s">
        <v>366</v>
      </c>
      <c r="D558" s="21" t="s">
        <v>2793</v>
      </c>
      <c r="E558" s="21" t="s">
        <v>2794</v>
      </c>
      <c r="F558" s="21" t="s">
        <v>135</v>
      </c>
      <c r="G558" s="21" t="s">
        <v>136</v>
      </c>
      <c r="H558" s="21" t="s">
        <v>2122</v>
      </c>
      <c r="I558" s="21">
        <v>129</v>
      </c>
      <c r="J558" s="89">
        <f t="shared" si="32"/>
        <v>0.23844731977818853</v>
      </c>
      <c r="K558" s="94">
        <v>0.98111006237123599</v>
      </c>
      <c r="L558" s="94">
        <v>0.981016773741343</v>
      </c>
      <c r="M558" s="89">
        <f t="shared" si="34"/>
        <v>0.98111006237123599</v>
      </c>
      <c r="N558" s="89">
        <f t="shared" si="33"/>
        <v>0.94580120741036255</v>
      </c>
      <c r="O558" s="89">
        <f t="shared" si="35"/>
        <v>0.22552376294997553</v>
      </c>
    </row>
    <row r="559" spans="1:15" x14ac:dyDescent="0.2">
      <c r="A559" s="21" t="s">
        <v>3069</v>
      </c>
      <c r="B559" s="21" t="s">
        <v>365</v>
      </c>
      <c r="C559" s="21" t="s">
        <v>366</v>
      </c>
      <c r="D559" s="21" t="s">
        <v>2795</v>
      </c>
      <c r="E559" s="21" t="s">
        <v>2796</v>
      </c>
      <c r="F559" s="21" t="s">
        <v>1445</v>
      </c>
      <c r="G559" s="21" t="s">
        <v>134</v>
      </c>
      <c r="H559" s="21" t="s">
        <v>2122</v>
      </c>
      <c r="I559" s="21">
        <v>34</v>
      </c>
      <c r="J559" s="89">
        <f t="shared" si="32"/>
        <v>6.2846580406654348E-2</v>
      </c>
      <c r="K559" s="94">
        <v>0.98154683974423496</v>
      </c>
      <c r="L559" s="94">
        <v>0.98133681979595799</v>
      </c>
      <c r="M559" s="89">
        <f t="shared" si="34"/>
        <v>0.98154683974423496</v>
      </c>
      <c r="N559" s="89">
        <f t="shared" si="33"/>
        <v>0.94622226574275137</v>
      </c>
      <c r="O559" s="89">
        <f t="shared" si="35"/>
        <v>5.9466833706568481E-2</v>
      </c>
    </row>
    <row r="560" spans="1:15" x14ac:dyDescent="0.2">
      <c r="A560" s="21" t="s">
        <v>3069</v>
      </c>
      <c r="B560" s="21" t="s">
        <v>365</v>
      </c>
      <c r="C560" s="21" t="s">
        <v>366</v>
      </c>
      <c r="D560" s="21" t="s">
        <v>2797</v>
      </c>
      <c r="E560" s="21" t="s">
        <v>2798</v>
      </c>
      <c r="F560" s="21" t="s">
        <v>1446</v>
      </c>
      <c r="G560" s="21" t="s">
        <v>134</v>
      </c>
      <c r="H560" s="21" t="s">
        <v>2122</v>
      </c>
      <c r="I560" s="21">
        <v>126</v>
      </c>
      <c r="J560" s="89">
        <f t="shared" si="32"/>
        <v>0.23290203327171904</v>
      </c>
      <c r="K560" s="94">
        <v>0.98162109789701801</v>
      </c>
      <c r="L560" s="94">
        <v>0.98133681979595799</v>
      </c>
      <c r="M560" s="89">
        <f t="shared" si="34"/>
        <v>0.98162109789701801</v>
      </c>
      <c r="N560" s="89">
        <f t="shared" si="33"/>
        <v>0.94629385144272127</v>
      </c>
      <c r="O560" s="89">
        <f t="shared" si="35"/>
        <v>0.22039376207353584</v>
      </c>
    </row>
    <row r="561" spans="1:15" x14ac:dyDescent="0.2">
      <c r="A561" s="21" t="s">
        <v>3069</v>
      </c>
      <c r="B561" s="21" t="s">
        <v>365</v>
      </c>
      <c r="C561" s="21" t="s">
        <v>366</v>
      </c>
      <c r="D561" s="21" t="s">
        <v>2799</v>
      </c>
      <c r="E561" s="21" t="s">
        <v>2800</v>
      </c>
      <c r="F561" s="21" t="s">
        <v>1447</v>
      </c>
      <c r="G561" s="21" t="s">
        <v>136</v>
      </c>
      <c r="H561" s="21" t="s">
        <v>2122</v>
      </c>
      <c r="I561" s="21">
        <v>52</v>
      </c>
      <c r="J561" s="89">
        <f t="shared" si="32"/>
        <v>9.6118299445471345E-2</v>
      </c>
      <c r="K561" s="94">
        <v>0.98109162221936497</v>
      </c>
      <c r="L561" s="94">
        <v>0.981016773741343</v>
      </c>
      <c r="M561" s="89">
        <f t="shared" si="34"/>
        <v>0.98109162221936497</v>
      </c>
      <c r="N561" s="89">
        <f t="shared" si="33"/>
        <v>0.94578343089519534</v>
      </c>
      <c r="O561" s="89">
        <f t="shared" si="35"/>
        <v>9.0907095021349638E-2</v>
      </c>
    </row>
    <row r="562" spans="1:15" x14ac:dyDescent="0.2">
      <c r="A562" s="21" t="s">
        <v>1127</v>
      </c>
      <c r="B562" s="21" t="s">
        <v>407</v>
      </c>
      <c r="C562" s="21" t="s">
        <v>2801</v>
      </c>
      <c r="D562" s="21" t="s">
        <v>728</v>
      </c>
      <c r="E562" s="21" t="s">
        <v>729</v>
      </c>
      <c r="F562" s="21" t="s">
        <v>1448</v>
      </c>
      <c r="G562" s="21" t="s">
        <v>1449</v>
      </c>
      <c r="H562" s="21" t="s">
        <v>1145</v>
      </c>
      <c r="I562" s="21">
        <v>113</v>
      </c>
      <c r="J562" s="89">
        <f t="shared" si="32"/>
        <v>0.18991596638655461</v>
      </c>
      <c r="K562" s="94" t="e">
        <v>#N/A</v>
      </c>
      <c r="L562" s="94">
        <v>0.97763932491190098</v>
      </c>
      <c r="M562" s="89">
        <f t="shared" si="34"/>
        <v>0.97763932491190098</v>
      </c>
      <c r="N562" s="89">
        <f t="shared" si="33"/>
        <v>0.94245537720685857</v>
      </c>
      <c r="O562" s="89">
        <f t="shared" si="35"/>
        <v>0.17898732373844539</v>
      </c>
    </row>
    <row r="563" spans="1:15" x14ac:dyDescent="0.2">
      <c r="A563" s="21" t="s">
        <v>1127</v>
      </c>
      <c r="B563" s="21" t="s">
        <v>407</v>
      </c>
      <c r="C563" s="21" t="s">
        <v>2801</v>
      </c>
      <c r="D563" s="21" t="s">
        <v>2802</v>
      </c>
      <c r="E563" s="21" t="s">
        <v>2803</v>
      </c>
      <c r="F563" s="21" t="s">
        <v>1450</v>
      </c>
      <c r="G563" s="21" t="s">
        <v>1449</v>
      </c>
      <c r="H563" s="21" t="s">
        <v>1145</v>
      </c>
      <c r="I563" s="21">
        <v>64</v>
      </c>
      <c r="J563" s="89">
        <f t="shared" si="32"/>
        <v>0.10756302521008404</v>
      </c>
      <c r="K563" s="94">
        <v>0.97760075521538203</v>
      </c>
      <c r="L563" s="94">
        <v>0.97763932491190098</v>
      </c>
      <c r="M563" s="89">
        <f t="shared" si="34"/>
        <v>0.97760075521538203</v>
      </c>
      <c r="N563" s="89">
        <f t="shared" si="33"/>
        <v>0.9424181955827613</v>
      </c>
      <c r="O563" s="89">
        <f t="shared" si="35"/>
        <v>0.10136935212991047</v>
      </c>
    </row>
    <row r="564" spans="1:15" x14ac:dyDescent="0.2">
      <c r="A564" s="21" t="s">
        <v>3528</v>
      </c>
      <c r="B564" s="21" t="s">
        <v>3372</v>
      </c>
      <c r="C564" s="21" t="s">
        <v>3373</v>
      </c>
      <c r="D564" s="21" t="s">
        <v>728</v>
      </c>
      <c r="E564" s="21" t="s">
        <v>729</v>
      </c>
      <c r="F564" s="21" t="s">
        <v>1451</v>
      </c>
      <c r="G564" s="21" t="s">
        <v>1452</v>
      </c>
      <c r="H564" s="21" t="s">
        <v>3530</v>
      </c>
      <c r="I564" s="21">
        <v>91</v>
      </c>
      <c r="J564" s="89">
        <f t="shared" si="32"/>
        <v>0.44827586206896552</v>
      </c>
      <c r="K564" s="94" t="e">
        <v>#N/A</v>
      </c>
      <c r="L564" s="94">
        <v>0.99861764081813498</v>
      </c>
      <c r="M564" s="89">
        <f t="shared" si="34"/>
        <v>0.99861764081813498</v>
      </c>
      <c r="N564" s="89">
        <f t="shared" si="33"/>
        <v>0.96267871123892201</v>
      </c>
      <c r="O564" s="89">
        <f t="shared" si="35"/>
        <v>0.43154562917606848</v>
      </c>
    </row>
    <row r="565" spans="1:15" x14ac:dyDescent="0.2">
      <c r="A565" s="21" t="s">
        <v>3528</v>
      </c>
      <c r="B565" s="21" t="s">
        <v>3372</v>
      </c>
      <c r="C565" s="21" t="s">
        <v>3373</v>
      </c>
      <c r="D565" s="21" t="s">
        <v>2804</v>
      </c>
      <c r="E565" s="21" t="s">
        <v>2805</v>
      </c>
      <c r="F565" s="21" t="s">
        <v>1453</v>
      </c>
      <c r="G565" s="21" t="s">
        <v>3408</v>
      </c>
      <c r="H565" s="21" t="s">
        <v>3530</v>
      </c>
      <c r="I565" s="21">
        <v>40</v>
      </c>
      <c r="J565" s="89">
        <f t="shared" si="32"/>
        <v>0.19704433497536947</v>
      </c>
      <c r="K565" s="94">
        <v>0.99918174745987098</v>
      </c>
      <c r="L565" s="94">
        <v>0.99988619489157005</v>
      </c>
      <c r="M565" s="89">
        <f t="shared" si="34"/>
        <v>0.99918174745987098</v>
      </c>
      <c r="N565" s="89">
        <f t="shared" si="33"/>
        <v>0.96322251642788581</v>
      </c>
      <c r="O565" s="89">
        <f t="shared" si="35"/>
        <v>0.18979754018283465</v>
      </c>
    </row>
    <row r="566" spans="1:15" x14ac:dyDescent="0.2">
      <c r="A566" s="21" t="s">
        <v>3528</v>
      </c>
      <c r="B566" s="21" t="s">
        <v>3372</v>
      </c>
      <c r="C566" s="21" t="s">
        <v>3373</v>
      </c>
      <c r="D566" s="21" t="s">
        <v>2806</v>
      </c>
      <c r="E566" s="21" t="s">
        <v>2807</v>
      </c>
      <c r="F566" s="21" t="s">
        <v>1454</v>
      </c>
      <c r="G566" s="21" t="s">
        <v>3412</v>
      </c>
      <c r="H566" s="21" t="s">
        <v>3530</v>
      </c>
      <c r="I566" s="21">
        <v>72</v>
      </c>
      <c r="J566" s="89">
        <f t="shared" si="32"/>
        <v>0.35467980295566504</v>
      </c>
      <c r="K566" s="94">
        <v>0.99858657268599404</v>
      </c>
      <c r="L566" s="94">
        <v>0.99848486936368597</v>
      </c>
      <c r="M566" s="89">
        <f t="shared" si="34"/>
        <v>0.99858657268599404</v>
      </c>
      <c r="N566" s="89">
        <f t="shared" si="33"/>
        <v>0.9626487612078114</v>
      </c>
      <c r="O566" s="89">
        <f t="shared" si="35"/>
        <v>0.3414320729407016</v>
      </c>
    </row>
    <row r="567" spans="1:15" x14ac:dyDescent="0.2">
      <c r="A567" s="21" t="s">
        <v>2975</v>
      </c>
      <c r="B567" s="21" t="s">
        <v>3376</v>
      </c>
      <c r="C567" s="21" t="s">
        <v>3377</v>
      </c>
      <c r="D567" s="21" t="s">
        <v>2808</v>
      </c>
      <c r="E567" s="21" t="s">
        <v>2809</v>
      </c>
      <c r="F567" s="21" t="s">
        <v>164</v>
      </c>
      <c r="G567" s="21" t="s">
        <v>165</v>
      </c>
      <c r="H567" s="21" t="s">
        <v>3603</v>
      </c>
      <c r="I567" s="21">
        <v>40</v>
      </c>
      <c r="J567" s="89">
        <f t="shared" si="32"/>
        <v>0.10989010989010989</v>
      </c>
      <c r="K567" s="94">
        <v>0.98783990922966602</v>
      </c>
      <c r="L567" s="94">
        <v>0.98775352373826897</v>
      </c>
      <c r="M567" s="89">
        <f t="shared" si="34"/>
        <v>0.98783990922966602</v>
      </c>
      <c r="N567" s="89">
        <f t="shared" si="33"/>
        <v>0.95228885597142843</v>
      </c>
      <c r="O567" s="89">
        <f t="shared" si="35"/>
        <v>0.1046471270298273</v>
      </c>
    </row>
    <row r="568" spans="1:15" x14ac:dyDescent="0.2">
      <c r="A568" s="21" t="s">
        <v>2975</v>
      </c>
      <c r="B568" s="21" t="s">
        <v>3376</v>
      </c>
      <c r="C568" s="21" t="s">
        <v>3377</v>
      </c>
      <c r="D568" s="21" t="s">
        <v>2810</v>
      </c>
      <c r="E568" s="21" t="s">
        <v>2811</v>
      </c>
      <c r="F568" s="21" t="s">
        <v>1455</v>
      </c>
      <c r="G568" s="21" t="s">
        <v>1456</v>
      </c>
      <c r="H568" s="21" t="s">
        <v>2977</v>
      </c>
      <c r="I568" s="21">
        <v>96</v>
      </c>
      <c r="J568" s="89">
        <f t="shared" si="32"/>
        <v>0.26373626373626374</v>
      </c>
      <c r="K568" s="94">
        <v>0.989874174084588</v>
      </c>
      <c r="L568" s="94">
        <v>0.99094915549110096</v>
      </c>
      <c r="M568" s="89">
        <f t="shared" si="34"/>
        <v>0.989874174084588</v>
      </c>
      <c r="N568" s="89">
        <f t="shared" si="33"/>
        <v>0.95424991032177064</v>
      </c>
      <c r="O568" s="89">
        <f t="shared" si="35"/>
        <v>0.25167030601892854</v>
      </c>
    </row>
    <row r="569" spans="1:15" x14ac:dyDescent="0.2">
      <c r="A569" s="21" t="s">
        <v>2975</v>
      </c>
      <c r="B569" s="21" t="s">
        <v>3376</v>
      </c>
      <c r="C569" s="21" t="s">
        <v>3377</v>
      </c>
      <c r="D569" s="21" t="s">
        <v>2812</v>
      </c>
      <c r="E569" s="21" t="s">
        <v>2813</v>
      </c>
      <c r="F569" s="21" t="s">
        <v>1457</v>
      </c>
      <c r="G569" s="21" t="s">
        <v>1458</v>
      </c>
      <c r="H569" s="21" t="s">
        <v>2977</v>
      </c>
      <c r="I569" s="21">
        <v>16</v>
      </c>
      <c r="J569" s="89">
        <f t="shared" si="32"/>
        <v>4.3956043956043959E-2</v>
      </c>
      <c r="K569" s="94">
        <v>0.991911992847056</v>
      </c>
      <c r="L569" s="94">
        <v>0.992213908827837</v>
      </c>
      <c r="M569" s="89">
        <f t="shared" si="34"/>
        <v>0.991911992847056</v>
      </c>
      <c r="N569" s="89">
        <f t="shared" si="33"/>
        <v>0.95621439067922154</v>
      </c>
      <c r="O569" s="89">
        <f t="shared" si="35"/>
        <v>4.2031401788097653E-2</v>
      </c>
    </row>
    <row r="570" spans="1:15" x14ac:dyDescent="0.2">
      <c r="A570" s="21" t="s">
        <v>2975</v>
      </c>
      <c r="B570" s="21" t="s">
        <v>3376</v>
      </c>
      <c r="C570" s="21" t="s">
        <v>3377</v>
      </c>
      <c r="D570" s="21" t="s">
        <v>2814</v>
      </c>
      <c r="E570" s="21" t="s">
        <v>2815</v>
      </c>
      <c r="F570" s="21" t="s">
        <v>1074</v>
      </c>
      <c r="G570" s="21" t="s">
        <v>1075</v>
      </c>
      <c r="H570" s="21" t="s">
        <v>3021</v>
      </c>
      <c r="I570" s="21">
        <v>45</v>
      </c>
      <c r="J570" s="89">
        <f t="shared" si="32"/>
        <v>0.12362637362637363</v>
      </c>
      <c r="K570" s="94">
        <v>0.98376189198886599</v>
      </c>
      <c r="L570" s="94">
        <v>0.98328662271946599</v>
      </c>
      <c r="M570" s="89">
        <f t="shared" si="34"/>
        <v>0.98376189198886599</v>
      </c>
      <c r="N570" s="89">
        <f t="shared" si="33"/>
        <v>0.94835760118349255</v>
      </c>
      <c r="O570" s="89">
        <f t="shared" si="35"/>
        <v>0.11724201113532189</v>
      </c>
    </row>
    <row r="571" spans="1:15" x14ac:dyDescent="0.2">
      <c r="A571" s="21" t="s">
        <v>2975</v>
      </c>
      <c r="B571" s="21" t="s">
        <v>3376</v>
      </c>
      <c r="C571" s="21" t="s">
        <v>3377</v>
      </c>
      <c r="D571" s="21" t="s">
        <v>2816</v>
      </c>
      <c r="E571" s="21" t="s">
        <v>2817</v>
      </c>
      <c r="F571" s="21" t="s">
        <v>1459</v>
      </c>
      <c r="G571" s="21" t="s">
        <v>1460</v>
      </c>
      <c r="H571" s="21" t="s">
        <v>3021</v>
      </c>
      <c r="I571" s="21">
        <v>8</v>
      </c>
      <c r="J571" s="89">
        <f t="shared" si="32"/>
        <v>2.197802197802198E-2</v>
      </c>
      <c r="K571" s="94">
        <v>0.98384084888466905</v>
      </c>
      <c r="L571" s="94">
        <v>0.98360245104470001</v>
      </c>
      <c r="M571" s="89">
        <f t="shared" si="34"/>
        <v>0.98384084888466905</v>
      </c>
      <c r="N571" s="89">
        <f t="shared" si="33"/>
        <v>0.9484337165249288</v>
      </c>
      <c r="O571" s="89">
        <f t="shared" si="35"/>
        <v>2.0844697066481954E-2</v>
      </c>
    </row>
    <row r="572" spans="1:15" x14ac:dyDescent="0.2">
      <c r="A572" s="21" t="s">
        <v>2975</v>
      </c>
      <c r="B572" s="21" t="s">
        <v>3376</v>
      </c>
      <c r="C572" s="21" t="s">
        <v>3377</v>
      </c>
      <c r="D572" s="21" t="s">
        <v>2818</v>
      </c>
      <c r="E572" s="21" t="s">
        <v>2819</v>
      </c>
      <c r="F572" s="21" t="s">
        <v>1072</v>
      </c>
      <c r="G572" s="21" t="s">
        <v>1073</v>
      </c>
      <c r="H572" s="21" t="s">
        <v>3603</v>
      </c>
      <c r="I572" s="21">
        <v>50</v>
      </c>
      <c r="J572" s="89">
        <f t="shared" si="32"/>
        <v>0.13736263736263737</v>
      </c>
      <c r="K572" s="94">
        <v>0.98562187284478397</v>
      </c>
      <c r="L572" s="94">
        <v>0.986074179221614</v>
      </c>
      <c r="M572" s="89">
        <f t="shared" si="34"/>
        <v>0.98562187284478397</v>
      </c>
      <c r="N572" s="89">
        <f t="shared" si="33"/>
        <v>0.95015064378570135</v>
      </c>
      <c r="O572" s="89">
        <f t="shared" si="35"/>
        <v>0.13051519832221173</v>
      </c>
    </row>
    <row r="573" spans="1:15" x14ac:dyDescent="0.2">
      <c r="A573" s="21" t="s">
        <v>2975</v>
      </c>
      <c r="B573" s="21" t="s">
        <v>3376</v>
      </c>
      <c r="C573" s="21" t="s">
        <v>3377</v>
      </c>
      <c r="D573" s="21" t="s">
        <v>2820</v>
      </c>
      <c r="E573" s="21" t="s">
        <v>2821</v>
      </c>
      <c r="F573" s="21" t="s">
        <v>3350</v>
      </c>
      <c r="G573" s="21" t="s">
        <v>3351</v>
      </c>
      <c r="H573" s="21" t="s">
        <v>3033</v>
      </c>
      <c r="I573" s="21">
        <v>105</v>
      </c>
      <c r="J573" s="89">
        <f t="shared" si="32"/>
        <v>0.28846153846153844</v>
      </c>
      <c r="K573" s="94">
        <v>0.98937957019738798</v>
      </c>
      <c r="L573" s="94">
        <v>0.98933862431484998</v>
      </c>
      <c r="M573" s="89">
        <f t="shared" si="34"/>
        <v>0.98937957019738798</v>
      </c>
      <c r="N573" s="89">
        <f t="shared" si="33"/>
        <v>0.95377310657502989</v>
      </c>
      <c r="O573" s="89">
        <f t="shared" si="35"/>
        <v>0.27512685766587397</v>
      </c>
    </row>
    <row r="574" spans="1:15" x14ac:dyDescent="0.2">
      <c r="A574" s="21" t="s">
        <v>2975</v>
      </c>
      <c r="B574" s="21" t="s">
        <v>3376</v>
      </c>
      <c r="C574" s="21" t="s">
        <v>3377</v>
      </c>
      <c r="D574" s="21" t="s">
        <v>2822</v>
      </c>
      <c r="E574" s="21" t="s">
        <v>2823</v>
      </c>
      <c r="F574" s="21" t="s">
        <v>1455</v>
      </c>
      <c r="G574" s="21" t="s">
        <v>1456</v>
      </c>
      <c r="H574" s="21" t="s">
        <v>2977</v>
      </c>
      <c r="I574" s="21">
        <v>4</v>
      </c>
      <c r="J574" s="89">
        <f t="shared" si="32"/>
        <v>1.098901098901099E-2</v>
      </c>
      <c r="K574" s="94" t="e">
        <v>#N/A</v>
      </c>
      <c r="L574" s="94">
        <v>0.99094915549110096</v>
      </c>
      <c r="M574" s="89">
        <f t="shared" si="34"/>
        <v>0.99094915549110096</v>
      </c>
      <c r="N574" s="89">
        <f t="shared" si="33"/>
        <v>0.95528620456766433</v>
      </c>
      <c r="O574" s="89">
        <f t="shared" si="35"/>
        <v>1.0497650599644665E-2</v>
      </c>
    </row>
    <row r="575" spans="1:15" x14ac:dyDescent="0.2">
      <c r="A575" s="21" t="s">
        <v>1167</v>
      </c>
      <c r="B575" s="21" t="s">
        <v>2310</v>
      </c>
      <c r="C575" s="21" t="s">
        <v>2311</v>
      </c>
      <c r="D575" s="21" t="s">
        <v>728</v>
      </c>
      <c r="E575" s="21" t="s">
        <v>729</v>
      </c>
      <c r="F575" s="21" t="s">
        <v>1461</v>
      </c>
      <c r="G575" s="21" t="s">
        <v>1462</v>
      </c>
      <c r="H575" s="21" t="s">
        <v>3436</v>
      </c>
      <c r="I575" s="21">
        <v>198</v>
      </c>
      <c r="J575" s="89">
        <f t="shared" si="32"/>
        <v>0.21758241758241759</v>
      </c>
      <c r="K575" s="94" t="e">
        <v>#N/A</v>
      </c>
      <c r="L575" s="94">
        <v>1.24225020072757</v>
      </c>
      <c r="M575" s="89">
        <f t="shared" si="34"/>
        <v>1.24225020072757</v>
      </c>
      <c r="N575" s="89">
        <f t="shared" si="33"/>
        <v>1.1975432571899662</v>
      </c>
      <c r="O575" s="89">
        <f t="shared" si="35"/>
        <v>0.26056435705891573</v>
      </c>
    </row>
    <row r="576" spans="1:15" x14ac:dyDescent="0.2">
      <c r="A576" s="21" t="s">
        <v>1167</v>
      </c>
      <c r="B576" s="21" t="s">
        <v>2310</v>
      </c>
      <c r="C576" s="21" t="s">
        <v>2311</v>
      </c>
      <c r="D576" s="21" t="s">
        <v>2824</v>
      </c>
      <c r="E576" s="21" t="s">
        <v>2825</v>
      </c>
      <c r="F576" s="21" t="s">
        <v>61</v>
      </c>
      <c r="G576" s="21" t="s">
        <v>62</v>
      </c>
      <c r="H576" s="21" t="s">
        <v>3468</v>
      </c>
      <c r="I576" s="21">
        <v>151</v>
      </c>
      <c r="J576" s="89">
        <f t="shared" si="32"/>
        <v>0.16593406593406593</v>
      </c>
      <c r="K576" s="94">
        <v>1.23272039879381</v>
      </c>
      <c r="L576" s="94">
        <v>1.2317990364613101</v>
      </c>
      <c r="M576" s="89">
        <f t="shared" si="34"/>
        <v>1.23272039879381</v>
      </c>
      <c r="N576" s="89">
        <f t="shared" si="33"/>
        <v>1.1883564202375987</v>
      </c>
      <c r="O576" s="89">
        <f t="shared" si="35"/>
        <v>0.19718881258887624</v>
      </c>
    </row>
    <row r="577" spans="1:15" x14ac:dyDescent="0.2">
      <c r="A577" s="21" t="s">
        <v>1167</v>
      </c>
      <c r="B577" s="21" t="s">
        <v>2310</v>
      </c>
      <c r="C577" s="21" t="s">
        <v>2311</v>
      </c>
      <c r="D577" s="21" t="s">
        <v>2826</v>
      </c>
      <c r="E577" s="21" t="s">
        <v>2827</v>
      </c>
      <c r="F577" s="21" t="s">
        <v>1463</v>
      </c>
      <c r="G577" s="21" t="s">
        <v>1464</v>
      </c>
      <c r="H577" s="21" t="s">
        <v>3439</v>
      </c>
      <c r="I577" s="21">
        <v>123</v>
      </c>
      <c r="J577" s="89">
        <f t="shared" si="32"/>
        <v>0.13516483516483516</v>
      </c>
      <c r="K577" s="94">
        <v>1.2399152032102001</v>
      </c>
      <c r="L577" s="94">
        <v>1.24005434410482</v>
      </c>
      <c r="M577" s="89">
        <f t="shared" si="34"/>
        <v>1.2399152032102001</v>
      </c>
      <c r="N577" s="89">
        <f t="shared" si="33"/>
        <v>1.1952922931483876</v>
      </c>
      <c r="O577" s="89">
        <f t="shared" si="35"/>
        <v>0.16156148577719964</v>
      </c>
    </row>
    <row r="578" spans="1:15" x14ac:dyDescent="0.2">
      <c r="A578" s="21" t="s">
        <v>1167</v>
      </c>
      <c r="B578" s="21" t="s">
        <v>2310</v>
      </c>
      <c r="C578" s="21" t="s">
        <v>2311</v>
      </c>
      <c r="D578" s="21" t="s">
        <v>2828</v>
      </c>
      <c r="E578" s="21" t="s">
        <v>2829</v>
      </c>
      <c r="F578" s="21" t="s">
        <v>1465</v>
      </c>
      <c r="G578" s="21" t="s">
        <v>3323</v>
      </c>
      <c r="H578" s="21" t="s">
        <v>3439</v>
      </c>
      <c r="I578" s="21">
        <v>47</v>
      </c>
      <c r="J578" s="89">
        <f t="shared" ref="J578:J641" si="36">I578/SUMIF(B:B,B578,I:I)</f>
        <v>5.1648351648351645E-2</v>
      </c>
      <c r="K578" s="94">
        <v>1.24236642568471</v>
      </c>
      <c r="L578" s="94">
        <v>1.2424037077276699</v>
      </c>
      <c r="M578" s="89">
        <f t="shared" si="34"/>
        <v>1.24236642568471</v>
      </c>
      <c r="N578" s="89">
        <f t="shared" ref="N578:N641" si="37">M578/M$757</f>
        <v>1.1976552993644483</v>
      </c>
      <c r="O578" s="89">
        <f t="shared" si="35"/>
        <v>6.1856922055086881E-2</v>
      </c>
    </row>
    <row r="579" spans="1:15" x14ac:dyDescent="0.2">
      <c r="A579" s="21" t="s">
        <v>1167</v>
      </c>
      <c r="B579" s="21" t="s">
        <v>2310</v>
      </c>
      <c r="C579" s="21" t="s">
        <v>2311</v>
      </c>
      <c r="D579" s="21" t="s">
        <v>2830</v>
      </c>
      <c r="E579" s="21" t="s">
        <v>2831</v>
      </c>
      <c r="F579" s="21" t="s">
        <v>1466</v>
      </c>
      <c r="G579" s="21" t="s">
        <v>1467</v>
      </c>
      <c r="H579" s="21" t="s">
        <v>3451</v>
      </c>
      <c r="I579" s="21">
        <v>87</v>
      </c>
      <c r="J579" s="89">
        <f t="shared" si="36"/>
        <v>9.5604395604395598E-2</v>
      </c>
      <c r="K579" s="94">
        <v>1.2433959564097501</v>
      </c>
      <c r="L579" s="94">
        <v>1.24326454098339</v>
      </c>
      <c r="M579" s="89">
        <f t="shared" ref="M579:M642" si="38">IF(ISNA(K579),L579,K579)</f>
        <v>1.2433959564097501</v>
      </c>
      <c r="N579" s="89">
        <f t="shared" si="37"/>
        <v>1.1986477786388485</v>
      </c>
      <c r="O579" s="89">
        <f t="shared" ref="O579:O642" si="39">N579*J579</f>
        <v>0.11459599641931847</v>
      </c>
    </row>
    <row r="580" spans="1:15" x14ac:dyDescent="0.2">
      <c r="A580" s="21" t="s">
        <v>1167</v>
      </c>
      <c r="B580" s="21" t="s">
        <v>2310</v>
      </c>
      <c r="C580" s="21" t="s">
        <v>2311</v>
      </c>
      <c r="D580" s="21" t="s">
        <v>2832</v>
      </c>
      <c r="E580" s="21" t="s">
        <v>2833</v>
      </c>
      <c r="F580" s="21" t="s">
        <v>1468</v>
      </c>
      <c r="G580" s="21" t="s">
        <v>1467</v>
      </c>
      <c r="H580" s="21" t="s">
        <v>3451</v>
      </c>
      <c r="I580" s="21">
        <v>24</v>
      </c>
      <c r="J580" s="89">
        <f t="shared" si="36"/>
        <v>2.6373626373626374E-2</v>
      </c>
      <c r="K580" s="94">
        <v>1.24326474753</v>
      </c>
      <c r="L580" s="94">
        <v>1.24326454098339</v>
      </c>
      <c r="M580" s="89">
        <f t="shared" si="38"/>
        <v>1.24326474753</v>
      </c>
      <c r="N580" s="89">
        <f t="shared" si="37"/>
        <v>1.1985212917933354</v>
      </c>
      <c r="O580" s="89">
        <f t="shared" si="39"/>
        <v>3.1609352750593463E-2</v>
      </c>
    </row>
    <row r="581" spans="1:15" x14ac:dyDescent="0.2">
      <c r="A581" s="21" t="s">
        <v>1167</v>
      </c>
      <c r="B581" s="21" t="s">
        <v>2310</v>
      </c>
      <c r="C581" s="21" t="s">
        <v>2311</v>
      </c>
      <c r="D581" s="21" t="s">
        <v>2834</v>
      </c>
      <c r="E581" s="21" t="s">
        <v>2835</v>
      </c>
      <c r="F581" s="21" t="s">
        <v>1469</v>
      </c>
      <c r="G581" s="21" t="s">
        <v>1470</v>
      </c>
      <c r="H581" s="21" t="s">
        <v>3498</v>
      </c>
      <c r="I581" s="21">
        <v>67</v>
      </c>
      <c r="J581" s="89">
        <f t="shared" si="36"/>
        <v>7.3626373626373628E-2</v>
      </c>
      <c r="K581" s="94">
        <v>1.20737978571823</v>
      </c>
      <c r="L581" s="94">
        <v>1.2083939265086601</v>
      </c>
      <c r="M581" s="89">
        <f t="shared" si="38"/>
        <v>1.20737978571823</v>
      </c>
      <c r="N581" s="89">
        <f t="shared" si="37"/>
        <v>1.1639277823481082</v>
      </c>
      <c r="O581" s="89">
        <f t="shared" si="39"/>
        <v>8.5695781777278296E-2</v>
      </c>
    </row>
    <row r="582" spans="1:15" x14ac:dyDescent="0.2">
      <c r="A582" s="21" t="s">
        <v>1167</v>
      </c>
      <c r="B582" s="21" t="s">
        <v>2310</v>
      </c>
      <c r="C582" s="21" t="s">
        <v>2311</v>
      </c>
      <c r="D582" s="21" t="s">
        <v>2836</v>
      </c>
      <c r="E582" s="21" t="s">
        <v>2837</v>
      </c>
      <c r="F582" s="21" t="s">
        <v>63</v>
      </c>
      <c r="G582" s="21" t="s">
        <v>64</v>
      </c>
      <c r="H582" s="21" t="s">
        <v>3468</v>
      </c>
      <c r="I582" s="21">
        <v>63</v>
      </c>
      <c r="J582" s="89">
        <f t="shared" si="36"/>
        <v>6.9230769230769235E-2</v>
      </c>
      <c r="K582" s="94">
        <v>1.2206282964486199</v>
      </c>
      <c r="L582" s="94">
        <v>1.2197433579860799</v>
      </c>
      <c r="M582" s="89">
        <f t="shared" si="38"/>
        <v>1.2206282964486199</v>
      </c>
      <c r="N582" s="89">
        <f t="shared" si="37"/>
        <v>1.1766994966804505</v>
      </c>
      <c r="O582" s="89">
        <f t="shared" si="39"/>
        <v>8.1463811308646578E-2</v>
      </c>
    </row>
    <row r="583" spans="1:15" x14ac:dyDescent="0.2">
      <c r="A583" s="21" t="s">
        <v>1167</v>
      </c>
      <c r="B583" s="21" t="s">
        <v>2310</v>
      </c>
      <c r="C583" s="21" t="s">
        <v>2311</v>
      </c>
      <c r="D583" s="21" t="s">
        <v>2838</v>
      </c>
      <c r="E583" s="21" t="s">
        <v>2839</v>
      </c>
      <c r="F583" s="21" t="s">
        <v>1471</v>
      </c>
      <c r="G583" s="21" t="s">
        <v>1472</v>
      </c>
      <c r="H583" s="21" t="s">
        <v>3451</v>
      </c>
      <c r="I583" s="21">
        <v>24</v>
      </c>
      <c r="J583" s="89">
        <f t="shared" si="36"/>
        <v>2.6373626373626374E-2</v>
      </c>
      <c r="K583" s="94">
        <v>1.2414991882778701</v>
      </c>
      <c r="L583" s="94">
        <v>1.2418943393762201</v>
      </c>
      <c r="M583" s="89">
        <f t="shared" si="38"/>
        <v>1.2414991882778701</v>
      </c>
      <c r="N583" s="89">
        <f t="shared" si="37"/>
        <v>1.1968192726861384</v>
      </c>
      <c r="O583" s="89">
        <f t="shared" si="39"/>
        <v>3.1564464334579476E-2</v>
      </c>
    </row>
    <row r="584" spans="1:15" x14ac:dyDescent="0.2">
      <c r="A584" s="21" t="s">
        <v>1167</v>
      </c>
      <c r="B584" s="21" t="s">
        <v>2310</v>
      </c>
      <c r="C584" s="21" t="s">
        <v>2311</v>
      </c>
      <c r="D584" s="21" t="s">
        <v>2840</v>
      </c>
      <c r="E584" s="21" t="s">
        <v>2841</v>
      </c>
      <c r="F584" s="21" t="s">
        <v>2111</v>
      </c>
      <c r="G584" s="21" t="s">
        <v>2112</v>
      </c>
      <c r="H584" s="21" t="s">
        <v>3480</v>
      </c>
      <c r="I584" s="21">
        <v>110</v>
      </c>
      <c r="J584" s="89">
        <f t="shared" si="36"/>
        <v>0.12087912087912088</v>
      </c>
      <c r="K584" s="94">
        <v>1.2077290424317999</v>
      </c>
      <c r="L584" s="94">
        <v>1.20797153172184</v>
      </c>
      <c r="M584" s="89">
        <f t="shared" si="38"/>
        <v>1.2077290424317999</v>
      </c>
      <c r="N584" s="89">
        <f t="shared" si="37"/>
        <v>1.1642644697739737</v>
      </c>
      <c r="O584" s="89">
        <f t="shared" si="39"/>
        <v>0.14073526557707375</v>
      </c>
    </row>
    <row r="585" spans="1:15" x14ac:dyDescent="0.2">
      <c r="A585" s="21" t="s">
        <v>1167</v>
      </c>
      <c r="B585" s="21" t="s">
        <v>2310</v>
      </c>
      <c r="C585" s="21" t="s">
        <v>2311</v>
      </c>
      <c r="D585" s="21" t="s">
        <v>2842</v>
      </c>
      <c r="E585" s="21" t="s">
        <v>2843</v>
      </c>
      <c r="F585" s="21" t="s">
        <v>1473</v>
      </c>
      <c r="G585" s="21" t="s">
        <v>1474</v>
      </c>
      <c r="H585" s="21" t="s">
        <v>3468</v>
      </c>
      <c r="I585" s="21">
        <v>16</v>
      </c>
      <c r="J585" s="89">
        <f t="shared" si="36"/>
        <v>1.7582417582417582E-2</v>
      </c>
      <c r="K585" s="94">
        <v>1.22313089762325</v>
      </c>
      <c r="L585" s="94">
        <v>1.22429385464609</v>
      </c>
      <c r="M585" s="89">
        <f t="shared" si="38"/>
        <v>1.22313089762325</v>
      </c>
      <c r="N585" s="89">
        <f t="shared" si="37"/>
        <v>1.1791120325450923</v>
      </c>
      <c r="O585" s="89">
        <f t="shared" si="39"/>
        <v>2.0731640132660965E-2</v>
      </c>
    </row>
    <row r="586" spans="1:15" x14ac:dyDescent="0.2">
      <c r="A586" s="21" t="s">
        <v>3034</v>
      </c>
      <c r="B586" s="21" t="s">
        <v>1330</v>
      </c>
      <c r="C586" s="21" t="s">
        <v>2844</v>
      </c>
      <c r="D586" s="21" t="s">
        <v>728</v>
      </c>
      <c r="E586" s="21" t="s">
        <v>729</v>
      </c>
      <c r="F586" s="21" t="s">
        <v>1475</v>
      </c>
      <c r="G586" s="21" t="s">
        <v>1476</v>
      </c>
      <c r="H586" s="21" t="s">
        <v>3050</v>
      </c>
      <c r="I586" s="21">
        <v>12</v>
      </c>
      <c r="J586" s="89">
        <f t="shared" si="36"/>
        <v>5.1724137931034482E-2</v>
      </c>
      <c r="K586" s="94" t="e">
        <v>#N/A</v>
      </c>
      <c r="L586" s="94">
        <v>0.93530840221427902</v>
      </c>
      <c r="M586" s="89">
        <f t="shared" si="38"/>
        <v>0.93530840221427902</v>
      </c>
      <c r="N586" s="89">
        <f t="shared" si="37"/>
        <v>0.90164788849204358</v>
      </c>
      <c r="O586" s="89">
        <f t="shared" si="39"/>
        <v>4.6636959749588459E-2</v>
      </c>
    </row>
    <row r="587" spans="1:15" x14ac:dyDescent="0.2">
      <c r="A587" s="21" t="s">
        <v>3034</v>
      </c>
      <c r="B587" s="21" t="s">
        <v>1330</v>
      </c>
      <c r="C587" s="21" t="s">
        <v>2844</v>
      </c>
      <c r="D587" s="21" t="s">
        <v>2845</v>
      </c>
      <c r="E587" s="21" t="s">
        <v>2846</v>
      </c>
      <c r="F587" s="21" t="s">
        <v>1477</v>
      </c>
      <c r="G587" s="21" t="s">
        <v>1478</v>
      </c>
      <c r="H587" s="21" t="s">
        <v>3048</v>
      </c>
      <c r="I587" s="21">
        <v>9</v>
      </c>
      <c r="J587" s="89">
        <f t="shared" si="36"/>
        <v>3.8793103448275863E-2</v>
      </c>
      <c r="K587" s="94">
        <v>0.93528593750853495</v>
      </c>
      <c r="L587" s="94">
        <v>0.93541347093772698</v>
      </c>
      <c r="M587" s="89">
        <f t="shared" si="38"/>
        <v>0.93528593750853495</v>
      </c>
      <c r="N587" s="89">
        <f t="shared" si="37"/>
        <v>0.90162623226138028</v>
      </c>
      <c r="O587" s="89">
        <f t="shared" si="39"/>
        <v>3.4976879699794926E-2</v>
      </c>
    </row>
    <row r="588" spans="1:15" x14ac:dyDescent="0.2">
      <c r="A588" s="21" t="s">
        <v>3034</v>
      </c>
      <c r="B588" s="21" t="s">
        <v>1330</v>
      </c>
      <c r="C588" s="21" t="s">
        <v>2844</v>
      </c>
      <c r="D588" s="21" t="s">
        <v>2847</v>
      </c>
      <c r="E588" s="21" t="s">
        <v>2848</v>
      </c>
      <c r="F588" s="21" t="s">
        <v>1479</v>
      </c>
      <c r="G588" s="21" t="s">
        <v>1480</v>
      </c>
      <c r="H588" s="21" t="s">
        <v>3048</v>
      </c>
      <c r="I588" s="21">
        <v>24</v>
      </c>
      <c r="J588" s="89">
        <f t="shared" si="36"/>
        <v>0.10344827586206896</v>
      </c>
      <c r="K588" s="94">
        <v>0.93452733810219202</v>
      </c>
      <c r="L588" s="94">
        <v>0.93469727248476997</v>
      </c>
      <c r="M588" s="89">
        <f t="shared" si="38"/>
        <v>0.93452733810219202</v>
      </c>
      <c r="N588" s="89">
        <f t="shared" si="37"/>
        <v>0.90089493384545549</v>
      </c>
      <c r="O588" s="89">
        <f t="shared" si="39"/>
        <v>9.3196027639185053E-2</v>
      </c>
    </row>
    <row r="589" spans="1:15" x14ac:dyDescent="0.2">
      <c r="A589" s="21" t="s">
        <v>3034</v>
      </c>
      <c r="B589" s="21" t="s">
        <v>1330</v>
      </c>
      <c r="C589" s="21" t="s">
        <v>2844</v>
      </c>
      <c r="D589" s="21" t="s">
        <v>2849</v>
      </c>
      <c r="E589" s="21" t="s">
        <v>2850</v>
      </c>
      <c r="F589" s="21" t="s">
        <v>1481</v>
      </c>
      <c r="G589" s="21" t="s">
        <v>1480</v>
      </c>
      <c r="H589" s="21" t="s">
        <v>3048</v>
      </c>
      <c r="I589" s="21">
        <v>6</v>
      </c>
      <c r="J589" s="89">
        <f t="shared" si="36"/>
        <v>2.5862068965517241E-2</v>
      </c>
      <c r="K589" s="94">
        <v>0.93448691265741801</v>
      </c>
      <c r="L589" s="94">
        <v>0.93469727248476997</v>
      </c>
      <c r="M589" s="89">
        <f t="shared" si="38"/>
        <v>0.93448691265741801</v>
      </c>
      <c r="N589" s="89">
        <f t="shared" si="37"/>
        <v>0.90085596325903117</v>
      </c>
      <c r="O589" s="89">
        <f t="shared" si="39"/>
        <v>2.329799904980253E-2</v>
      </c>
    </row>
    <row r="590" spans="1:15" x14ac:dyDescent="0.2">
      <c r="A590" s="21" t="s">
        <v>3034</v>
      </c>
      <c r="B590" s="21" t="s">
        <v>1330</v>
      </c>
      <c r="C590" s="21" t="s">
        <v>2844</v>
      </c>
      <c r="D590" s="21" t="s">
        <v>2851</v>
      </c>
      <c r="E590" s="21" t="s">
        <v>2852</v>
      </c>
      <c r="F590" s="21" t="s">
        <v>1482</v>
      </c>
      <c r="G590" s="21" t="s">
        <v>1483</v>
      </c>
      <c r="H590" s="21" t="s">
        <v>3048</v>
      </c>
      <c r="I590" s="21">
        <v>16</v>
      </c>
      <c r="J590" s="89">
        <f t="shared" si="36"/>
        <v>6.8965517241379309E-2</v>
      </c>
      <c r="K590" s="94">
        <v>0.93440732268726601</v>
      </c>
      <c r="L590" s="94">
        <v>0.93440766678757003</v>
      </c>
      <c r="M590" s="89">
        <f t="shared" si="38"/>
        <v>0.93440732268726601</v>
      </c>
      <c r="N590" s="89">
        <f t="shared" si="37"/>
        <v>0.90077923762675549</v>
      </c>
      <c r="O590" s="89">
        <f t="shared" si="39"/>
        <v>6.2122706043224514E-2</v>
      </c>
    </row>
    <row r="591" spans="1:15" x14ac:dyDescent="0.2">
      <c r="A591" s="21" t="s">
        <v>3034</v>
      </c>
      <c r="B591" s="21" t="s">
        <v>1330</v>
      </c>
      <c r="C591" s="21" t="s">
        <v>2844</v>
      </c>
      <c r="D591" s="21" t="s">
        <v>2853</v>
      </c>
      <c r="E591" s="21" t="s">
        <v>2854</v>
      </c>
      <c r="F591" s="21" t="s">
        <v>1484</v>
      </c>
      <c r="G591" s="21" t="s">
        <v>1485</v>
      </c>
      <c r="H591" s="21" t="s">
        <v>3048</v>
      </c>
      <c r="I591" s="21">
        <v>12</v>
      </c>
      <c r="J591" s="89">
        <f t="shared" si="36"/>
        <v>5.1724137931034482E-2</v>
      </c>
      <c r="K591" s="94">
        <v>0.93462784551051403</v>
      </c>
      <c r="L591" s="94">
        <v>0.93462083483402503</v>
      </c>
      <c r="M591" s="89">
        <f t="shared" si="38"/>
        <v>0.93462784551051403</v>
      </c>
      <c r="N591" s="89">
        <f t="shared" si="37"/>
        <v>0.90099182412493639</v>
      </c>
      <c r="O591" s="89">
        <f t="shared" si="39"/>
        <v>4.6603025385772573E-2</v>
      </c>
    </row>
    <row r="592" spans="1:15" x14ac:dyDescent="0.2">
      <c r="A592" s="21" t="s">
        <v>3034</v>
      </c>
      <c r="B592" s="21" t="s">
        <v>1330</v>
      </c>
      <c r="C592" s="21" t="s">
        <v>2844</v>
      </c>
      <c r="D592" s="21" t="s">
        <v>2855</v>
      </c>
      <c r="E592" s="21" t="s">
        <v>2856</v>
      </c>
      <c r="F592" s="21" t="s">
        <v>1475</v>
      </c>
      <c r="G592" s="21" t="s">
        <v>1476</v>
      </c>
      <c r="H592" s="21" t="s">
        <v>3050</v>
      </c>
      <c r="I592" s="21">
        <v>32</v>
      </c>
      <c r="J592" s="89">
        <f t="shared" si="36"/>
        <v>0.13793103448275862</v>
      </c>
      <c r="K592" s="94">
        <v>0.93569984408835905</v>
      </c>
      <c r="L592" s="94">
        <v>0.93530840221427902</v>
      </c>
      <c r="M592" s="89">
        <f t="shared" si="38"/>
        <v>0.93569984408835905</v>
      </c>
      <c r="N592" s="89">
        <f t="shared" si="37"/>
        <v>0.90202524289022501</v>
      </c>
      <c r="O592" s="89">
        <f t="shared" si="39"/>
        <v>0.12441727488141034</v>
      </c>
    </row>
    <row r="593" spans="1:15" x14ac:dyDescent="0.2">
      <c r="A593" s="21" t="s">
        <v>3034</v>
      </c>
      <c r="B593" s="21" t="s">
        <v>1330</v>
      </c>
      <c r="C593" s="21" t="s">
        <v>2844</v>
      </c>
      <c r="D593" s="21" t="s">
        <v>2857</v>
      </c>
      <c r="E593" s="21" t="s">
        <v>2858</v>
      </c>
      <c r="F593" s="21" t="s">
        <v>1486</v>
      </c>
      <c r="G593" s="21" t="s">
        <v>1487</v>
      </c>
      <c r="H593" s="21" t="s">
        <v>3048</v>
      </c>
      <c r="I593" s="21">
        <v>16</v>
      </c>
      <c r="J593" s="89">
        <f t="shared" si="36"/>
        <v>6.8965517241379309E-2</v>
      </c>
      <c r="K593" s="94">
        <v>0.93483267084191002</v>
      </c>
      <c r="L593" s="94">
        <v>0.93470034876381902</v>
      </c>
      <c r="M593" s="89">
        <f t="shared" si="38"/>
        <v>0.93483267084191002</v>
      </c>
      <c r="N593" s="89">
        <f t="shared" si="37"/>
        <v>0.90118927806325833</v>
      </c>
      <c r="O593" s="89">
        <f t="shared" si="39"/>
        <v>6.2150984694017815E-2</v>
      </c>
    </row>
    <row r="594" spans="1:15" x14ac:dyDescent="0.2">
      <c r="A594" s="21" t="s">
        <v>3034</v>
      </c>
      <c r="B594" s="21" t="s">
        <v>1330</v>
      </c>
      <c r="C594" s="21" t="s">
        <v>2844</v>
      </c>
      <c r="D594" s="21" t="s">
        <v>2859</v>
      </c>
      <c r="E594" s="21" t="s">
        <v>2860</v>
      </c>
      <c r="F594" s="21" t="s">
        <v>1488</v>
      </c>
      <c r="G594" s="21" t="s">
        <v>1489</v>
      </c>
      <c r="H594" s="21" t="s">
        <v>3050</v>
      </c>
      <c r="I594" s="21">
        <v>19</v>
      </c>
      <c r="J594" s="89">
        <f t="shared" si="36"/>
        <v>8.1896551724137928E-2</v>
      </c>
      <c r="K594" s="94">
        <v>0.93654479332971396</v>
      </c>
      <c r="L594" s="94">
        <v>0.93704010703384899</v>
      </c>
      <c r="M594" s="89">
        <f t="shared" si="38"/>
        <v>0.93654479332971396</v>
      </c>
      <c r="N594" s="89">
        <f t="shared" si="37"/>
        <v>0.90283978352467997</v>
      </c>
      <c r="O594" s="89">
        <f t="shared" si="39"/>
        <v>7.393946503003844E-2</v>
      </c>
    </row>
    <row r="595" spans="1:15" x14ac:dyDescent="0.2">
      <c r="A595" s="21" t="s">
        <v>3034</v>
      </c>
      <c r="B595" s="21" t="s">
        <v>1330</v>
      </c>
      <c r="C595" s="21" t="s">
        <v>2844</v>
      </c>
      <c r="D595" s="21" t="s">
        <v>2861</v>
      </c>
      <c r="E595" s="21" t="s">
        <v>2862</v>
      </c>
      <c r="F595" s="21" t="s">
        <v>121</v>
      </c>
      <c r="G595" s="21" t="s">
        <v>122</v>
      </c>
      <c r="H595" s="21" t="s">
        <v>3050</v>
      </c>
      <c r="I595" s="21">
        <v>20</v>
      </c>
      <c r="J595" s="89">
        <f t="shared" si="36"/>
        <v>8.6206896551724144E-2</v>
      </c>
      <c r="K595" s="94">
        <v>0.93568342633271495</v>
      </c>
      <c r="L595" s="94">
        <v>0.93551173401332399</v>
      </c>
      <c r="M595" s="89">
        <f t="shared" si="38"/>
        <v>0.93568342633271495</v>
      </c>
      <c r="N595" s="89">
        <f t="shared" si="37"/>
        <v>0.9020094159879164</v>
      </c>
      <c r="O595" s="89">
        <f t="shared" si="39"/>
        <v>7.775943241275142E-2</v>
      </c>
    </row>
    <row r="596" spans="1:15" x14ac:dyDescent="0.2">
      <c r="A596" s="21" t="s">
        <v>3034</v>
      </c>
      <c r="B596" s="21" t="s">
        <v>1330</v>
      </c>
      <c r="C596" s="21" t="s">
        <v>2844</v>
      </c>
      <c r="D596" s="21" t="s">
        <v>2863</v>
      </c>
      <c r="E596" s="21" t="s">
        <v>2864</v>
      </c>
      <c r="F596" s="21" t="s">
        <v>1490</v>
      </c>
      <c r="G596" s="21" t="s">
        <v>1010</v>
      </c>
      <c r="H596" s="21" t="s">
        <v>3050</v>
      </c>
      <c r="I596" s="21">
        <v>10</v>
      </c>
      <c r="J596" s="89">
        <f t="shared" si="36"/>
        <v>4.3103448275862072E-2</v>
      </c>
      <c r="K596" s="94">
        <v>0.955631526687299</v>
      </c>
      <c r="L596" s="94">
        <v>0.95511732993820297</v>
      </c>
      <c r="M596" s="89">
        <f t="shared" si="38"/>
        <v>0.955631526687299</v>
      </c>
      <c r="N596" s="89">
        <f t="shared" si="37"/>
        <v>0.92123961056497472</v>
      </c>
      <c r="O596" s="89">
        <f t="shared" si="39"/>
        <v>3.9708603903662709E-2</v>
      </c>
    </row>
    <row r="597" spans="1:15" x14ac:dyDescent="0.2">
      <c r="A597" s="21" t="s">
        <v>3034</v>
      </c>
      <c r="B597" s="21" t="s">
        <v>1330</v>
      </c>
      <c r="C597" s="21" t="s">
        <v>2844</v>
      </c>
      <c r="D597" s="21" t="s">
        <v>2865</v>
      </c>
      <c r="E597" s="21" t="s">
        <v>2866</v>
      </c>
      <c r="F597" s="21" t="s">
        <v>1491</v>
      </c>
      <c r="G597" s="21" t="s">
        <v>124</v>
      </c>
      <c r="H597" s="21" t="s">
        <v>3048</v>
      </c>
      <c r="I597" s="21">
        <v>23</v>
      </c>
      <c r="J597" s="89">
        <f t="shared" si="36"/>
        <v>9.9137931034482762E-2</v>
      </c>
      <c r="K597" s="94">
        <v>0.93400904298425402</v>
      </c>
      <c r="L597" s="94">
        <v>0.934085241896773</v>
      </c>
      <c r="M597" s="89">
        <f t="shared" si="38"/>
        <v>0.93400904298425402</v>
      </c>
      <c r="N597" s="89">
        <f t="shared" si="37"/>
        <v>0.9003952914840716</v>
      </c>
      <c r="O597" s="89">
        <f t="shared" si="39"/>
        <v>8.926332631092089E-2</v>
      </c>
    </row>
    <row r="598" spans="1:15" x14ac:dyDescent="0.2">
      <c r="A598" s="21" t="s">
        <v>3034</v>
      </c>
      <c r="B598" s="21" t="s">
        <v>1330</v>
      </c>
      <c r="C598" s="21" t="s">
        <v>2844</v>
      </c>
      <c r="D598" s="21" t="s">
        <v>2867</v>
      </c>
      <c r="E598" s="21" t="s">
        <v>2868</v>
      </c>
      <c r="F598" s="21" t="s">
        <v>1475</v>
      </c>
      <c r="G598" s="21" t="s">
        <v>1476</v>
      </c>
      <c r="H598" s="21" t="s">
        <v>3050</v>
      </c>
      <c r="I598" s="21">
        <v>20</v>
      </c>
      <c r="J598" s="89">
        <f t="shared" si="36"/>
        <v>8.6206896551724144E-2</v>
      </c>
      <c r="K598" s="94">
        <v>0.93569984408835905</v>
      </c>
      <c r="L598" s="94">
        <v>0.93530840221427902</v>
      </c>
      <c r="M598" s="89">
        <f t="shared" si="38"/>
        <v>0.93569984408835905</v>
      </c>
      <c r="N598" s="89">
        <f t="shared" si="37"/>
        <v>0.90202524289022501</v>
      </c>
      <c r="O598" s="89">
        <f t="shared" si="39"/>
        <v>7.7760796800881465E-2</v>
      </c>
    </row>
    <row r="599" spans="1:15" x14ac:dyDescent="0.2">
      <c r="A599" s="21" t="s">
        <v>3034</v>
      </c>
      <c r="B599" s="21" t="s">
        <v>1330</v>
      </c>
      <c r="C599" s="21" t="s">
        <v>2844</v>
      </c>
      <c r="D599" s="21" t="s">
        <v>2869</v>
      </c>
      <c r="E599" s="21" t="s">
        <v>2870</v>
      </c>
      <c r="F599" s="21" t="s">
        <v>1492</v>
      </c>
      <c r="G599" s="21" t="s">
        <v>1493</v>
      </c>
      <c r="H599" s="21" t="s">
        <v>3048</v>
      </c>
      <c r="I599" s="21">
        <v>13</v>
      </c>
      <c r="J599" s="89">
        <f t="shared" si="36"/>
        <v>5.6034482758620691E-2</v>
      </c>
      <c r="K599" s="94">
        <v>0.93438389998754601</v>
      </c>
      <c r="L599" s="94">
        <v>0.93424916124889501</v>
      </c>
      <c r="M599" s="89">
        <f t="shared" si="38"/>
        <v>0.93438389998754601</v>
      </c>
      <c r="N599" s="89">
        <f t="shared" si="37"/>
        <v>0.90075665787905368</v>
      </c>
      <c r="O599" s="89">
        <f t="shared" si="39"/>
        <v>5.0473433415636627E-2</v>
      </c>
    </row>
    <row r="600" spans="1:15" x14ac:dyDescent="0.2">
      <c r="A600" s="21" t="s">
        <v>3528</v>
      </c>
      <c r="B600" s="21" t="s">
        <v>411</v>
      </c>
      <c r="C600" s="21" t="s">
        <v>412</v>
      </c>
      <c r="D600" s="21" t="s">
        <v>2871</v>
      </c>
      <c r="E600" s="21" t="s">
        <v>2872</v>
      </c>
      <c r="F600" s="21" t="s">
        <v>1494</v>
      </c>
      <c r="G600" s="21" t="s">
        <v>1495</v>
      </c>
      <c r="H600" s="21" t="s">
        <v>3565</v>
      </c>
      <c r="I600" s="21">
        <v>566</v>
      </c>
      <c r="J600" s="89">
        <f t="shared" si="36"/>
        <v>0.46128769356153221</v>
      </c>
      <c r="K600" s="94">
        <v>1.0379072299126899</v>
      </c>
      <c r="L600" s="94">
        <v>1.0378255053061201</v>
      </c>
      <c r="M600" s="89">
        <f t="shared" si="38"/>
        <v>1.0379072299126899</v>
      </c>
      <c r="N600" s="89">
        <f t="shared" si="37"/>
        <v>1.0005543199290163</v>
      </c>
      <c r="O600" s="89">
        <f t="shared" si="39"/>
        <v>0.46154339452308335</v>
      </c>
    </row>
    <row r="601" spans="1:15" x14ac:dyDescent="0.2">
      <c r="A601" s="21" t="s">
        <v>3528</v>
      </c>
      <c r="B601" s="21" t="s">
        <v>411</v>
      </c>
      <c r="C601" s="21" t="s">
        <v>412</v>
      </c>
      <c r="D601" s="21" t="s">
        <v>2873</v>
      </c>
      <c r="E601" s="21" t="s">
        <v>2874</v>
      </c>
      <c r="F601" s="21" t="s">
        <v>1496</v>
      </c>
      <c r="G601" s="21" t="s">
        <v>1497</v>
      </c>
      <c r="H601" s="21" t="s">
        <v>3567</v>
      </c>
      <c r="I601" s="21">
        <v>16</v>
      </c>
      <c r="J601" s="89">
        <f t="shared" si="36"/>
        <v>1.3039934800325998E-2</v>
      </c>
      <c r="K601" s="94">
        <v>1.03433048096589</v>
      </c>
      <c r="L601" s="94">
        <v>1.0331982130592801</v>
      </c>
      <c r="M601" s="89">
        <f t="shared" si="38"/>
        <v>1.03433048096589</v>
      </c>
      <c r="N601" s="89">
        <f t="shared" si="37"/>
        <v>0.99710629345142532</v>
      </c>
      <c r="O601" s="89">
        <f t="shared" si="39"/>
        <v>1.3002201055601308E-2</v>
      </c>
    </row>
    <row r="602" spans="1:15" x14ac:dyDescent="0.2">
      <c r="A602" s="21" t="s">
        <v>3528</v>
      </c>
      <c r="B602" s="21" t="s">
        <v>411</v>
      </c>
      <c r="C602" s="21" t="s">
        <v>412</v>
      </c>
      <c r="D602" s="21" t="s">
        <v>2875</v>
      </c>
      <c r="E602" s="21" t="s">
        <v>2876</v>
      </c>
      <c r="F602" s="21" t="s">
        <v>1498</v>
      </c>
      <c r="G602" s="21" t="s">
        <v>1499</v>
      </c>
      <c r="H602" s="21" t="s">
        <v>3546</v>
      </c>
      <c r="I602" s="21">
        <v>24</v>
      </c>
      <c r="J602" s="89">
        <f t="shared" si="36"/>
        <v>1.9559902200488997E-2</v>
      </c>
      <c r="K602" s="94">
        <v>1.0313725444581501</v>
      </c>
      <c r="L602" s="94">
        <v>1.0305828731204401</v>
      </c>
      <c r="M602" s="89">
        <f t="shared" si="38"/>
        <v>1.0313725444581501</v>
      </c>
      <c r="N602" s="89">
        <f t="shared" si="37"/>
        <v>0.99425480917075038</v>
      </c>
      <c r="O602" s="89">
        <f t="shared" si="39"/>
        <v>1.944752682974573E-2</v>
      </c>
    </row>
    <row r="603" spans="1:15" x14ac:dyDescent="0.2">
      <c r="A603" s="21" t="s">
        <v>3528</v>
      </c>
      <c r="B603" s="21" t="s">
        <v>411</v>
      </c>
      <c r="C603" s="21" t="s">
        <v>412</v>
      </c>
      <c r="D603" s="21" t="s">
        <v>2877</v>
      </c>
      <c r="E603" s="21" t="s">
        <v>2878</v>
      </c>
      <c r="F603" s="21" t="s">
        <v>1500</v>
      </c>
      <c r="G603" s="21" t="s">
        <v>1501</v>
      </c>
      <c r="H603" s="21" t="s">
        <v>3546</v>
      </c>
      <c r="I603" s="21">
        <v>594</v>
      </c>
      <c r="J603" s="89">
        <f t="shared" si="36"/>
        <v>0.4841075794621027</v>
      </c>
      <c r="K603" s="94">
        <v>1.0374838560464099</v>
      </c>
      <c r="L603" s="94">
        <v>1.0376065869075499</v>
      </c>
      <c r="M603" s="89">
        <f t="shared" si="38"/>
        <v>1.0374838560464099</v>
      </c>
      <c r="N603" s="89">
        <f t="shared" si="37"/>
        <v>1.0001461827288476</v>
      </c>
      <c r="O603" s="89">
        <f t="shared" si="39"/>
        <v>0.48417834762912426</v>
      </c>
    </row>
    <row r="604" spans="1:15" x14ac:dyDescent="0.2">
      <c r="A604" s="21" t="s">
        <v>3528</v>
      </c>
      <c r="B604" s="21" t="s">
        <v>411</v>
      </c>
      <c r="C604" s="21" t="s">
        <v>412</v>
      </c>
      <c r="D604" s="21" t="s">
        <v>2879</v>
      </c>
      <c r="E604" s="21" t="s">
        <v>2880</v>
      </c>
      <c r="F604" s="21" t="s">
        <v>1502</v>
      </c>
      <c r="G604" s="21" t="s">
        <v>1503</v>
      </c>
      <c r="H604" s="21" t="s">
        <v>3565</v>
      </c>
      <c r="I604" s="21">
        <v>27</v>
      </c>
      <c r="J604" s="89">
        <f t="shared" si="36"/>
        <v>2.2004889975550123E-2</v>
      </c>
      <c r="K604" s="94">
        <v>1.0376596639951301</v>
      </c>
      <c r="L604" s="94">
        <v>1.0374671336316299</v>
      </c>
      <c r="M604" s="89">
        <f t="shared" si="38"/>
        <v>1.0376596639951301</v>
      </c>
      <c r="N604" s="89">
        <f t="shared" si="37"/>
        <v>1.0003156635817603</v>
      </c>
      <c r="O604" s="89">
        <f t="shared" si="39"/>
        <v>2.2011836117936046E-2</v>
      </c>
    </row>
    <row r="605" spans="1:15" x14ac:dyDescent="0.2">
      <c r="A605" s="21" t="s">
        <v>3528</v>
      </c>
      <c r="B605" s="21" t="s">
        <v>3386</v>
      </c>
      <c r="C605" s="21" t="s">
        <v>3387</v>
      </c>
      <c r="D605" s="21" t="s">
        <v>728</v>
      </c>
      <c r="E605" s="21" t="s">
        <v>729</v>
      </c>
      <c r="F605" s="21" t="s">
        <v>1504</v>
      </c>
      <c r="G605" s="21" t="s">
        <v>1505</v>
      </c>
      <c r="H605" s="21" t="s">
        <v>3532</v>
      </c>
      <c r="I605" s="21">
        <v>81</v>
      </c>
      <c r="J605" s="89">
        <f t="shared" si="36"/>
        <v>0.11739130434782609</v>
      </c>
      <c r="K605" s="94" t="e">
        <v>#N/A</v>
      </c>
      <c r="L605" s="94">
        <v>1.02477616942654</v>
      </c>
      <c r="M605" s="89">
        <f t="shared" si="38"/>
        <v>1.02477616942654</v>
      </c>
      <c r="N605" s="89">
        <f t="shared" si="37"/>
        <v>0.98789582896179218</v>
      </c>
      <c r="O605" s="89">
        <f t="shared" si="39"/>
        <v>0.1159703799216017</v>
      </c>
    </row>
    <row r="606" spans="1:15" x14ac:dyDescent="0.2">
      <c r="A606" s="21" t="s">
        <v>3528</v>
      </c>
      <c r="B606" s="21" t="s">
        <v>3386</v>
      </c>
      <c r="C606" s="21" t="s">
        <v>3387</v>
      </c>
      <c r="D606" s="21" t="s">
        <v>2881</v>
      </c>
      <c r="E606" s="21" t="s">
        <v>2882</v>
      </c>
      <c r="F606" s="21" t="s">
        <v>885</v>
      </c>
      <c r="G606" s="21" t="s">
        <v>886</v>
      </c>
      <c r="H606" s="21" t="s">
        <v>3555</v>
      </c>
      <c r="I606" s="21">
        <v>29</v>
      </c>
      <c r="J606" s="89">
        <f t="shared" si="36"/>
        <v>4.2028985507246375E-2</v>
      </c>
      <c r="K606" s="94">
        <v>1.02905682443417</v>
      </c>
      <c r="L606" s="94">
        <v>1.0287147712999001</v>
      </c>
      <c r="M606" s="89">
        <f t="shared" si="38"/>
        <v>1.02905682443417</v>
      </c>
      <c r="N606" s="89">
        <f t="shared" si="37"/>
        <v>0.99202242885104264</v>
      </c>
      <c r="O606" s="89">
        <f t="shared" si="39"/>
        <v>4.1693696285043817E-2</v>
      </c>
    </row>
    <row r="607" spans="1:15" x14ac:dyDescent="0.2">
      <c r="A607" s="21" t="s">
        <v>3528</v>
      </c>
      <c r="B607" s="21" t="s">
        <v>3386</v>
      </c>
      <c r="C607" s="21" t="s">
        <v>3387</v>
      </c>
      <c r="D607" s="21" t="s">
        <v>615</v>
      </c>
      <c r="E607" s="21" t="s">
        <v>616</v>
      </c>
      <c r="F607" s="21" t="s">
        <v>1494</v>
      </c>
      <c r="G607" s="21" t="s">
        <v>1495</v>
      </c>
      <c r="H607" s="21" t="s">
        <v>3565</v>
      </c>
      <c r="I607" s="21">
        <v>105</v>
      </c>
      <c r="J607" s="89">
        <f t="shared" si="36"/>
        <v>0.15217391304347827</v>
      </c>
      <c r="K607" s="94">
        <v>1.0379072299126899</v>
      </c>
      <c r="L607" s="94">
        <v>1.0378255053061201</v>
      </c>
      <c r="M607" s="89">
        <f t="shared" si="38"/>
        <v>1.0379072299126899</v>
      </c>
      <c r="N607" s="89">
        <f t="shared" si="37"/>
        <v>1.0005543199290163</v>
      </c>
      <c r="O607" s="89">
        <f t="shared" si="39"/>
        <v>0.15225826607615467</v>
      </c>
    </row>
    <row r="608" spans="1:15" x14ac:dyDescent="0.2">
      <c r="A608" s="21" t="s">
        <v>3528</v>
      </c>
      <c r="B608" s="21" t="s">
        <v>3386</v>
      </c>
      <c r="C608" s="21" t="s">
        <v>3387</v>
      </c>
      <c r="D608" s="21" t="s">
        <v>617</v>
      </c>
      <c r="E608" s="21" t="s">
        <v>618</v>
      </c>
      <c r="F608" s="21" t="s">
        <v>1502</v>
      </c>
      <c r="G608" s="21" t="s">
        <v>1503</v>
      </c>
      <c r="H608" s="21" t="s">
        <v>3565</v>
      </c>
      <c r="I608" s="21">
        <v>115</v>
      </c>
      <c r="J608" s="89">
        <f t="shared" si="36"/>
        <v>0.16666666666666666</v>
      </c>
      <c r="K608" s="94">
        <v>1.0376596639951301</v>
      </c>
      <c r="L608" s="94">
        <v>1.0374671336316299</v>
      </c>
      <c r="M608" s="89">
        <f t="shared" si="38"/>
        <v>1.0376596639951301</v>
      </c>
      <c r="N608" s="89">
        <f t="shared" si="37"/>
        <v>1.0003156635817603</v>
      </c>
      <c r="O608" s="89">
        <f t="shared" si="39"/>
        <v>0.1667192772636267</v>
      </c>
    </row>
    <row r="609" spans="1:15" x14ac:dyDescent="0.2">
      <c r="A609" s="21" t="s">
        <v>3528</v>
      </c>
      <c r="B609" s="21" t="s">
        <v>3386</v>
      </c>
      <c r="C609" s="21" t="s">
        <v>3387</v>
      </c>
      <c r="D609" s="21" t="s">
        <v>619</v>
      </c>
      <c r="E609" s="21" t="s">
        <v>620</v>
      </c>
      <c r="F609" s="21" t="s">
        <v>2080</v>
      </c>
      <c r="G609" s="21" t="s">
        <v>2081</v>
      </c>
      <c r="H609" s="21" t="s">
        <v>3567</v>
      </c>
      <c r="I609" s="21">
        <v>53</v>
      </c>
      <c r="J609" s="89">
        <f t="shared" si="36"/>
        <v>7.6811594202898556E-2</v>
      </c>
      <c r="K609" s="94">
        <v>0.99248451027343998</v>
      </c>
      <c r="L609" s="94">
        <v>0.99261662870053702</v>
      </c>
      <c r="M609" s="89">
        <f t="shared" si="38"/>
        <v>0.99248451027343998</v>
      </c>
      <c r="N609" s="89">
        <f t="shared" si="37"/>
        <v>0.95676630395980578</v>
      </c>
      <c r="O609" s="89">
        <f t="shared" si="39"/>
        <v>7.34907450867677E-2</v>
      </c>
    </row>
    <row r="610" spans="1:15" x14ac:dyDescent="0.2">
      <c r="A610" s="21" t="s">
        <v>3528</v>
      </c>
      <c r="B610" s="21" t="s">
        <v>3386</v>
      </c>
      <c r="C610" s="21" t="s">
        <v>3387</v>
      </c>
      <c r="D610" s="21" t="s">
        <v>621</v>
      </c>
      <c r="E610" s="21" t="s">
        <v>622</v>
      </c>
      <c r="F610" s="21" t="s">
        <v>1506</v>
      </c>
      <c r="G610" s="21" t="s">
        <v>1507</v>
      </c>
      <c r="H610" s="21" t="s">
        <v>3532</v>
      </c>
      <c r="I610" s="21">
        <v>42</v>
      </c>
      <c r="J610" s="89">
        <f t="shared" si="36"/>
        <v>6.0869565217391307E-2</v>
      </c>
      <c r="K610" s="94">
        <v>1.0050858908979401</v>
      </c>
      <c r="L610" s="94">
        <v>1.0030659426835</v>
      </c>
      <c r="M610" s="89">
        <f t="shared" si="38"/>
        <v>1.0050858908979401</v>
      </c>
      <c r="N610" s="89">
        <f t="shared" si="37"/>
        <v>0.96891417754381959</v>
      </c>
      <c r="O610" s="89">
        <f t="shared" si="39"/>
        <v>5.8977384720058583E-2</v>
      </c>
    </row>
    <row r="611" spans="1:15" x14ac:dyDescent="0.2">
      <c r="A611" s="21" t="s">
        <v>3528</v>
      </c>
      <c r="B611" s="21" t="s">
        <v>3386</v>
      </c>
      <c r="C611" s="21" t="s">
        <v>3387</v>
      </c>
      <c r="D611" s="21" t="s">
        <v>623</v>
      </c>
      <c r="E611" s="21" t="s">
        <v>624</v>
      </c>
      <c r="F611" s="21" t="s">
        <v>1508</v>
      </c>
      <c r="G611" s="21" t="s">
        <v>1509</v>
      </c>
      <c r="H611" s="21" t="s">
        <v>3532</v>
      </c>
      <c r="I611" s="21">
        <v>26</v>
      </c>
      <c r="J611" s="89">
        <f t="shared" si="36"/>
        <v>3.7681159420289857E-2</v>
      </c>
      <c r="K611" s="94">
        <v>1.01278921205436</v>
      </c>
      <c r="L611" s="94">
        <v>1.01251420475027</v>
      </c>
      <c r="M611" s="89">
        <f t="shared" si="38"/>
        <v>1.01278921205436</v>
      </c>
      <c r="N611" s="89">
        <f t="shared" si="37"/>
        <v>0.97634026634898663</v>
      </c>
      <c r="O611" s="89">
        <f t="shared" si="39"/>
        <v>3.6789633224744427E-2</v>
      </c>
    </row>
    <row r="612" spans="1:15" x14ac:dyDescent="0.2">
      <c r="A612" s="21" t="s">
        <v>3528</v>
      </c>
      <c r="B612" s="21" t="s">
        <v>3386</v>
      </c>
      <c r="C612" s="21" t="s">
        <v>3387</v>
      </c>
      <c r="D612" s="21" t="s">
        <v>625</v>
      </c>
      <c r="E612" s="21" t="s">
        <v>626</v>
      </c>
      <c r="F612" s="21" t="s">
        <v>1510</v>
      </c>
      <c r="G612" s="21" t="s">
        <v>1511</v>
      </c>
      <c r="H612" s="21" t="s">
        <v>3544</v>
      </c>
      <c r="I612" s="21">
        <v>18</v>
      </c>
      <c r="J612" s="89">
        <f t="shared" si="36"/>
        <v>2.6086956521739129E-2</v>
      </c>
      <c r="K612" s="94">
        <v>1.06524938522785</v>
      </c>
      <c r="L612" s="94">
        <v>1.06550527779167</v>
      </c>
      <c r="M612" s="89">
        <f t="shared" si="38"/>
        <v>1.06524938522785</v>
      </c>
      <c r="N612" s="89">
        <f t="shared" si="37"/>
        <v>1.0269124671972023</v>
      </c>
      <c r="O612" s="89">
        <f t="shared" si="39"/>
        <v>2.6789020883405276E-2</v>
      </c>
    </row>
    <row r="613" spans="1:15" x14ac:dyDescent="0.2">
      <c r="A613" s="21" t="s">
        <v>3528</v>
      </c>
      <c r="B613" s="21" t="s">
        <v>3386</v>
      </c>
      <c r="C613" s="21" t="s">
        <v>3387</v>
      </c>
      <c r="D613" s="21" t="s">
        <v>627</v>
      </c>
      <c r="E613" s="21" t="s">
        <v>628</v>
      </c>
      <c r="F613" s="21" t="s">
        <v>1512</v>
      </c>
      <c r="G613" s="21" t="s">
        <v>1513</v>
      </c>
      <c r="H613" s="21" t="s">
        <v>3544</v>
      </c>
      <c r="I613" s="21">
        <v>26</v>
      </c>
      <c r="J613" s="89">
        <f t="shared" si="36"/>
        <v>3.7681159420289857E-2</v>
      </c>
      <c r="K613" s="94">
        <v>1.0655437584326199</v>
      </c>
      <c r="L613" s="94">
        <v>1.06547363215637</v>
      </c>
      <c r="M613" s="89">
        <f t="shared" si="38"/>
        <v>1.0655437584326199</v>
      </c>
      <c r="N613" s="89">
        <f t="shared" si="37"/>
        <v>1.0271962462992408</v>
      </c>
      <c r="O613" s="89">
        <f t="shared" si="39"/>
        <v>3.8705945512725014E-2</v>
      </c>
    </row>
    <row r="614" spans="1:15" x14ac:dyDescent="0.2">
      <c r="A614" s="21" t="s">
        <v>3528</v>
      </c>
      <c r="B614" s="21" t="s">
        <v>3386</v>
      </c>
      <c r="C614" s="21" t="s">
        <v>3387</v>
      </c>
      <c r="D614" s="21" t="s">
        <v>629</v>
      </c>
      <c r="E614" s="21" t="s">
        <v>630</v>
      </c>
      <c r="F614" s="21" t="s">
        <v>1514</v>
      </c>
      <c r="G614" s="21" t="s">
        <v>1515</v>
      </c>
      <c r="H614" s="21" t="s">
        <v>3532</v>
      </c>
      <c r="I614" s="21">
        <v>67</v>
      </c>
      <c r="J614" s="89">
        <f t="shared" si="36"/>
        <v>9.7101449275362323E-2</v>
      </c>
      <c r="K614" s="94">
        <v>1.0248809166882999</v>
      </c>
      <c r="L614" s="94">
        <v>1.0251346425613199</v>
      </c>
      <c r="M614" s="89">
        <f t="shared" si="38"/>
        <v>1.0248809166882999</v>
      </c>
      <c r="N614" s="89">
        <f t="shared" si="37"/>
        <v>0.98799680650798716</v>
      </c>
      <c r="O614" s="89">
        <f t="shared" si="39"/>
        <v>9.593592179135528E-2</v>
      </c>
    </row>
    <row r="615" spans="1:15" x14ac:dyDescent="0.2">
      <c r="A615" s="21" t="s">
        <v>3528</v>
      </c>
      <c r="B615" s="21" t="s">
        <v>3386</v>
      </c>
      <c r="C615" s="21" t="s">
        <v>3387</v>
      </c>
      <c r="D615" s="21" t="s">
        <v>3835</v>
      </c>
      <c r="E615" s="21" t="s">
        <v>3836</v>
      </c>
      <c r="F615" s="21" t="s">
        <v>1516</v>
      </c>
      <c r="G615" s="21" t="s">
        <v>1517</v>
      </c>
      <c r="H615" s="21" t="s">
        <v>3565</v>
      </c>
      <c r="I615" s="21">
        <v>128</v>
      </c>
      <c r="J615" s="89">
        <f t="shared" si="36"/>
        <v>0.1855072463768116</v>
      </c>
      <c r="K615" s="94">
        <v>1.03661754368978</v>
      </c>
      <c r="L615" s="94">
        <v>1.0364216187798001</v>
      </c>
      <c r="M615" s="89">
        <f t="shared" si="38"/>
        <v>1.03661754368978</v>
      </c>
      <c r="N615" s="89">
        <f t="shared" si="37"/>
        <v>0.99931104780941282</v>
      </c>
      <c r="O615" s="89">
        <f t="shared" si="39"/>
        <v>0.18537944075305049</v>
      </c>
    </row>
    <row r="616" spans="1:15" x14ac:dyDescent="0.2">
      <c r="A616" s="21" t="s">
        <v>2975</v>
      </c>
      <c r="B616" s="21" t="s">
        <v>389</v>
      </c>
      <c r="C616" s="21" t="s">
        <v>390</v>
      </c>
      <c r="D616" s="21" t="s">
        <v>728</v>
      </c>
      <c r="E616" s="21" t="s">
        <v>729</v>
      </c>
      <c r="F616" s="21" t="s">
        <v>1518</v>
      </c>
      <c r="G616" s="21" t="s">
        <v>1519</v>
      </c>
      <c r="H616" s="21" t="s">
        <v>2979</v>
      </c>
      <c r="I616" s="21">
        <v>34</v>
      </c>
      <c r="J616" s="89">
        <f t="shared" si="36"/>
        <v>4.7353760445682451E-2</v>
      </c>
      <c r="K616" s="94" t="e">
        <v>#N/A</v>
      </c>
      <c r="L616" s="94">
        <v>0.97537053317559097</v>
      </c>
      <c r="M616" s="89">
        <f t="shared" si="38"/>
        <v>0.97537053317559097</v>
      </c>
      <c r="N616" s="89">
        <f t="shared" si="37"/>
        <v>0.94026823628774647</v>
      </c>
      <c r="O616" s="89">
        <f t="shared" si="39"/>
        <v>4.452523681585429E-2</v>
      </c>
    </row>
    <row r="617" spans="1:15" x14ac:dyDescent="0.2">
      <c r="A617" s="21" t="s">
        <v>2975</v>
      </c>
      <c r="B617" s="21" t="s">
        <v>389</v>
      </c>
      <c r="C617" s="21" t="s">
        <v>390</v>
      </c>
      <c r="D617" s="21" t="s">
        <v>3837</v>
      </c>
      <c r="E617" s="21" t="s">
        <v>3838</v>
      </c>
      <c r="F617" s="21" t="s">
        <v>1520</v>
      </c>
      <c r="G617" s="21" t="s">
        <v>1521</v>
      </c>
      <c r="H617" s="21" t="s">
        <v>2979</v>
      </c>
      <c r="I617" s="21">
        <v>63</v>
      </c>
      <c r="J617" s="89">
        <f t="shared" si="36"/>
        <v>8.7743732590529241E-2</v>
      </c>
      <c r="K617" s="94">
        <v>0.97823076818177301</v>
      </c>
      <c r="L617" s="94">
        <v>0.97857406740851405</v>
      </c>
      <c r="M617" s="89">
        <f t="shared" si="38"/>
        <v>0.97823076818177301</v>
      </c>
      <c r="N617" s="89">
        <f t="shared" si="37"/>
        <v>0.94302553521482724</v>
      </c>
      <c r="O617" s="89">
        <f t="shared" si="39"/>
        <v>8.2744580387930519E-2</v>
      </c>
    </row>
    <row r="618" spans="1:15" x14ac:dyDescent="0.2">
      <c r="A618" s="21" t="s">
        <v>2975</v>
      </c>
      <c r="B618" s="21" t="s">
        <v>389</v>
      </c>
      <c r="C618" s="21" t="s">
        <v>390</v>
      </c>
      <c r="D618" s="21" t="s">
        <v>3839</v>
      </c>
      <c r="E618" s="21" t="s">
        <v>3840</v>
      </c>
      <c r="F618" s="21" t="s">
        <v>919</v>
      </c>
      <c r="G618" s="21" t="s">
        <v>920</v>
      </c>
      <c r="H618" s="21" t="s">
        <v>2979</v>
      </c>
      <c r="I618" s="21">
        <v>151</v>
      </c>
      <c r="J618" s="89">
        <f t="shared" si="36"/>
        <v>0.21030640668523676</v>
      </c>
      <c r="K618" s="94">
        <v>0.97725270837448996</v>
      </c>
      <c r="L618" s="94">
        <v>0.97705220358154299</v>
      </c>
      <c r="M618" s="89">
        <f t="shared" si="38"/>
        <v>0.97725270837448996</v>
      </c>
      <c r="N618" s="89">
        <f t="shared" si="37"/>
        <v>0.94208267448785432</v>
      </c>
      <c r="O618" s="89">
        <f t="shared" si="39"/>
        <v>0.1981260220719582</v>
      </c>
    </row>
    <row r="619" spans="1:15" x14ac:dyDescent="0.2">
      <c r="A619" s="21" t="s">
        <v>2975</v>
      </c>
      <c r="B619" s="21" t="s">
        <v>389</v>
      </c>
      <c r="C619" s="21" t="s">
        <v>390</v>
      </c>
      <c r="D619" s="21" t="s">
        <v>3841</v>
      </c>
      <c r="E619" s="21" t="s">
        <v>3842</v>
      </c>
      <c r="F619" s="21" t="s">
        <v>1522</v>
      </c>
      <c r="G619" s="21" t="s">
        <v>1523</v>
      </c>
      <c r="H619" s="21" t="s">
        <v>3019</v>
      </c>
      <c r="I619" s="21">
        <v>24</v>
      </c>
      <c r="J619" s="89">
        <f t="shared" si="36"/>
        <v>3.3426183844011144E-2</v>
      </c>
      <c r="K619" s="94">
        <v>0.96800852682622296</v>
      </c>
      <c r="L619" s="94">
        <v>0.96828904738205301</v>
      </c>
      <c r="M619" s="89">
        <f t="shared" si="38"/>
        <v>0.96800852682622296</v>
      </c>
      <c r="N619" s="89">
        <f t="shared" si="37"/>
        <v>0.93317117882065026</v>
      </c>
      <c r="O619" s="89">
        <f t="shared" si="39"/>
        <v>3.1192351381191655E-2</v>
      </c>
    </row>
    <row r="620" spans="1:15" x14ac:dyDescent="0.2">
      <c r="A620" s="21" t="s">
        <v>2975</v>
      </c>
      <c r="B620" s="21" t="s">
        <v>389</v>
      </c>
      <c r="C620" s="21" t="s">
        <v>390</v>
      </c>
      <c r="D620" s="21" t="s">
        <v>3843</v>
      </c>
      <c r="E620" s="21" t="s">
        <v>3844</v>
      </c>
      <c r="F620" s="21" t="s">
        <v>1524</v>
      </c>
      <c r="G620" s="21" t="s">
        <v>1525</v>
      </c>
      <c r="H620" s="21" t="s">
        <v>3019</v>
      </c>
      <c r="I620" s="21">
        <v>223</v>
      </c>
      <c r="J620" s="89">
        <f t="shared" si="36"/>
        <v>0.31058495821727017</v>
      </c>
      <c r="K620" s="94">
        <v>0.97686103099062604</v>
      </c>
      <c r="L620" s="94">
        <v>0.97753157090600196</v>
      </c>
      <c r="M620" s="89">
        <f t="shared" si="38"/>
        <v>0.97686103099062604</v>
      </c>
      <c r="N620" s="89">
        <f t="shared" si="37"/>
        <v>0.94170509305557493</v>
      </c>
      <c r="O620" s="89">
        <f t="shared" si="39"/>
        <v>0.29247943697965628</v>
      </c>
    </row>
    <row r="621" spans="1:15" x14ac:dyDescent="0.2">
      <c r="A621" s="21" t="s">
        <v>2975</v>
      </c>
      <c r="B621" s="21" t="s">
        <v>389</v>
      </c>
      <c r="C621" s="21" t="s">
        <v>390</v>
      </c>
      <c r="D621" s="21" t="s">
        <v>3845</v>
      </c>
      <c r="E621" s="21" t="s">
        <v>2883</v>
      </c>
      <c r="F621" s="21" t="s">
        <v>1526</v>
      </c>
      <c r="G621" s="21" t="s">
        <v>1077</v>
      </c>
      <c r="H621" s="21" t="s">
        <v>2979</v>
      </c>
      <c r="I621" s="21">
        <v>66</v>
      </c>
      <c r="J621" s="89">
        <f t="shared" si="36"/>
        <v>9.1922005571030641E-2</v>
      </c>
      <c r="K621" s="94">
        <v>0.97904095792110402</v>
      </c>
      <c r="L621" s="94">
        <v>0.97913159574725595</v>
      </c>
      <c r="M621" s="89">
        <f t="shared" si="38"/>
        <v>0.97904095792110402</v>
      </c>
      <c r="N621" s="89">
        <f t="shared" si="37"/>
        <v>0.94380656729581391</v>
      </c>
      <c r="O621" s="89">
        <f t="shared" si="39"/>
        <v>8.675659253694111E-2</v>
      </c>
    </row>
    <row r="622" spans="1:15" x14ac:dyDescent="0.2">
      <c r="A622" s="21" t="s">
        <v>2975</v>
      </c>
      <c r="B622" s="21" t="s">
        <v>389</v>
      </c>
      <c r="C622" s="21" t="s">
        <v>390</v>
      </c>
      <c r="D622" s="21" t="s">
        <v>2884</v>
      </c>
      <c r="E622" s="21" t="s">
        <v>2885</v>
      </c>
      <c r="F622" s="21" t="s">
        <v>1527</v>
      </c>
      <c r="G622" s="21" t="s">
        <v>1528</v>
      </c>
      <c r="H622" s="21" t="s">
        <v>2979</v>
      </c>
      <c r="I622" s="21">
        <v>62</v>
      </c>
      <c r="J622" s="89">
        <f t="shared" si="36"/>
        <v>8.6350974930362118E-2</v>
      </c>
      <c r="K622" s="94">
        <v>0.97761790968973905</v>
      </c>
      <c r="L622" s="94">
        <v>0.97790810372403303</v>
      </c>
      <c r="M622" s="89">
        <f t="shared" si="38"/>
        <v>0.97761790968973905</v>
      </c>
      <c r="N622" s="89">
        <f t="shared" si="37"/>
        <v>0.94243473269024969</v>
      </c>
      <c r="O622" s="89">
        <f t="shared" si="39"/>
        <v>8.1380157976038273E-2</v>
      </c>
    </row>
    <row r="623" spans="1:15" x14ac:dyDescent="0.2">
      <c r="A623" s="21" t="s">
        <v>2975</v>
      </c>
      <c r="B623" s="21" t="s">
        <v>389</v>
      </c>
      <c r="C623" s="21" t="s">
        <v>390</v>
      </c>
      <c r="D623" s="21" t="s">
        <v>2886</v>
      </c>
      <c r="E623" s="21" t="s">
        <v>2887</v>
      </c>
      <c r="F623" s="21" t="s">
        <v>1529</v>
      </c>
      <c r="G623" s="21" t="s">
        <v>922</v>
      </c>
      <c r="H623" s="21" t="s">
        <v>2979</v>
      </c>
      <c r="I623" s="21">
        <v>24</v>
      </c>
      <c r="J623" s="89">
        <f t="shared" si="36"/>
        <v>3.3426183844011144E-2</v>
      </c>
      <c r="K623" s="94">
        <v>0.97612350499407496</v>
      </c>
      <c r="L623" s="94">
        <v>0.97629070275388397</v>
      </c>
      <c r="M623" s="89">
        <f t="shared" si="38"/>
        <v>0.97612350499407496</v>
      </c>
      <c r="N623" s="89">
        <f t="shared" si="37"/>
        <v>0.94099410964526453</v>
      </c>
      <c r="O623" s="89">
        <f t="shared" si="39"/>
        <v>3.1453842105134189E-2</v>
      </c>
    </row>
    <row r="624" spans="1:15" x14ac:dyDescent="0.2">
      <c r="A624" s="21" t="s">
        <v>2975</v>
      </c>
      <c r="B624" s="21" t="s">
        <v>389</v>
      </c>
      <c r="C624" s="21" t="s">
        <v>390</v>
      </c>
      <c r="D624" s="21" t="s">
        <v>2888</v>
      </c>
      <c r="E624" s="21" t="s">
        <v>2889</v>
      </c>
      <c r="F624" s="21" t="s">
        <v>1530</v>
      </c>
      <c r="G624" s="21" t="s">
        <v>1531</v>
      </c>
      <c r="H624" s="21" t="s">
        <v>2979</v>
      </c>
      <c r="I624" s="21">
        <v>15</v>
      </c>
      <c r="J624" s="89">
        <f t="shared" si="36"/>
        <v>2.0891364902506964E-2</v>
      </c>
      <c r="K624" s="94">
        <v>0.97729685659165799</v>
      </c>
      <c r="L624" s="94">
        <v>0.97727430416975303</v>
      </c>
      <c r="M624" s="89">
        <f t="shared" si="38"/>
        <v>0.97729685659165799</v>
      </c>
      <c r="N624" s="89">
        <f t="shared" si="37"/>
        <v>0.94212523386901248</v>
      </c>
      <c r="O624" s="89">
        <f t="shared" si="39"/>
        <v>1.9682282044617253E-2</v>
      </c>
    </row>
    <row r="625" spans="1:15" x14ac:dyDescent="0.2">
      <c r="A625" s="21" t="s">
        <v>2975</v>
      </c>
      <c r="B625" s="21" t="s">
        <v>389</v>
      </c>
      <c r="C625" s="21" t="s">
        <v>390</v>
      </c>
      <c r="D625" s="21" t="s">
        <v>2890</v>
      </c>
      <c r="E625" s="21" t="s">
        <v>2891</v>
      </c>
      <c r="F625" s="21" t="s">
        <v>1532</v>
      </c>
      <c r="G625" s="21" t="s">
        <v>1533</v>
      </c>
      <c r="H625" s="21" t="s">
        <v>3603</v>
      </c>
      <c r="I625" s="21">
        <v>56</v>
      </c>
      <c r="J625" s="89">
        <f t="shared" si="36"/>
        <v>7.7994428969359333E-2</v>
      </c>
      <c r="K625" s="94">
        <v>0.98460200472715897</v>
      </c>
      <c r="L625" s="94">
        <v>0.98484485068761196</v>
      </c>
      <c r="M625" s="89">
        <f t="shared" si="38"/>
        <v>0.98460200472715897</v>
      </c>
      <c r="N625" s="89">
        <f t="shared" si="37"/>
        <v>0.94916747937424106</v>
      </c>
      <c r="O625" s="89">
        <f t="shared" si="39"/>
        <v>7.4029775550080085E-2</v>
      </c>
    </row>
    <row r="626" spans="1:15" x14ac:dyDescent="0.2">
      <c r="A626" s="21" t="s">
        <v>2975</v>
      </c>
      <c r="B626" s="21" t="s">
        <v>357</v>
      </c>
      <c r="C626" s="21" t="s">
        <v>358</v>
      </c>
      <c r="D626" s="21" t="s">
        <v>728</v>
      </c>
      <c r="E626" s="21" t="s">
        <v>729</v>
      </c>
      <c r="F626" s="21" t="s">
        <v>1534</v>
      </c>
      <c r="G626" s="21" t="s">
        <v>1535</v>
      </c>
      <c r="H626" s="21" t="s">
        <v>3002</v>
      </c>
      <c r="I626" s="21">
        <v>234</v>
      </c>
      <c r="J626" s="89">
        <f t="shared" si="36"/>
        <v>0.29471032745591941</v>
      </c>
      <c r="K626" s="94" t="e">
        <v>#N/A</v>
      </c>
      <c r="L626" s="94">
        <v>0.96843693288605304</v>
      </c>
      <c r="M626" s="89">
        <f t="shared" si="38"/>
        <v>0.96843693288605304</v>
      </c>
      <c r="N626" s="89">
        <f t="shared" si="37"/>
        <v>0.93358416711237147</v>
      </c>
      <c r="O626" s="89">
        <f t="shared" si="39"/>
        <v>0.27513689559734877</v>
      </c>
    </row>
    <row r="627" spans="1:15" x14ac:dyDescent="0.2">
      <c r="A627" s="21" t="s">
        <v>2975</v>
      </c>
      <c r="B627" s="21" t="s">
        <v>357</v>
      </c>
      <c r="C627" s="21" t="s">
        <v>358</v>
      </c>
      <c r="D627" s="21" t="s">
        <v>2892</v>
      </c>
      <c r="E627" s="21" t="s">
        <v>2893</v>
      </c>
      <c r="F627" s="21" t="s">
        <v>2454</v>
      </c>
      <c r="G627" s="21" t="s">
        <v>2455</v>
      </c>
      <c r="H627" s="21" t="s">
        <v>2998</v>
      </c>
      <c r="I627" s="21">
        <v>88</v>
      </c>
      <c r="J627" s="89">
        <f t="shared" si="36"/>
        <v>0.11083123425692695</v>
      </c>
      <c r="K627" s="94">
        <v>0.96605896766084998</v>
      </c>
      <c r="L627" s="94">
        <v>0.96619270348265596</v>
      </c>
      <c r="M627" s="89">
        <f t="shared" si="38"/>
        <v>0.96605896766084998</v>
      </c>
      <c r="N627" s="89">
        <f t="shared" si="37"/>
        <v>0.93129178171399829</v>
      </c>
      <c r="O627" s="89">
        <f t="shared" si="39"/>
        <v>0.10321621762069502</v>
      </c>
    </row>
    <row r="628" spans="1:15" x14ac:dyDescent="0.2">
      <c r="A628" s="21" t="s">
        <v>2975</v>
      </c>
      <c r="B628" s="21" t="s">
        <v>357</v>
      </c>
      <c r="C628" s="21" t="s">
        <v>358</v>
      </c>
      <c r="D628" s="21" t="s">
        <v>2894</v>
      </c>
      <c r="E628" s="21" t="s">
        <v>2895</v>
      </c>
      <c r="F628" s="21" t="s">
        <v>2430</v>
      </c>
      <c r="G628" s="21" t="s">
        <v>2431</v>
      </c>
      <c r="H628" s="21" t="s">
        <v>3002</v>
      </c>
      <c r="I628" s="21">
        <v>43</v>
      </c>
      <c r="J628" s="89">
        <f t="shared" si="36"/>
        <v>5.4156171284634763E-2</v>
      </c>
      <c r="K628" s="94">
        <v>0.96479705045794895</v>
      </c>
      <c r="L628" s="94">
        <v>0.96480864121972298</v>
      </c>
      <c r="M628" s="89">
        <f t="shared" si="38"/>
        <v>0.96479705045794895</v>
      </c>
      <c r="N628" s="89">
        <f t="shared" si="37"/>
        <v>0.93007527924406019</v>
      </c>
      <c r="O628" s="89">
        <f t="shared" si="39"/>
        <v>5.0369316130345829E-2</v>
      </c>
    </row>
    <row r="629" spans="1:15" x14ac:dyDescent="0.2">
      <c r="A629" s="21" t="s">
        <v>2975</v>
      </c>
      <c r="B629" s="21" t="s">
        <v>357</v>
      </c>
      <c r="C629" s="21" t="s">
        <v>358</v>
      </c>
      <c r="D629" s="21" t="s">
        <v>2896</v>
      </c>
      <c r="E629" s="21" t="s">
        <v>2897</v>
      </c>
      <c r="F629" s="21" t="s">
        <v>1536</v>
      </c>
      <c r="G629" s="21" t="s">
        <v>1537</v>
      </c>
      <c r="H629" s="21" t="s">
        <v>3002</v>
      </c>
      <c r="I629" s="21">
        <v>122</v>
      </c>
      <c r="J629" s="89">
        <f t="shared" si="36"/>
        <v>0.15365239294710328</v>
      </c>
      <c r="K629" s="94">
        <v>0.96375010548851503</v>
      </c>
      <c r="L629" s="94">
        <v>0.96222002781316196</v>
      </c>
      <c r="M629" s="89">
        <f t="shared" si="38"/>
        <v>0.96375010548851503</v>
      </c>
      <c r="N629" s="89">
        <f t="shared" si="37"/>
        <v>0.92906601244091513</v>
      </c>
      <c r="O629" s="89">
        <f t="shared" si="39"/>
        <v>0.14275321601736984</v>
      </c>
    </row>
    <row r="630" spans="1:15" x14ac:dyDescent="0.2">
      <c r="A630" s="21" t="s">
        <v>2975</v>
      </c>
      <c r="B630" s="21" t="s">
        <v>357</v>
      </c>
      <c r="C630" s="21" t="s">
        <v>358</v>
      </c>
      <c r="D630" s="21" t="s">
        <v>2898</v>
      </c>
      <c r="E630" s="21" t="s">
        <v>2899</v>
      </c>
      <c r="F630" s="21" t="s">
        <v>1538</v>
      </c>
      <c r="G630" s="21" t="s">
        <v>1539</v>
      </c>
      <c r="H630" s="21" t="s">
        <v>3002</v>
      </c>
      <c r="I630" s="21">
        <v>48</v>
      </c>
      <c r="J630" s="89">
        <f t="shared" si="36"/>
        <v>6.0453400503778336E-2</v>
      </c>
      <c r="K630" s="94">
        <v>0.96615054855830695</v>
      </c>
      <c r="L630" s="94">
        <v>0.96583846020139197</v>
      </c>
      <c r="M630" s="89">
        <f t="shared" si="38"/>
        <v>0.96615054855830695</v>
      </c>
      <c r="N630" s="89">
        <f t="shared" si="37"/>
        <v>0.93138006673594698</v>
      </c>
      <c r="O630" s="89">
        <f t="shared" si="39"/>
        <v>5.6305092195623997E-2</v>
      </c>
    </row>
    <row r="631" spans="1:15" x14ac:dyDescent="0.2">
      <c r="A631" s="21" t="s">
        <v>2975</v>
      </c>
      <c r="B631" s="21" t="s">
        <v>357</v>
      </c>
      <c r="C631" s="21" t="s">
        <v>358</v>
      </c>
      <c r="D631" s="21" t="s">
        <v>2900</v>
      </c>
      <c r="E631" s="21" t="s">
        <v>1198</v>
      </c>
      <c r="F631" s="21" t="s">
        <v>83</v>
      </c>
      <c r="G631" s="21" t="s">
        <v>84</v>
      </c>
      <c r="H631" s="21" t="s">
        <v>3002</v>
      </c>
      <c r="I631" s="21">
        <v>42</v>
      </c>
      <c r="J631" s="89">
        <f t="shared" si="36"/>
        <v>5.2896725440806043E-2</v>
      </c>
      <c r="K631" s="94">
        <v>0.975918181781539</v>
      </c>
      <c r="L631" s="94">
        <v>0.97555044064190199</v>
      </c>
      <c r="M631" s="89">
        <f t="shared" si="38"/>
        <v>0.975918181781539</v>
      </c>
      <c r="N631" s="89">
        <f t="shared" si="37"/>
        <v>0.94079617574388696</v>
      </c>
      <c r="O631" s="89">
        <f t="shared" si="39"/>
        <v>4.9765037004084696E-2</v>
      </c>
    </row>
    <row r="632" spans="1:15" x14ac:dyDescent="0.2">
      <c r="A632" s="21" t="s">
        <v>2975</v>
      </c>
      <c r="B632" s="21" t="s">
        <v>357</v>
      </c>
      <c r="C632" s="21" t="s">
        <v>358</v>
      </c>
      <c r="D632" s="21" t="s">
        <v>2901</v>
      </c>
      <c r="E632" s="21" t="s">
        <v>2902</v>
      </c>
      <c r="F632" s="21" t="s">
        <v>1540</v>
      </c>
      <c r="G632" s="21" t="s">
        <v>2429</v>
      </c>
      <c r="H632" s="21" t="s">
        <v>2982</v>
      </c>
      <c r="I632" s="21">
        <v>94</v>
      </c>
      <c r="J632" s="89">
        <f t="shared" si="36"/>
        <v>0.11838790931989925</v>
      </c>
      <c r="K632" s="94">
        <v>0.95360552219245598</v>
      </c>
      <c r="L632" s="94">
        <v>0.95325492739074602</v>
      </c>
      <c r="M632" s="89">
        <f t="shared" si="38"/>
        <v>0.95360552219245598</v>
      </c>
      <c r="N632" s="89">
        <f t="shared" si="37"/>
        <v>0.91928651929526528</v>
      </c>
      <c r="O632" s="89">
        <f t="shared" si="39"/>
        <v>0.10883240908533368</v>
      </c>
    </row>
    <row r="633" spans="1:15" x14ac:dyDescent="0.2">
      <c r="A633" s="21" t="s">
        <v>2975</v>
      </c>
      <c r="B633" s="21" t="s">
        <v>357</v>
      </c>
      <c r="C633" s="21" t="s">
        <v>358</v>
      </c>
      <c r="D633" s="21" t="s">
        <v>2903</v>
      </c>
      <c r="E633" s="21" t="s">
        <v>2904</v>
      </c>
      <c r="F633" s="21" t="s">
        <v>1541</v>
      </c>
      <c r="G633" s="21" t="s">
        <v>1542</v>
      </c>
      <c r="H633" s="21" t="s">
        <v>3610</v>
      </c>
      <c r="I633" s="21">
        <v>40</v>
      </c>
      <c r="J633" s="89">
        <f t="shared" si="36"/>
        <v>5.0377833753148617E-2</v>
      </c>
      <c r="K633" s="94">
        <v>0.95446037604307898</v>
      </c>
      <c r="L633" s="94">
        <v>0.95439379382522305</v>
      </c>
      <c r="M633" s="89">
        <f t="shared" si="38"/>
        <v>0.95446037604307898</v>
      </c>
      <c r="N633" s="89">
        <f t="shared" si="37"/>
        <v>0.92011060808518608</v>
      </c>
      <c r="O633" s="89">
        <f t="shared" si="39"/>
        <v>4.6353179248623984E-2</v>
      </c>
    </row>
    <row r="634" spans="1:15" x14ac:dyDescent="0.2">
      <c r="A634" s="21" t="s">
        <v>2975</v>
      </c>
      <c r="B634" s="21" t="s">
        <v>357</v>
      </c>
      <c r="C634" s="21" t="s">
        <v>358</v>
      </c>
      <c r="D634" s="21" t="s">
        <v>2905</v>
      </c>
      <c r="E634" s="21" t="s">
        <v>2906</v>
      </c>
      <c r="F634" s="21" t="s">
        <v>1543</v>
      </c>
      <c r="G634" s="21" t="s">
        <v>1544</v>
      </c>
      <c r="H634" s="21" t="s">
        <v>3610</v>
      </c>
      <c r="I634" s="21">
        <v>40</v>
      </c>
      <c r="J634" s="89">
        <f t="shared" si="36"/>
        <v>5.0377833753148617E-2</v>
      </c>
      <c r="K634" s="94">
        <v>0.96193933722830205</v>
      </c>
      <c r="L634" s="94">
        <v>0.96143436072702604</v>
      </c>
      <c r="M634" s="89">
        <f t="shared" si="38"/>
        <v>0.96193933722830205</v>
      </c>
      <c r="N634" s="89">
        <f t="shared" si="37"/>
        <v>0.92732041133810872</v>
      </c>
      <c r="O634" s="89">
        <f t="shared" si="39"/>
        <v>4.6716393518292633E-2</v>
      </c>
    </row>
    <row r="635" spans="1:15" x14ac:dyDescent="0.2">
      <c r="A635" s="21" t="s">
        <v>2975</v>
      </c>
      <c r="B635" s="21" t="s">
        <v>357</v>
      </c>
      <c r="C635" s="21" t="s">
        <v>358</v>
      </c>
      <c r="D635" s="21" t="s">
        <v>2907</v>
      </c>
      <c r="E635" s="21" t="s">
        <v>2908</v>
      </c>
      <c r="F635" s="21" t="s">
        <v>1545</v>
      </c>
      <c r="G635" s="21" t="s">
        <v>1546</v>
      </c>
      <c r="H635" s="21" t="s">
        <v>3610</v>
      </c>
      <c r="I635" s="21">
        <v>21</v>
      </c>
      <c r="J635" s="89">
        <f t="shared" si="36"/>
        <v>2.6448362720403022E-2</v>
      </c>
      <c r="K635" s="94">
        <v>0.95651594212520796</v>
      </c>
      <c r="L635" s="94">
        <v>0.95643984299704199</v>
      </c>
      <c r="M635" s="89">
        <f t="shared" si="38"/>
        <v>0.95651594212520796</v>
      </c>
      <c r="N635" s="89">
        <f t="shared" si="37"/>
        <v>0.92209219705971013</v>
      </c>
      <c r="O635" s="89">
        <f t="shared" si="39"/>
        <v>2.4387828889488553E-2</v>
      </c>
    </row>
    <row r="636" spans="1:15" x14ac:dyDescent="0.2">
      <c r="A636" s="21" t="s">
        <v>2975</v>
      </c>
      <c r="B636" s="21" t="s">
        <v>357</v>
      </c>
      <c r="C636" s="21" t="s">
        <v>358</v>
      </c>
      <c r="D636" s="21" t="s">
        <v>2909</v>
      </c>
      <c r="E636" s="21" t="s">
        <v>2910</v>
      </c>
      <c r="F636" s="21" t="s">
        <v>1547</v>
      </c>
      <c r="G636" s="21" t="s">
        <v>1548</v>
      </c>
      <c r="H636" s="21" t="s">
        <v>3610</v>
      </c>
      <c r="I636" s="21">
        <v>22</v>
      </c>
      <c r="J636" s="89">
        <f t="shared" si="36"/>
        <v>2.7707808564231738E-2</v>
      </c>
      <c r="K636" s="94">
        <v>0.95578743704121505</v>
      </c>
      <c r="L636" s="94">
        <v>0.95568910115957195</v>
      </c>
      <c r="M636" s="89">
        <f t="shared" si="38"/>
        <v>0.95578743704121505</v>
      </c>
      <c r="N636" s="89">
        <f t="shared" si="37"/>
        <v>0.92138990991123282</v>
      </c>
      <c r="O636" s="89">
        <f t="shared" si="39"/>
        <v>2.5529695236835168E-2</v>
      </c>
    </row>
    <row r="637" spans="1:15" x14ac:dyDescent="0.2">
      <c r="A637" s="21" t="s">
        <v>1167</v>
      </c>
      <c r="B637" s="21" t="s">
        <v>2355</v>
      </c>
      <c r="C637" s="21" t="s">
        <v>2356</v>
      </c>
      <c r="D637" s="21" t="s">
        <v>728</v>
      </c>
      <c r="E637" s="21" t="s">
        <v>729</v>
      </c>
      <c r="F637" s="21" t="s">
        <v>1549</v>
      </c>
      <c r="G637" s="21" t="s">
        <v>1550</v>
      </c>
      <c r="H637" s="21" t="s">
        <v>1175</v>
      </c>
      <c r="I637" s="21">
        <v>22</v>
      </c>
      <c r="J637" s="89">
        <f t="shared" si="36"/>
        <v>3.3536585365853661E-2</v>
      </c>
      <c r="K637" s="94" t="e">
        <v>#N/A</v>
      </c>
      <c r="L637" s="94">
        <v>1.23896936547222</v>
      </c>
      <c r="M637" s="89">
        <f t="shared" si="38"/>
        <v>1.23896936547222</v>
      </c>
      <c r="N637" s="89">
        <f t="shared" si="37"/>
        <v>1.1943804948610133</v>
      </c>
      <c r="O637" s="89">
        <f t="shared" si="39"/>
        <v>4.0055443425216913E-2</v>
      </c>
    </row>
    <row r="638" spans="1:15" x14ac:dyDescent="0.2">
      <c r="A638" s="21" t="s">
        <v>1167</v>
      </c>
      <c r="B638" s="21" t="s">
        <v>2355</v>
      </c>
      <c r="C638" s="21" t="s">
        <v>2356</v>
      </c>
      <c r="D638" s="21" t="s">
        <v>2911</v>
      </c>
      <c r="E638" s="21" t="s">
        <v>2912</v>
      </c>
      <c r="F638" s="21" t="s">
        <v>1549</v>
      </c>
      <c r="G638" s="21" t="s">
        <v>1550</v>
      </c>
      <c r="H638" s="21" t="s">
        <v>1175</v>
      </c>
      <c r="I638" s="21">
        <v>130</v>
      </c>
      <c r="J638" s="89">
        <f t="shared" si="36"/>
        <v>0.19817073170731708</v>
      </c>
      <c r="K638" s="94" t="e">
        <v>#N/A</v>
      </c>
      <c r="L638" s="94">
        <v>1.23896936547222</v>
      </c>
      <c r="M638" s="89">
        <f t="shared" si="38"/>
        <v>1.23896936547222</v>
      </c>
      <c r="N638" s="89">
        <f t="shared" si="37"/>
        <v>1.1943804948610133</v>
      </c>
      <c r="O638" s="89">
        <f t="shared" si="39"/>
        <v>0.23669125660355447</v>
      </c>
    </row>
    <row r="639" spans="1:15" x14ac:dyDescent="0.2">
      <c r="A639" s="21" t="s">
        <v>1167</v>
      </c>
      <c r="B639" s="21" t="s">
        <v>2355</v>
      </c>
      <c r="C639" s="21" t="s">
        <v>2356</v>
      </c>
      <c r="D639" s="21" t="s">
        <v>2913</v>
      </c>
      <c r="E639" s="21" t="s">
        <v>2914</v>
      </c>
      <c r="F639" s="21" t="s">
        <v>1551</v>
      </c>
      <c r="G639" s="21" t="s">
        <v>3329</v>
      </c>
      <c r="H639" s="21" t="s">
        <v>3449</v>
      </c>
      <c r="I639" s="21">
        <v>36</v>
      </c>
      <c r="J639" s="89">
        <f t="shared" si="36"/>
        <v>5.4878048780487805E-2</v>
      </c>
      <c r="K639" s="94">
        <v>1.2326781472253701</v>
      </c>
      <c r="L639" s="94">
        <v>1.2336737820859101</v>
      </c>
      <c r="M639" s="89">
        <f t="shared" si="38"/>
        <v>1.2326781472253701</v>
      </c>
      <c r="N639" s="89">
        <f t="shared" si="37"/>
        <v>1.1883156892472866</v>
      </c>
      <c r="O639" s="89">
        <f t="shared" si="39"/>
        <v>6.5212446361131576E-2</v>
      </c>
    </row>
    <row r="640" spans="1:15" x14ac:dyDescent="0.2">
      <c r="A640" s="21" t="s">
        <v>1167</v>
      </c>
      <c r="B640" s="21" t="s">
        <v>2355</v>
      </c>
      <c r="C640" s="21" t="s">
        <v>2356</v>
      </c>
      <c r="D640" s="21" t="s">
        <v>2915</v>
      </c>
      <c r="E640" s="21" t="s">
        <v>2916</v>
      </c>
      <c r="F640" s="21" t="s">
        <v>1552</v>
      </c>
      <c r="G640" s="21" t="s">
        <v>3253</v>
      </c>
      <c r="H640" s="21" t="s">
        <v>1175</v>
      </c>
      <c r="I640" s="21">
        <v>16</v>
      </c>
      <c r="J640" s="89">
        <f t="shared" si="36"/>
        <v>2.4390243902439025E-2</v>
      </c>
      <c r="K640" s="94">
        <v>1.2357543206875601</v>
      </c>
      <c r="L640" s="94">
        <v>1.23598573631637</v>
      </c>
      <c r="M640" s="89">
        <f t="shared" si="38"/>
        <v>1.2357543206875601</v>
      </c>
      <c r="N640" s="89">
        <f t="shared" si="37"/>
        <v>1.1912811552906286</v>
      </c>
      <c r="O640" s="89">
        <f t="shared" si="39"/>
        <v>2.9055637933917772E-2</v>
      </c>
    </row>
    <row r="641" spans="1:15" x14ac:dyDescent="0.2">
      <c r="A641" s="21" t="s">
        <v>1167</v>
      </c>
      <c r="B641" s="21" t="s">
        <v>2355</v>
      </c>
      <c r="C641" s="21" t="s">
        <v>2356</v>
      </c>
      <c r="D641" s="21" t="s">
        <v>2917</v>
      </c>
      <c r="E641" s="21" t="s">
        <v>2918</v>
      </c>
      <c r="F641" s="21" t="s">
        <v>1553</v>
      </c>
      <c r="G641" s="21" t="s">
        <v>3251</v>
      </c>
      <c r="H641" s="21" t="s">
        <v>3462</v>
      </c>
      <c r="I641" s="21">
        <v>134</v>
      </c>
      <c r="J641" s="89">
        <f t="shared" si="36"/>
        <v>0.20426829268292682</v>
      </c>
      <c r="K641" s="94">
        <v>1.2215778736098799</v>
      </c>
      <c r="L641" s="94">
        <v>1.22372617041111</v>
      </c>
      <c r="M641" s="89">
        <f t="shared" si="38"/>
        <v>1.2215778736098799</v>
      </c>
      <c r="N641" s="89">
        <f t="shared" si="37"/>
        <v>1.1776148998142011</v>
      </c>
      <c r="O641" s="89">
        <f t="shared" si="39"/>
        <v>0.24054938502302275</v>
      </c>
    </row>
    <row r="642" spans="1:15" x14ac:dyDescent="0.2">
      <c r="A642" s="21" t="s">
        <v>1167</v>
      </c>
      <c r="B642" s="21" t="s">
        <v>2355</v>
      </c>
      <c r="C642" s="21" t="s">
        <v>2356</v>
      </c>
      <c r="D642" s="21" t="s">
        <v>2919</v>
      </c>
      <c r="E642" s="21" t="s">
        <v>2920</v>
      </c>
      <c r="F642" s="21" t="s">
        <v>1554</v>
      </c>
      <c r="G642" s="21" t="s">
        <v>1555</v>
      </c>
      <c r="H642" s="21" t="s">
        <v>3449</v>
      </c>
      <c r="I642" s="21">
        <v>173</v>
      </c>
      <c r="J642" s="89">
        <f t="shared" ref="J642:J705" si="40">I642/SUMIF(B:B,B642,I:I)</f>
        <v>0.26371951219512196</v>
      </c>
      <c r="K642" s="94">
        <v>1.23224268157726</v>
      </c>
      <c r="L642" s="94">
        <v>1.2318275918507899</v>
      </c>
      <c r="M642" s="89">
        <f t="shared" si="38"/>
        <v>1.23224268157726</v>
      </c>
      <c r="N642" s="89">
        <f t="shared" ref="N642:N705" si="41">M642/M$757</f>
        <v>1.1878958954325409</v>
      </c>
      <c r="O642" s="89">
        <f t="shared" si="39"/>
        <v>0.31327132608205732</v>
      </c>
    </row>
    <row r="643" spans="1:15" x14ac:dyDescent="0.2">
      <c r="A643" s="21" t="s">
        <v>1167</v>
      </c>
      <c r="B643" s="21" t="s">
        <v>2355</v>
      </c>
      <c r="C643" s="21" t="s">
        <v>2356</v>
      </c>
      <c r="D643" s="21" t="s">
        <v>2921</v>
      </c>
      <c r="E643" s="21" t="s">
        <v>2922</v>
      </c>
      <c r="F643" s="21" t="s">
        <v>1556</v>
      </c>
      <c r="G643" s="21" t="s">
        <v>1557</v>
      </c>
      <c r="H643" s="21" t="s">
        <v>1175</v>
      </c>
      <c r="I643" s="21">
        <v>145</v>
      </c>
      <c r="J643" s="89">
        <f t="shared" si="40"/>
        <v>0.22103658536585366</v>
      </c>
      <c r="K643" s="94">
        <v>1.23466391767206</v>
      </c>
      <c r="L643" s="94">
        <v>1.23516843593047</v>
      </c>
      <c r="M643" s="89">
        <f t="shared" ref="M643:M706" si="42">IF(ISNA(K643),L643,K643)</f>
        <v>1.23466391767206</v>
      </c>
      <c r="N643" s="89">
        <f t="shared" si="41"/>
        <v>1.1902299944390813</v>
      </c>
      <c r="O643" s="89">
        <f t="shared" ref="O643:O706" si="43">N643*J643</f>
        <v>0.26308437377083349</v>
      </c>
    </row>
    <row r="644" spans="1:15" x14ac:dyDescent="0.2">
      <c r="A644" s="21" t="s">
        <v>1127</v>
      </c>
      <c r="B644" s="21" t="s">
        <v>548</v>
      </c>
      <c r="C644" s="21" t="s">
        <v>549</v>
      </c>
      <c r="D644" s="21" t="s">
        <v>728</v>
      </c>
      <c r="E644" s="21" t="s">
        <v>729</v>
      </c>
      <c r="F644" s="21" t="s">
        <v>1558</v>
      </c>
      <c r="G644" s="21" t="s">
        <v>1559</v>
      </c>
      <c r="H644" s="21" t="s">
        <v>1151</v>
      </c>
      <c r="I644" s="21">
        <v>170</v>
      </c>
      <c r="J644" s="89">
        <f t="shared" si="40"/>
        <v>0.32258064516129031</v>
      </c>
      <c r="K644" s="94" t="e">
        <v>#N/A</v>
      </c>
      <c r="L644" s="94">
        <v>1.07949652022609</v>
      </c>
      <c r="M644" s="89">
        <f t="shared" si="42"/>
        <v>1.07949652022609</v>
      </c>
      <c r="N644" s="89">
        <f t="shared" si="41"/>
        <v>1.0406468666293174</v>
      </c>
      <c r="O644" s="89">
        <f t="shared" si="43"/>
        <v>0.33569253762236045</v>
      </c>
    </row>
    <row r="645" spans="1:15" x14ac:dyDescent="0.2">
      <c r="A645" s="21" t="s">
        <v>1127</v>
      </c>
      <c r="B645" s="21" t="s">
        <v>548</v>
      </c>
      <c r="C645" s="21" t="s">
        <v>549</v>
      </c>
      <c r="D645" s="21" t="s">
        <v>2923</v>
      </c>
      <c r="E645" s="21" t="s">
        <v>2924</v>
      </c>
      <c r="F645" s="21" t="s">
        <v>1560</v>
      </c>
      <c r="G645" s="21" t="s">
        <v>1561</v>
      </c>
      <c r="H645" s="21" t="s">
        <v>1164</v>
      </c>
      <c r="I645" s="21">
        <v>97</v>
      </c>
      <c r="J645" s="89">
        <f t="shared" si="40"/>
        <v>0.18406072106261859</v>
      </c>
      <c r="K645" s="94">
        <v>1.0277477700261199</v>
      </c>
      <c r="L645" s="94">
        <v>1.0278803628555</v>
      </c>
      <c r="M645" s="89">
        <f t="shared" si="42"/>
        <v>1.0277477700261199</v>
      </c>
      <c r="N645" s="89">
        <f t="shared" si="41"/>
        <v>0.99076048558169405</v>
      </c>
      <c r="O645" s="89">
        <f t="shared" si="43"/>
        <v>0.18236008937651674</v>
      </c>
    </row>
    <row r="646" spans="1:15" x14ac:dyDescent="0.2">
      <c r="A646" s="21" t="s">
        <v>1127</v>
      </c>
      <c r="B646" s="21" t="s">
        <v>548</v>
      </c>
      <c r="C646" s="21" t="s">
        <v>549</v>
      </c>
      <c r="D646" s="21" t="s">
        <v>2925</v>
      </c>
      <c r="E646" s="21" t="s">
        <v>2926</v>
      </c>
      <c r="F646" s="21" t="s">
        <v>1558</v>
      </c>
      <c r="G646" s="21" t="s">
        <v>1559</v>
      </c>
      <c r="H646" s="21" t="s">
        <v>1151</v>
      </c>
      <c r="I646" s="21">
        <v>88</v>
      </c>
      <c r="J646" s="89">
        <f t="shared" si="40"/>
        <v>0.16698292220113853</v>
      </c>
      <c r="K646" s="94">
        <v>1.0742291379370399</v>
      </c>
      <c r="L646" s="94">
        <v>1.07949652022609</v>
      </c>
      <c r="M646" s="89">
        <f t="shared" si="42"/>
        <v>1.0742291379370399</v>
      </c>
      <c r="N646" s="89">
        <f t="shared" si="41"/>
        <v>1.0355690504699</v>
      </c>
      <c r="O646" s="89">
        <f t="shared" si="43"/>
        <v>0.1729223461885222</v>
      </c>
    </row>
    <row r="647" spans="1:15" x14ac:dyDescent="0.2">
      <c r="A647" s="21" t="s">
        <v>1127</v>
      </c>
      <c r="B647" s="21" t="s">
        <v>548</v>
      </c>
      <c r="C647" s="21" t="s">
        <v>549</v>
      </c>
      <c r="D647" s="21" t="s">
        <v>2927</v>
      </c>
      <c r="E647" s="21" t="s">
        <v>2928</v>
      </c>
      <c r="F647" s="21" t="s">
        <v>895</v>
      </c>
      <c r="G647" s="21" t="s">
        <v>896</v>
      </c>
      <c r="H647" s="21" t="s">
        <v>1129</v>
      </c>
      <c r="I647" s="21">
        <v>124</v>
      </c>
      <c r="J647" s="89">
        <f t="shared" si="40"/>
        <v>0.23529411764705882</v>
      </c>
      <c r="K647" s="94">
        <v>1.1076953072599001</v>
      </c>
      <c r="L647" s="94">
        <v>1.1074339067293999</v>
      </c>
      <c r="M647" s="89">
        <f t="shared" si="42"/>
        <v>1.1076953072599001</v>
      </c>
      <c r="N647" s="89">
        <f t="shared" si="41"/>
        <v>1.0678308165723296</v>
      </c>
      <c r="O647" s="89">
        <f t="shared" si="43"/>
        <v>0.25125430978172458</v>
      </c>
    </row>
    <row r="648" spans="1:15" x14ac:dyDescent="0.2">
      <c r="A648" s="21" t="s">
        <v>1127</v>
      </c>
      <c r="B648" s="21" t="s">
        <v>548</v>
      </c>
      <c r="C648" s="21" t="s">
        <v>549</v>
      </c>
      <c r="D648" s="21" t="s">
        <v>2929</v>
      </c>
      <c r="E648" s="21" t="s">
        <v>2930</v>
      </c>
      <c r="F648" s="21" t="s">
        <v>1562</v>
      </c>
      <c r="G648" s="21" t="s">
        <v>1563</v>
      </c>
      <c r="H648" s="21" t="s">
        <v>1129</v>
      </c>
      <c r="I648" s="21">
        <v>48</v>
      </c>
      <c r="J648" s="89">
        <f t="shared" si="40"/>
        <v>9.1081593927893736E-2</v>
      </c>
      <c r="K648" s="94">
        <v>1.1372010046410199</v>
      </c>
      <c r="L648" s="94">
        <v>1.13775740784649</v>
      </c>
      <c r="M648" s="89">
        <f t="shared" si="42"/>
        <v>1.1372010046410199</v>
      </c>
      <c r="N648" s="89">
        <f t="shared" si="41"/>
        <v>1.0962746428858634</v>
      </c>
      <c r="O648" s="89">
        <f t="shared" si="43"/>
        <v>9.9850441856776925E-2</v>
      </c>
    </row>
    <row r="649" spans="1:15" x14ac:dyDescent="0.2">
      <c r="A649" s="21" t="s">
        <v>2133</v>
      </c>
      <c r="B649" s="21" t="s">
        <v>697</v>
      </c>
      <c r="C649" s="21" t="s">
        <v>698</v>
      </c>
      <c r="D649" s="21" t="s">
        <v>728</v>
      </c>
      <c r="E649" s="21" t="s">
        <v>729</v>
      </c>
      <c r="F649" s="21" t="s">
        <v>1564</v>
      </c>
      <c r="G649" s="21" t="s">
        <v>1565</v>
      </c>
      <c r="H649" s="21" t="s">
        <v>1125</v>
      </c>
      <c r="I649" s="21">
        <v>74</v>
      </c>
      <c r="J649" s="89">
        <f t="shared" si="40"/>
        <v>0.33789954337899542</v>
      </c>
      <c r="K649" s="94" t="e">
        <v>#N/A</v>
      </c>
      <c r="L649" s="94">
        <v>0.96415457414337802</v>
      </c>
      <c r="M649" s="89">
        <f t="shared" si="42"/>
        <v>0.96415457414337802</v>
      </c>
      <c r="N649" s="89">
        <f t="shared" si="41"/>
        <v>0.92945592480324946</v>
      </c>
      <c r="O649" s="89">
        <f t="shared" si="43"/>
        <v>0.31406273258191991</v>
      </c>
    </row>
    <row r="650" spans="1:15" x14ac:dyDescent="0.2">
      <c r="A650" s="21" t="s">
        <v>2133</v>
      </c>
      <c r="B650" s="21" t="s">
        <v>697</v>
      </c>
      <c r="C650" s="21" t="s">
        <v>698</v>
      </c>
      <c r="D650" s="21" t="s">
        <v>2931</v>
      </c>
      <c r="E650" s="21" t="s">
        <v>2932</v>
      </c>
      <c r="F650" s="21" t="s">
        <v>1566</v>
      </c>
      <c r="G650" s="21" t="s">
        <v>163</v>
      </c>
      <c r="H650" s="21" t="s">
        <v>1125</v>
      </c>
      <c r="I650" s="21">
        <v>43</v>
      </c>
      <c r="J650" s="89">
        <f t="shared" si="40"/>
        <v>0.19634703196347031</v>
      </c>
      <c r="K650" s="94">
        <v>0.96447381169024005</v>
      </c>
      <c r="L650" s="94">
        <v>0.96451561195648094</v>
      </c>
      <c r="M650" s="89">
        <f t="shared" si="42"/>
        <v>0.96447381169024005</v>
      </c>
      <c r="N650" s="89">
        <f t="shared" si="41"/>
        <v>0.92976367341255739</v>
      </c>
      <c r="O650" s="89">
        <f t="shared" si="43"/>
        <v>0.18255633770200896</v>
      </c>
    </row>
    <row r="651" spans="1:15" x14ac:dyDescent="0.2">
      <c r="A651" s="21" t="s">
        <v>2133</v>
      </c>
      <c r="B651" s="21" t="s">
        <v>697</v>
      </c>
      <c r="C651" s="21" t="s">
        <v>698</v>
      </c>
      <c r="D651" s="21" t="s">
        <v>2933</v>
      </c>
      <c r="E651" s="21" t="s">
        <v>2934</v>
      </c>
      <c r="F651" s="21" t="s">
        <v>1567</v>
      </c>
      <c r="G651" s="21" t="s">
        <v>161</v>
      </c>
      <c r="H651" s="21" t="s">
        <v>1125</v>
      </c>
      <c r="I651" s="21">
        <v>21</v>
      </c>
      <c r="J651" s="89">
        <f t="shared" si="40"/>
        <v>9.5890410958904104E-2</v>
      </c>
      <c r="K651" s="94">
        <v>0.97881577883163096</v>
      </c>
      <c r="L651" s="94">
        <v>0.97803006727401498</v>
      </c>
      <c r="M651" s="89">
        <f t="shared" si="42"/>
        <v>0.97881577883163096</v>
      </c>
      <c r="N651" s="89">
        <f t="shared" si="41"/>
        <v>0.94358949210427789</v>
      </c>
      <c r="O651" s="89">
        <f t="shared" si="43"/>
        <v>9.0481184174382806E-2</v>
      </c>
    </row>
    <row r="652" spans="1:15" x14ac:dyDescent="0.2">
      <c r="A652" s="21" t="s">
        <v>2133</v>
      </c>
      <c r="B652" s="21" t="s">
        <v>697</v>
      </c>
      <c r="C652" s="21" t="s">
        <v>698</v>
      </c>
      <c r="D652" s="21" t="s">
        <v>2935</v>
      </c>
      <c r="E652" s="21" t="s">
        <v>2936</v>
      </c>
      <c r="F652" s="21" t="s">
        <v>1566</v>
      </c>
      <c r="G652" s="21" t="s">
        <v>163</v>
      </c>
      <c r="H652" s="21" t="s">
        <v>1125</v>
      </c>
      <c r="I652" s="21">
        <v>42</v>
      </c>
      <c r="J652" s="89">
        <f t="shared" si="40"/>
        <v>0.19178082191780821</v>
      </c>
      <c r="K652" s="94">
        <v>0.96447381169024005</v>
      </c>
      <c r="L652" s="94">
        <v>0.96451561195648094</v>
      </c>
      <c r="M652" s="89">
        <f t="shared" si="42"/>
        <v>0.96447381169024005</v>
      </c>
      <c r="N652" s="89">
        <f t="shared" si="41"/>
        <v>0.92976367341255739</v>
      </c>
      <c r="O652" s="89">
        <f t="shared" si="43"/>
        <v>0.17831084147638085</v>
      </c>
    </row>
    <row r="653" spans="1:15" x14ac:dyDescent="0.2">
      <c r="A653" s="21" t="s">
        <v>2133</v>
      </c>
      <c r="B653" s="21" t="s">
        <v>697</v>
      </c>
      <c r="C653" s="21" t="s">
        <v>698</v>
      </c>
      <c r="D653" s="21" t="s">
        <v>2937</v>
      </c>
      <c r="E653" s="21" t="s">
        <v>2938</v>
      </c>
      <c r="F653" s="21" t="s">
        <v>158</v>
      </c>
      <c r="G653" s="21" t="s">
        <v>159</v>
      </c>
      <c r="H653" s="21" t="s">
        <v>1125</v>
      </c>
      <c r="I653" s="21">
        <v>39</v>
      </c>
      <c r="J653" s="89">
        <f t="shared" si="40"/>
        <v>0.17808219178082191</v>
      </c>
      <c r="K653" s="94">
        <v>0.965683398955969</v>
      </c>
      <c r="L653" s="94">
        <v>0.96560030831562105</v>
      </c>
      <c r="M653" s="89">
        <f t="shared" si="42"/>
        <v>0.965683398955969</v>
      </c>
      <c r="N653" s="89">
        <f t="shared" si="41"/>
        <v>0.930929729230627</v>
      </c>
      <c r="O653" s="89">
        <f t="shared" si="43"/>
        <v>0.16578200657531714</v>
      </c>
    </row>
    <row r="654" spans="1:15" x14ac:dyDescent="0.2">
      <c r="A654" s="21" t="s">
        <v>1127</v>
      </c>
      <c r="B654" s="21" t="s">
        <v>1320</v>
      </c>
      <c r="C654" s="21" t="s">
        <v>1321</v>
      </c>
      <c r="D654" s="21" t="s">
        <v>728</v>
      </c>
      <c r="E654" s="21" t="s">
        <v>729</v>
      </c>
      <c r="F654" s="21" t="s">
        <v>1568</v>
      </c>
      <c r="G654" s="21" t="s">
        <v>146</v>
      </c>
      <c r="H654" s="21" t="s">
        <v>1142</v>
      </c>
      <c r="I654" s="21">
        <v>240</v>
      </c>
      <c r="J654" s="89">
        <f t="shared" si="40"/>
        <v>0.37735849056603776</v>
      </c>
      <c r="K654" s="94" t="e">
        <v>#N/A</v>
      </c>
      <c r="L654" s="94">
        <v>1.1588940953790401</v>
      </c>
      <c r="M654" s="89">
        <f t="shared" si="42"/>
        <v>1.1588940953790401</v>
      </c>
      <c r="N654" s="89">
        <f t="shared" si="41"/>
        <v>1.1171870279478349</v>
      </c>
      <c r="O654" s="89">
        <f t="shared" si="43"/>
        <v>0.4215800105463528</v>
      </c>
    </row>
    <row r="655" spans="1:15" x14ac:dyDescent="0.2">
      <c r="A655" s="21" t="s">
        <v>1127</v>
      </c>
      <c r="B655" s="21" t="s">
        <v>1320</v>
      </c>
      <c r="C655" s="21" t="s">
        <v>1321</v>
      </c>
      <c r="D655" s="21" t="s">
        <v>2939</v>
      </c>
      <c r="E655" s="21" t="s">
        <v>2940</v>
      </c>
      <c r="F655" s="21" t="s">
        <v>1569</v>
      </c>
      <c r="G655" s="21" t="s">
        <v>146</v>
      </c>
      <c r="H655" s="21" t="s">
        <v>1142</v>
      </c>
      <c r="I655" s="21">
        <v>24</v>
      </c>
      <c r="J655" s="89">
        <f t="shared" si="40"/>
        <v>3.7735849056603772E-2</v>
      </c>
      <c r="K655" s="94">
        <v>1.16011866896472</v>
      </c>
      <c r="L655" s="94">
        <v>1.1588940953790401</v>
      </c>
      <c r="M655" s="89">
        <f t="shared" si="42"/>
        <v>1.16011866896472</v>
      </c>
      <c r="N655" s="89">
        <f t="shared" si="41"/>
        <v>1.1183675307479994</v>
      </c>
      <c r="O655" s="89">
        <f t="shared" si="43"/>
        <v>4.2202548330113186E-2</v>
      </c>
    </row>
    <row r="656" spans="1:15" x14ac:dyDescent="0.2">
      <c r="A656" s="21" t="s">
        <v>1127</v>
      </c>
      <c r="B656" s="21" t="s">
        <v>1320</v>
      </c>
      <c r="C656" s="21" t="s">
        <v>1321</v>
      </c>
      <c r="D656" s="21" t="s">
        <v>2941</v>
      </c>
      <c r="E656" s="21" t="s">
        <v>2942</v>
      </c>
      <c r="F656" s="21" t="s">
        <v>1570</v>
      </c>
      <c r="G656" s="21" t="s">
        <v>1571</v>
      </c>
      <c r="H656" s="21" t="s">
        <v>1142</v>
      </c>
      <c r="I656" s="21">
        <v>36</v>
      </c>
      <c r="J656" s="89">
        <f t="shared" si="40"/>
        <v>5.6603773584905662E-2</v>
      </c>
      <c r="K656" s="94">
        <v>1.1700590037355001</v>
      </c>
      <c r="L656" s="94">
        <v>1.1694457220416701</v>
      </c>
      <c r="M656" s="89">
        <f t="shared" si="42"/>
        <v>1.1700590037355001</v>
      </c>
      <c r="N656" s="89">
        <f t="shared" si="41"/>
        <v>1.1279501260029543</v>
      </c>
      <c r="O656" s="89">
        <f t="shared" si="43"/>
        <v>6.3846233547337039E-2</v>
      </c>
    </row>
    <row r="657" spans="1:15" x14ac:dyDescent="0.2">
      <c r="A657" s="21" t="s">
        <v>1127</v>
      </c>
      <c r="B657" s="21" t="s">
        <v>1320</v>
      </c>
      <c r="C657" s="21" t="s">
        <v>1321</v>
      </c>
      <c r="D657" s="21" t="s">
        <v>2943</v>
      </c>
      <c r="E657" s="21" t="s">
        <v>2944</v>
      </c>
      <c r="F657" s="21" t="s">
        <v>153</v>
      </c>
      <c r="G657" s="21" t="s">
        <v>154</v>
      </c>
      <c r="H657" s="21" t="s">
        <v>1138</v>
      </c>
      <c r="I657" s="21">
        <v>46</v>
      </c>
      <c r="J657" s="89">
        <f t="shared" si="40"/>
        <v>7.2327044025157231E-2</v>
      </c>
      <c r="K657" s="94">
        <v>1.1096236843165399</v>
      </c>
      <c r="L657" s="94">
        <v>1.11061034537473</v>
      </c>
      <c r="M657" s="89">
        <f t="shared" si="42"/>
        <v>1.1096236843165399</v>
      </c>
      <c r="N657" s="89">
        <f t="shared" si="41"/>
        <v>1.0696897938863572</v>
      </c>
      <c r="O657" s="89">
        <f t="shared" si="43"/>
        <v>7.7367500815679918E-2</v>
      </c>
    </row>
    <row r="658" spans="1:15" x14ac:dyDescent="0.2">
      <c r="A658" s="21" t="s">
        <v>1127</v>
      </c>
      <c r="B658" s="21" t="s">
        <v>1320</v>
      </c>
      <c r="C658" s="21" t="s">
        <v>1321</v>
      </c>
      <c r="D658" s="21" t="s">
        <v>2945</v>
      </c>
      <c r="E658" s="21" t="s">
        <v>2946</v>
      </c>
      <c r="F658" s="21" t="s">
        <v>151</v>
      </c>
      <c r="G658" s="21" t="s">
        <v>152</v>
      </c>
      <c r="H658" s="21" t="s">
        <v>1138</v>
      </c>
      <c r="I658" s="21">
        <v>68</v>
      </c>
      <c r="J658" s="89">
        <f t="shared" si="40"/>
        <v>0.1069182389937107</v>
      </c>
      <c r="K658" s="94">
        <v>1.1479171396591601</v>
      </c>
      <c r="L658" s="94">
        <v>1.1455736430225001</v>
      </c>
      <c r="M658" s="89">
        <f t="shared" si="42"/>
        <v>1.1479171396591601</v>
      </c>
      <c r="N658" s="89">
        <f t="shared" si="41"/>
        <v>1.1066051183622168</v>
      </c>
      <c r="O658" s="89">
        <f t="shared" si="43"/>
        <v>0.11831627051671501</v>
      </c>
    </row>
    <row r="659" spans="1:15" x14ac:dyDescent="0.2">
      <c r="A659" s="21" t="s">
        <v>1127</v>
      </c>
      <c r="B659" s="21" t="s">
        <v>1320</v>
      </c>
      <c r="C659" s="21" t="s">
        <v>1321</v>
      </c>
      <c r="D659" s="21" t="s">
        <v>2947</v>
      </c>
      <c r="E659" s="21" t="s">
        <v>2948</v>
      </c>
      <c r="F659" s="21" t="s">
        <v>1572</v>
      </c>
      <c r="G659" s="21" t="s">
        <v>1573</v>
      </c>
      <c r="H659" s="21" t="s">
        <v>1142</v>
      </c>
      <c r="I659" s="21">
        <v>18</v>
      </c>
      <c r="J659" s="89">
        <f t="shared" si="40"/>
        <v>2.8301886792452831E-2</v>
      </c>
      <c r="K659" s="94">
        <v>1.1885226990936899</v>
      </c>
      <c r="L659" s="94">
        <v>1.1847373218338999</v>
      </c>
      <c r="M659" s="89">
        <f t="shared" si="42"/>
        <v>1.1885226990936899</v>
      </c>
      <c r="N659" s="89">
        <f t="shared" si="41"/>
        <v>1.1457493373583316</v>
      </c>
      <c r="O659" s="89">
        <f t="shared" si="43"/>
        <v>3.242686803844335E-2</v>
      </c>
    </row>
    <row r="660" spans="1:15" x14ac:dyDescent="0.2">
      <c r="A660" s="21" t="s">
        <v>1127</v>
      </c>
      <c r="B660" s="21" t="s">
        <v>1320</v>
      </c>
      <c r="C660" s="21" t="s">
        <v>1321</v>
      </c>
      <c r="D660" s="21" t="s">
        <v>2949</v>
      </c>
      <c r="E660" s="21" t="s">
        <v>2950</v>
      </c>
      <c r="F660" s="21" t="s">
        <v>1574</v>
      </c>
      <c r="G660" s="21" t="s">
        <v>1575</v>
      </c>
      <c r="H660" s="21" t="s">
        <v>1138</v>
      </c>
      <c r="I660" s="21">
        <v>20</v>
      </c>
      <c r="J660" s="89">
        <f t="shared" si="40"/>
        <v>3.1446540880503145E-2</v>
      </c>
      <c r="K660" s="94">
        <v>1.14981039845706</v>
      </c>
      <c r="L660" s="94">
        <v>1.15279363220707</v>
      </c>
      <c r="M660" s="89">
        <f t="shared" si="42"/>
        <v>1.14981039845706</v>
      </c>
      <c r="N660" s="89">
        <f t="shared" si="41"/>
        <v>1.1084302412772404</v>
      </c>
      <c r="O660" s="89">
        <f t="shared" si="43"/>
        <v>3.4856296895510702E-2</v>
      </c>
    </row>
    <row r="661" spans="1:15" x14ac:dyDescent="0.2">
      <c r="A661" s="21" t="s">
        <v>1127</v>
      </c>
      <c r="B661" s="21" t="s">
        <v>1320</v>
      </c>
      <c r="C661" s="21" t="s">
        <v>1321</v>
      </c>
      <c r="D661" s="21" t="s">
        <v>2951</v>
      </c>
      <c r="E661" s="21" t="s">
        <v>2952</v>
      </c>
      <c r="F661" s="21" t="s">
        <v>149</v>
      </c>
      <c r="G661" s="21" t="s">
        <v>150</v>
      </c>
      <c r="H661" s="21" t="s">
        <v>1142</v>
      </c>
      <c r="I661" s="21">
        <v>40</v>
      </c>
      <c r="J661" s="89">
        <f t="shared" si="40"/>
        <v>6.2893081761006289E-2</v>
      </c>
      <c r="K661" s="94">
        <v>1.1922199407204499</v>
      </c>
      <c r="L661" s="94">
        <v>1.1914023512746099</v>
      </c>
      <c r="M661" s="89">
        <f t="shared" si="42"/>
        <v>1.1922199407204499</v>
      </c>
      <c r="N661" s="89">
        <f t="shared" si="41"/>
        <v>1.1493135201435187</v>
      </c>
      <c r="O661" s="89">
        <f t="shared" si="43"/>
        <v>7.2283869191416272E-2</v>
      </c>
    </row>
    <row r="662" spans="1:15" x14ac:dyDescent="0.2">
      <c r="A662" s="21" t="s">
        <v>1127</v>
      </c>
      <c r="B662" s="21" t="s">
        <v>1320</v>
      </c>
      <c r="C662" s="21" t="s">
        <v>1321</v>
      </c>
      <c r="D662" s="21" t="s">
        <v>2953</v>
      </c>
      <c r="E662" s="21" t="s">
        <v>2954</v>
      </c>
      <c r="F662" s="21" t="s">
        <v>1576</v>
      </c>
      <c r="G662" s="21" t="s">
        <v>1577</v>
      </c>
      <c r="H662" s="21" t="s">
        <v>1142</v>
      </c>
      <c r="I662" s="21">
        <v>24</v>
      </c>
      <c r="J662" s="89">
        <f t="shared" si="40"/>
        <v>3.7735849056603772E-2</v>
      </c>
      <c r="K662" s="94">
        <v>1.19853076205041</v>
      </c>
      <c r="L662" s="94">
        <v>1.2005037444027</v>
      </c>
      <c r="M662" s="89">
        <f t="shared" si="42"/>
        <v>1.19853076205041</v>
      </c>
      <c r="N662" s="89">
        <f t="shared" si="41"/>
        <v>1.1553972233512928</v>
      </c>
      <c r="O662" s="89">
        <f t="shared" si="43"/>
        <v>4.35998952208035E-2</v>
      </c>
    </row>
    <row r="663" spans="1:15" x14ac:dyDescent="0.2">
      <c r="A663" s="21" t="s">
        <v>1127</v>
      </c>
      <c r="B663" s="21" t="s">
        <v>1320</v>
      </c>
      <c r="C663" s="21" t="s">
        <v>1321</v>
      </c>
      <c r="D663" s="21" t="s">
        <v>2955</v>
      </c>
      <c r="E663" s="21" t="s">
        <v>2956</v>
      </c>
      <c r="F663" s="21" t="s">
        <v>1578</v>
      </c>
      <c r="G663" s="21" t="s">
        <v>1579</v>
      </c>
      <c r="H663" s="21" t="s">
        <v>1142</v>
      </c>
      <c r="I663" s="21">
        <v>85</v>
      </c>
      <c r="J663" s="89">
        <f t="shared" si="40"/>
        <v>0.13364779874213836</v>
      </c>
      <c r="K663" s="94">
        <v>1.1817324599204799</v>
      </c>
      <c r="L663" s="94">
        <v>1.1885384893003299</v>
      </c>
      <c r="M663" s="89">
        <f t="shared" si="42"/>
        <v>1.1817324599204799</v>
      </c>
      <c r="N663" s="89">
        <f t="shared" si="41"/>
        <v>1.1392034699221079</v>
      </c>
      <c r="O663" s="89">
        <f t="shared" si="43"/>
        <v>0.15225203607449556</v>
      </c>
    </row>
    <row r="664" spans="1:15" x14ac:dyDescent="0.2">
      <c r="A664" s="21" t="s">
        <v>1127</v>
      </c>
      <c r="B664" s="21" t="s">
        <v>1320</v>
      </c>
      <c r="C664" s="21" t="s">
        <v>1321</v>
      </c>
      <c r="D664" s="21" t="s">
        <v>2957</v>
      </c>
      <c r="E664" s="21" t="s">
        <v>2958</v>
      </c>
      <c r="F664" s="21" t="s">
        <v>1580</v>
      </c>
      <c r="G664" s="21" t="s">
        <v>1581</v>
      </c>
      <c r="H664" s="21" t="s">
        <v>1140</v>
      </c>
      <c r="I664" s="21">
        <v>35</v>
      </c>
      <c r="J664" s="89">
        <f t="shared" si="40"/>
        <v>5.5031446540880505E-2</v>
      </c>
      <c r="K664" s="94">
        <v>0.93650848182414403</v>
      </c>
      <c r="L664" s="94">
        <v>0.93671115710233999</v>
      </c>
      <c r="M664" s="89">
        <f t="shared" si="42"/>
        <v>0.93650848182414403</v>
      </c>
      <c r="N664" s="89">
        <f t="shared" si="41"/>
        <v>0.90280477882222288</v>
      </c>
      <c r="O664" s="89">
        <f t="shared" si="43"/>
        <v>4.9682652922606603E-2</v>
      </c>
    </row>
    <row r="665" spans="1:15" x14ac:dyDescent="0.2">
      <c r="A665" s="21" t="s">
        <v>3528</v>
      </c>
      <c r="B665" s="21" t="s">
        <v>2335</v>
      </c>
      <c r="C665" s="21" t="s">
        <v>2336</v>
      </c>
      <c r="D665" s="21" t="s">
        <v>728</v>
      </c>
      <c r="E665" s="21" t="s">
        <v>729</v>
      </c>
      <c r="F665" s="21" t="s">
        <v>1582</v>
      </c>
      <c r="G665" s="21" t="s">
        <v>970</v>
      </c>
      <c r="H665" s="21" t="s">
        <v>3536</v>
      </c>
      <c r="I665" s="21">
        <v>142</v>
      </c>
      <c r="J665" s="89">
        <f t="shared" si="40"/>
        <v>0.40804597701149425</v>
      </c>
      <c r="K665" s="94" t="e">
        <v>#N/A</v>
      </c>
      <c r="L665" s="94">
        <v>0.93786392242544803</v>
      </c>
      <c r="M665" s="89">
        <f t="shared" si="42"/>
        <v>0.93786392242544803</v>
      </c>
      <c r="N665" s="89">
        <f t="shared" si="41"/>
        <v>0.90411143890701295</v>
      </c>
      <c r="O665" s="89">
        <f t="shared" si="43"/>
        <v>0.36891903541608001</v>
      </c>
    </row>
    <row r="666" spans="1:15" x14ac:dyDescent="0.2">
      <c r="A666" s="21" t="s">
        <v>3528</v>
      </c>
      <c r="B666" s="21" t="s">
        <v>2335</v>
      </c>
      <c r="C666" s="21" t="s">
        <v>2336</v>
      </c>
      <c r="D666" s="21" t="s">
        <v>2959</v>
      </c>
      <c r="E666" s="21" t="s">
        <v>2960</v>
      </c>
      <c r="F666" s="21" t="s">
        <v>1583</v>
      </c>
      <c r="G666" s="21" t="s">
        <v>1584</v>
      </c>
      <c r="H666" s="21" t="s">
        <v>3536</v>
      </c>
      <c r="I666" s="21">
        <v>22</v>
      </c>
      <c r="J666" s="89">
        <f t="shared" si="40"/>
        <v>6.3218390804597707E-2</v>
      </c>
      <c r="K666" s="94">
        <v>0.93081383472387202</v>
      </c>
      <c r="L666" s="94">
        <v>0.93348432159225403</v>
      </c>
      <c r="M666" s="89">
        <f t="shared" si="42"/>
        <v>0.93081383472387202</v>
      </c>
      <c r="N666" s="89">
        <f t="shared" si="41"/>
        <v>0.89731507454766291</v>
      </c>
      <c r="O666" s="89">
        <f t="shared" si="43"/>
        <v>5.6726815057610881E-2</v>
      </c>
    </row>
    <row r="667" spans="1:15" x14ac:dyDescent="0.2">
      <c r="A667" s="21" t="s">
        <v>3528</v>
      </c>
      <c r="B667" s="21" t="s">
        <v>2335</v>
      </c>
      <c r="C667" s="21" t="s">
        <v>2336</v>
      </c>
      <c r="D667" s="21" t="s">
        <v>2961</v>
      </c>
      <c r="E667" s="21" t="s">
        <v>2962</v>
      </c>
      <c r="F667" s="21" t="s">
        <v>1585</v>
      </c>
      <c r="G667" s="21" t="s">
        <v>1586</v>
      </c>
      <c r="H667" s="21" t="s">
        <v>3536</v>
      </c>
      <c r="I667" s="21">
        <v>14</v>
      </c>
      <c r="J667" s="89">
        <f t="shared" si="40"/>
        <v>4.0229885057471264E-2</v>
      </c>
      <c r="K667" s="94">
        <v>0.93589888235965801</v>
      </c>
      <c r="L667" s="94">
        <v>0.93600144215388703</v>
      </c>
      <c r="M667" s="89">
        <f t="shared" si="42"/>
        <v>0.93589888235965801</v>
      </c>
      <c r="N667" s="89">
        <f t="shared" si="41"/>
        <v>0.90221711803709737</v>
      </c>
      <c r="O667" s="89">
        <f t="shared" si="43"/>
        <v>3.6296090955515413E-2</v>
      </c>
    </row>
    <row r="668" spans="1:15" x14ac:dyDescent="0.2">
      <c r="A668" s="21" t="s">
        <v>3528</v>
      </c>
      <c r="B668" s="21" t="s">
        <v>2335</v>
      </c>
      <c r="C668" s="21" t="s">
        <v>2336</v>
      </c>
      <c r="D668" s="21" t="s">
        <v>2963</v>
      </c>
      <c r="E668" s="21" t="s">
        <v>2964</v>
      </c>
      <c r="F668" s="21" t="s">
        <v>1582</v>
      </c>
      <c r="G668" s="21" t="s">
        <v>970</v>
      </c>
      <c r="H668" s="21" t="s">
        <v>3536</v>
      </c>
      <c r="I668" s="21">
        <v>71</v>
      </c>
      <c r="J668" s="89">
        <f t="shared" si="40"/>
        <v>0.20402298850574713</v>
      </c>
      <c r="K668" s="94">
        <v>0.93787509976682304</v>
      </c>
      <c r="L668" s="94">
        <v>0.93786392242544803</v>
      </c>
      <c r="M668" s="89">
        <f t="shared" si="42"/>
        <v>0.93787509976682304</v>
      </c>
      <c r="N668" s="89">
        <f t="shared" si="41"/>
        <v>0.90412221399063863</v>
      </c>
      <c r="O668" s="89">
        <f t="shared" si="43"/>
        <v>0.18446171607280271</v>
      </c>
    </row>
    <row r="669" spans="1:15" x14ac:dyDescent="0.2">
      <c r="A669" s="21" t="s">
        <v>3528</v>
      </c>
      <c r="B669" s="21" t="s">
        <v>2335</v>
      </c>
      <c r="C669" s="21" t="s">
        <v>2336</v>
      </c>
      <c r="D669" s="21" t="s">
        <v>2965</v>
      </c>
      <c r="E669" s="21" t="s">
        <v>2966</v>
      </c>
      <c r="F669" s="21" t="s">
        <v>1587</v>
      </c>
      <c r="G669" s="21" t="s">
        <v>1588</v>
      </c>
      <c r="H669" s="21" t="s">
        <v>3536</v>
      </c>
      <c r="I669" s="21">
        <v>70</v>
      </c>
      <c r="J669" s="89">
        <f t="shared" si="40"/>
        <v>0.20114942528735633</v>
      </c>
      <c r="K669" s="94">
        <v>0.93496704525285401</v>
      </c>
      <c r="L669" s="94">
        <v>0.93426612308629997</v>
      </c>
      <c r="M669" s="89">
        <f t="shared" si="42"/>
        <v>0.93496704525285401</v>
      </c>
      <c r="N669" s="89">
        <f t="shared" si="41"/>
        <v>0.90131881651667989</v>
      </c>
      <c r="O669" s="89">
        <f t="shared" si="43"/>
        <v>0.18129976194301031</v>
      </c>
    </row>
    <row r="670" spans="1:15" x14ac:dyDescent="0.2">
      <c r="A670" s="21" t="s">
        <v>3528</v>
      </c>
      <c r="B670" s="21" t="s">
        <v>2335</v>
      </c>
      <c r="C670" s="21" t="s">
        <v>2336</v>
      </c>
      <c r="D670" s="21" t="s">
        <v>2967</v>
      </c>
      <c r="E670" s="21" t="s">
        <v>2968</v>
      </c>
      <c r="F670" s="21" t="s">
        <v>1589</v>
      </c>
      <c r="G670" s="21" t="s">
        <v>1590</v>
      </c>
      <c r="H670" s="21" t="s">
        <v>3536</v>
      </c>
      <c r="I670" s="21">
        <v>29</v>
      </c>
      <c r="J670" s="89">
        <f t="shared" si="40"/>
        <v>8.3333333333333329E-2</v>
      </c>
      <c r="K670" s="94">
        <v>0.93794392701333995</v>
      </c>
      <c r="L670" s="94">
        <v>0.93790022323627098</v>
      </c>
      <c r="M670" s="89">
        <f t="shared" si="42"/>
        <v>0.93794392701333995</v>
      </c>
      <c r="N670" s="89">
        <f t="shared" si="41"/>
        <v>0.90418856423548388</v>
      </c>
      <c r="O670" s="89">
        <f t="shared" si="43"/>
        <v>7.5349047019623652E-2</v>
      </c>
    </row>
    <row r="671" spans="1:15" x14ac:dyDescent="0.2">
      <c r="A671" s="21" t="s">
        <v>191</v>
      </c>
      <c r="B671" s="21" t="s">
        <v>2275</v>
      </c>
      <c r="C671" s="21" t="s">
        <v>2276</v>
      </c>
      <c r="D671" s="21" t="s">
        <v>728</v>
      </c>
      <c r="E671" s="21" t="s">
        <v>729</v>
      </c>
      <c r="F671" s="21" t="s">
        <v>1591</v>
      </c>
      <c r="G671" s="21" t="s">
        <v>1592</v>
      </c>
      <c r="H671" s="21" t="s">
        <v>194</v>
      </c>
      <c r="I671" s="21">
        <v>95</v>
      </c>
      <c r="J671" s="89">
        <f t="shared" si="40"/>
        <v>0.37848605577689243</v>
      </c>
      <c r="K671" s="94" t="e">
        <v>#N/A</v>
      </c>
      <c r="L671" s="94">
        <v>1.1842894660135199</v>
      </c>
      <c r="M671" s="89">
        <f t="shared" si="42"/>
        <v>1.1842894660135199</v>
      </c>
      <c r="N671" s="89">
        <f t="shared" si="41"/>
        <v>1.1416684527440228</v>
      </c>
      <c r="O671" s="89">
        <f t="shared" si="43"/>
        <v>0.43210558968399271</v>
      </c>
    </row>
    <row r="672" spans="1:15" x14ac:dyDescent="0.2">
      <c r="A672" s="21" t="s">
        <v>191</v>
      </c>
      <c r="B672" s="21" t="s">
        <v>2275</v>
      </c>
      <c r="C672" s="21" t="s">
        <v>2276</v>
      </c>
      <c r="D672" s="21" t="s">
        <v>2969</v>
      </c>
      <c r="E672" s="21" t="s">
        <v>2970</v>
      </c>
      <c r="F672" s="21" t="s">
        <v>1593</v>
      </c>
      <c r="G672" s="21" t="s">
        <v>1930</v>
      </c>
      <c r="H672" s="21" t="s">
        <v>3524</v>
      </c>
      <c r="I672" s="21">
        <v>156</v>
      </c>
      <c r="J672" s="89">
        <f t="shared" si="40"/>
        <v>0.62151394422310757</v>
      </c>
      <c r="K672" s="94">
        <v>1.14301732064401</v>
      </c>
      <c r="L672" s="94">
        <v>1.1418087006907101</v>
      </c>
      <c r="M672" s="89">
        <f t="shared" si="42"/>
        <v>1.14301732064401</v>
      </c>
      <c r="N672" s="89">
        <f t="shared" si="41"/>
        <v>1.1018816373600744</v>
      </c>
      <c r="O672" s="89">
        <f t="shared" si="43"/>
        <v>0.6848348025026757</v>
      </c>
    </row>
    <row r="673" spans="1:15" x14ac:dyDescent="0.2">
      <c r="A673" s="21" t="s">
        <v>3496</v>
      </c>
      <c r="B673" s="21" t="s">
        <v>584</v>
      </c>
      <c r="C673" s="21" t="s">
        <v>585</v>
      </c>
      <c r="D673" s="21" t="s">
        <v>728</v>
      </c>
      <c r="E673" s="21" t="s">
        <v>729</v>
      </c>
      <c r="F673" s="21" t="s">
        <v>1594</v>
      </c>
      <c r="G673" s="21" t="s">
        <v>1595</v>
      </c>
      <c r="H673" s="21" t="s">
        <v>3512</v>
      </c>
      <c r="I673" s="21">
        <v>323</v>
      </c>
      <c r="J673" s="89">
        <f t="shared" si="40"/>
        <v>0.41198979591836737</v>
      </c>
      <c r="K673" s="94" t="e">
        <v>#N/A</v>
      </c>
      <c r="L673" s="94">
        <v>1.0292349658211899</v>
      </c>
      <c r="M673" s="89">
        <f t="shared" si="42"/>
        <v>1.0292349658211899</v>
      </c>
      <c r="N673" s="89">
        <f t="shared" si="41"/>
        <v>0.9921941591648934</v>
      </c>
      <c r="O673" s="89">
        <f t="shared" si="43"/>
        <v>0.40877386914574054</v>
      </c>
    </row>
    <row r="674" spans="1:15" x14ac:dyDescent="0.2">
      <c r="A674" s="21" t="s">
        <v>3496</v>
      </c>
      <c r="B674" s="21" t="s">
        <v>584</v>
      </c>
      <c r="C674" s="21" t="s">
        <v>585</v>
      </c>
      <c r="D674" s="21" t="s">
        <v>2971</v>
      </c>
      <c r="E674" s="21" t="s">
        <v>2972</v>
      </c>
      <c r="F674" s="21" t="s">
        <v>1596</v>
      </c>
      <c r="G674" s="21" t="s">
        <v>1597</v>
      </c>
      <c r="H674" s="21" t="s">
        <v>3500</v>
      </c>
      <c r="I674" s="21">
        <v>71</v>
      </c>
      <c r="J674" s="89">
        <f t="shared" si="40"/>
        <v>9.0561224489795922E-2</v>
      </c>
      <c r="K674" s="94">
        <v>1.01586325100867</v>
      </c>
      <c r="L674" s="94">
        <v>1.01570702761972</v>
      </c>
      <c r="M674" s="89">
        <f t="shared" si="42"/>
        <v>1.01586325100867</v>
      </c>
      <c r="N674" s="89">
        <f t="shared" si="41"/>
        <v>0.97930367470256718</v>
      </c>
      <c r="O674" s="89">
        <f t="shared" si="43"/>
        <v>8.8686939928421263E-2</v>
      </c>
    </row>
    <row r="675" spans="1:15" x14ac:dyDescent="0.2">
      <c r="A675" s="21" t="s">
        <v>3496</v>
      </c>
      <c r="B675" s="21" t="s">
        <v>584</v>
      </c>
      <c r="C675" s="21" t="s">
        <v>585</v>
      </c>
      <c r="D675" s="21" t="s">
        <v>1936</v>
      </c>
      <c r="E675" s="21" t="s">
        <v>1937</v>
      </c>
      <c r="F675" s="21" t="s">
        <v>1598</v>
      </c>
      <c r="G675" s="21" t="s">
        <v>1597</v>
      </c>
      <c r="H675" s="21" t="s">
        <v>3500</v>
      </c>
      <c r="I675" s="21">
        <v>35</v>
      </c>
      <c r="J675" s="89">
        <f t="shared" si="40"/>
        <v>4.4642857142857144E-2</v>
      </c>
      <c r="K675" s="94">
        <v>1.01588992978688</v>
      </c>
      <c r="L675" s="94">
        <v>1.01570702761972</v>
      </c>
      <c r="M675" s="89">
        <f t="shared" si="42"/>
        <v>1.01588992978688</v>
      </c>
      <c r="N675" s="89">
        <f t="shared" si="41"/>
        <v>0.97932939334679581</v>
      </c>
      <c r="O675" s="89">
        <f t="shared" si="43"/>
        <v>4.3720062202981955E-2</v>
      </c>
    </row>
    <row r="676" spans="1:15" x14ac:dyDescent="0.2">
      <c r="A676" s="21" t="s">
        <v>3496</v>
      </c>
      <c r="B676" s="21" t="s">
        <v>584</v>
      </c>
      <c r="C676" s="21" t="s">
        <v>585</v>
      </c>
      <c r="D676" s="21" t="s">
        <v>1938</v>
      </c>
      <c r="E676" s="21" t="s">
        <v>1939</v>
      </c>
      <c r="F676" s="21" t="s">
        <v>1599</v>
      </c>
      <c r="G676" s="21" t="s">
        <v>3302</v>
      </c>
      <c r="H676" s="21" t="s">
        <v>3512</v>
      </c>
      <c r="I676" s="21">
        <v>50</v>
      </c>
      <c r="J676" s="89">
        <f t="shared" si="40"/>
        <v>6.3775510204081634E-2</v>
      </c>
      <c r="K676" s="94">
        <v>1.0520718220590799</v>
      </c>
      <c r="L676" s="94">
        <v>1.0520638336677599</v>
      </c>
      <c r="M676" s="89">
        <f t="shared" si="42"/>
        <v>1.0520718220590799</v>
      </c>
      <c r="N676" s="89">
        <f t="shared" si="41"/>
        <v>1.0142091471174688</v>
      </c>
      <c r="O676" s="89">
        <f t="shared" si="43"/>
        <v>6.4681705811063056E-2</v>
      </c>
    </row>
    <row r="677" spans="1:15" x14ac:dyDescent="0.2">
      <c r="A677" s="21" t="s">
        <v>3496</v>
      </c>
      <c r="B677" s="21" t="s">
        <v>584</v>
      </c>
      <c r="C677" s="21" t="s">
        <v>585</v>
      </c>
      <c r="D677" s="21" t="s">
        <v>1940</v>
      </c>
      <c r="E677" s="21" t="s">
        <v>1941</v>
      </c>
      <c r="F677" s="21" t="s">
        <v>1600</v>
      </c>
      <c r="G677" s="21" t="s">
        <v>3302</v>
      </c>
      <c r="H677" s="21" t="s">
        <v>3512</v>
      </c>
      <c r="I677" s="21">
        <v>39</v>
      </c>
      <c r="J677" s="89">
        <f t="shared" si="40"/>
        <v>4.9744897959183673E-2</v>
      </c>
      <c r="K677" s="94">
        <v>1.0525326364288199</v>
      </c>
      <c r="L677" s="94">
        <v>1.0520638336677599</v>
      </c>
      <c r="M677" s="89">
        <f t="shared" si="42"/>
        <v>1.0525326364288199</v>
      </c>
      <c r="N677" s="89">
        <f t="shared" si="41"/>
        <v>1.0146533773868422</v>
      </c>
      <c r="O677" s="89">
        <f t="shared" si="43"/>
        <v>5.047382872204955E-2</v>
      </c>
    </row>
    <row r="678" spans="1:15" x14ac:dyDescent="0.2">
      <c r="A678" s="21" t="s">
        <v>3496</v>
      </c>
      <c r="B678" s="21" t="s">
        <v>584</v>
      </c>
      <c r="C678" s="21" t="s">
        <v>585</v>
      </c>
      <c r="D678" s="21" t="s">
        <v>1942</v>
      </c>
      <c r="E678" s="21" t="s">
        <v>1943</v>
      </c>
      <c r="F678" s="21" t="s">
        <v>1594</v>
      </c>
      <c r="G678" s="21" t="s">
        <v>1595</v>
      </c>
      <c r="H678" s="21" t="s">
        <v>3512</v>
      </c>
      <c r="I678" s="21">
        <v>50</v>
      </c>
      <c r="J678" s="89">
        <f t="shared" si="40"/>
        <v>6.3775510204081634E-2</v>
      </c>
      <c r="K678" s="94">
        <v>1.02891504963661</v>
      </c>
      <c r="L678" s="94">
        <v>1.0292349658211899</v>
      </c>
      <c r="M678" s="89">
        <f t="shared" si="42"/>
        <v>1.02891504963661</v>
      </c>
      <c r="N678" s="89">
        <f t="shared" si="41"/>
        <v>0.9918857563411424</v>
      </c>
      <c r="O678" s="89">
        <f t="shared" si="43"/>
        <v>6.3258020174817756E-2</v>
      </c>
    </row>
    <row r="679" spans="1:15" x14ac:dyDescent="0.2">
      <c r="A679" s="21" t="s">
        <v>3496</v>
      </c>
      <c r="B679" s="21" t="s">
        <v>584</v>
      </c>
      <c r="C679" s="21" t="s">
        <v>585</v>
      </c>
      <c r="D679" s="21" t="s">
        <v>1944</v>
      </c>
      <c r="E679" s="21" t="s">
        <v>1945</v>
      </c>
      <c r="F679" s="21" t="s">
        <v>2401</v>
      </c>
      <c r="G679" s="21" t="s">
        <v>2402</v>
      </c>
      <c r="H679" s="21" t="s">
        <v>187</v>
      </c>
      <c r="I679" s="21">
        <v>63</v>
      </c>
      <c r="J679" s="89">
        <f t="shared" si="40"/>
        <v>8.0357142857142863E-2</v>
      </c>
      <c r="K679" s="94">
        <v>0.98234639106827804</v>
      </c>
      <c r="L679" s="94">
        <v>0.98232583619813296</v>
      </c>
      <c r="M679" s="89">
        <f t="shared" si="42"/>
        <v>0.98234639106827804</v>
      </c>
      <c r="N679" s="89">
        <f t="shared" si="41"/>
        <v>0.94699304227096148</v>
      </c>
      <c r="O679" s="89">
        <f t="shared" si="43"/>
        <v>7.6097655182487983E-2</v>
      </c>
    </row>
    <row r="680" spans="1:15" x14ac:dyDescent="0.2">
      <c r="A680" s="21" t="s">
        <v>3496</v>
      </c>
      <c r="B680" s="21" t="s">
        <v>584</v>
      </c>
      <c r="C680" s="21" t="s">
        <v>585</v>
      </c>
      <c r="D680" s="21" t="s">
        <v>1946</v>
      </c>
      <c r="E680" s="21" t="s">
        <v>1947</v>
      </c>
      <c r="F680" s="21" t="s">
        <v>1601</v>
      </c>
      <c r="G680" s="21" t="s">
        <v>1602</v>
      </c>
      <c r="H680" s="21" t="s">
        <v>187</v>
      </c>
      <c r="I680" s="21">
        <v>28</v>
      </c>
      <c r="J680" s="89">
        <f t="shared" si="40"/>
        <v>3.5714285714285712E-2</v>
      </c>
      <c r="K680" s="94">
        <v>0.98681288706388604</v>
      </c>
      <c r="L680" s="94">
        <v>0.98631486463068696</v>
      </c>
      <c r="M680" s="89">
        <f t="shared" si="42"/>
        <v>0.98681288706388604</v>
      </c>
      <c r="N680" s="89">
        <f t="shared" si="41"/>
        <v>0.95129879497655467</v>
      </c>
      <c r="O680" s="89">
        <f t="shared" si="43"/>
        <v>3.3974956963448377E-2</v>
      </c>
    </row>
    <row r="681" spans="1:15" x14ac:dyDescent="0.2">
      <c r="A681" s="21" t="s">
        <v>3496</v>
      </c>
      <c r="B681" s="21" t="s">
        <v>584</v>
      </c>
      <c r="C681" s="21" t="s">
        <v>585</v>
      </c>
      <c r="D681" s="21" t="s">
        <v>1948</v>
      </c>
      <c r="E681" s="21" t="s">
        <v>1949</v>
      </c>
      <c r="F681" s="21" t="s">
        <v>1603</v>
      </c>
      <c r="G681" s="21" t="s">
        <v>2400</v>
      </c>
      <c r="H681" s="21" t="s">
        <v>3505</v>
      </c>
      <c r="I681" s="21">
        <v>31</v>
      </c>
      <c r="J681" s="89">
        <f t="shared" si="40"/>
        <v>3.9540816326530615E-2</v>
      </c>
      <c r="K681" s="94">
        <v>0.96326150518577602</v>
      </c>
      <c r="L681" s="94">
        <v>0.961993996824553</v>
      </c>
      <c r="M681" s="89">
        <f t="shared" si="42"/>
        <v>0.96326150518577602</v>
      </c>
      <c r="N681" s="89">
        <f t="shared" si="41"/>
        <v>0.92859499621756225</v>
      </c>
      <c r="O681" s="89">
        <f t="shared" si="43"/>
        <v>3.6717404187174021E-2</v>
      </c>
    </row>
    <row r="682" spans="1:15" x14ac:dyDescent="0.2">
      <c r="A682" s="21" t="s">
        <v>3496</v>
      </c>
      <c r="B682" s="21" t="s">
        <v>584</v>
      </c>
      <c r="C682" s="21" t="s">
        <v>585</v>
      </c>
      <c r="D682" s="21" t="s">
        <v>1950</v>
      </c>
      <c r="E682" s="21" t="s">
        <v>1951</v>
      </c>
      <c r="F682" s="21" t="s">
        <v>1603</v>
      </c>
      <c r="G682" s="21" t="s">
        <v>2400</v>
      </c>
      <c r="H682" s="21" t="s">
        <v>3505</v>
      </c>
      <c r="I682" s="21">
        <v>33</v>
      </c>
      <c r="J682" s="89">
        <f t="shared" si="40"/>
        <v>4.2091836734693876E-2</v>
      </c>
      <c r="K682" s="94">
        <v>0.96326150518577602</v>
      </c>
      <c r="L682" s="94">
        <v>0.961993996824553</v>
      </c>
      <c r="M682" s="89">
        <f t="shared" si="42"/>
        <v>0.96326150518577602</v>
      </c>
      <c r="N682" s="89">
        <f t="shared" si="41"/>
        <v>0.92859499621756225</v>
      </c>
      <c r="O682" s="89">
        <f t="shared" si="43"/>
        <v>3.9086268973443306E-2</v>
      </c>
    </row>
    <row r="683" spans="1:15" x14ac:dyDescent="0.2">
      <c r="A683" s="21" t="s">
        <v>3496</v>
      </c>
      <c r="B683" s="21" t="s">
        <v>584</v>
      </c>
      <c r="C683" s="21" t="s">
        <v>585</v>
      </c>
      <c r="D683" s="21" t="s">
        <v>1952</v>
      </c>
      <c r="E683" s="21" t="s">
        <v>1953</v>
      </c>
      <c r="F683" s="21" t="s">
        <v>1604</v>
      </c>
      <c r="G683" s="21" t="s">
        <v>1605</v>
      </c>
      <c r="H683" s="21" t="s">
        <v>3512</v>
      </c>
      <c r="I683" s="21">
        <v>61</v>
      </c>
      <c r="J683" s="89">
        <f t="shared" si="40"/>
        <v>7.7806122448979595E-2</v>
      </c>
      <c r="K683" s="94">
        <v>1.13665526849891</v>
      </c>
      <c r="L683" s="94">
        <v>1.1304273247582699</v>
      </c>
      <c r="M683" s="89">
        <f t="shared" si="42"/>
        <v>1.13665526849891</v>
      </c>
      <c r="N683" s="89">
        <f t="shared" si="41"/>
        <v>1.095748547066514</v>
      </c>
      <c r="O683" s="89">
        <f t="shared" si="43"/>
        <v>8.5255945626348667E-2</v>
      </c>
    </row>
    <row r="684" spans="1:15" x14ac:dyDescent="0.2">
      <c r="A684" s="21" t="s">
        <v>708</v>
      </c>
      <c r="B684" s="21" t="s">
        <v>592</v>
      </c>
      <c r="C684" s="21" t="s">
        <v>593</v>
      </c>
      <c r="D684" s="21" t="s">
        <v>728</v>
      </c>
      <c r="E684" s="21" t="s">
        <v>729</v>
      </c>
      <c r="F684" s="21" t="s">
        <v>1606</v>
      </c>
      <c r="G684" s="21" t="s">
        <v>1607</v>
      </c>
      <c r="H684" s="21" t="s">
        <v>2974</v>
      </c>
      <c r="I684" s="21">
        <v>278</v>
      </c>
      <c r="J684" s="89">
        <f t="shared" si="40"/>
        <v>0.29732620320855613</v>
      </c>
      <c r="K684" s="94" t="e">
        <v>#N/A</v>
      </c>
      <c r="L684" s="94">
        <v>0.95182143289810905</v>
      </c>
      <c r="M684" s="89">
        <f t="shared" si="42"/>
        <v>0.95182143289810905</v>
      </c>
      <c r="N684" s="89">
        <f t="shared" si="41"/>
        <v>0.91756663701759</v>
      </c>
      <c r="O684" s="89">
        <f t="shared" si="43"/>
        <v>0.27281660437528343</v>
      </c>
    </row>
    <row r="685" spans="1:15" x14ac:dyDescent="0.2">
      <c r="A685" s="21" t="s">
        <v>708</v>
      </c>
      <c r="B685" s="21" t="s">
        <v>592</v>
      </c>
      <c r="C685" s="21" t="s">
        <v>593</v>
      </c>
      <c r="D685" s="21" t="s">
        <v>1954</v>
      </c>
      <c r="E685" s="21" t="s">
        <v>786</v>
      </c>
      <c r="F685" s="21" t="s">
        <v>1608</v>
      </c>
      <c r="G685" s="21" t="s">
        <v>1609</v>
      </c>
      <c r="H685" s="21" t="s">
        <v>3579</v>
      </c>
      <c r="I685" s="21">
        <v>40</v>
      </c>
      <c r="J685" s="89">
        <f t="shared" si="40"/>
        <v>4.2780748663101602E-2</v>
      </c>
      <c r="K685" s="94">
        <v>0.94102102715842495</v>
      </c>
      <c r="L685" s="94">
        <v>0.94077589304684694</v>
      </c>
      <c r="M685" s="89">
        <f t="shared" si="42"/>
        <v>0.94102102715842495</v>
      </c>
      <c r="N685" s="89">
        <f t="shared" si="41"/>
        <v>0.90715492361162775</v>
      </c>
      <c r="O685" s="89">
        <f t="shared" si="43"/>
        <v>3.8808766785524182E-2</v>
      </c>
    </row>
    <row r="686" spans="1:15" x14ac:dyDescent="0.2">
      <c r="A686" s="21" t="s">
        <v>708</v>
      </c>
      <c r="B686" s="21" t="s">
        <v>592</v>
      </c>
      <c r="C686" s="21" t="s">
        <v>593</v>
      </c>
      <c r="D686" s="21" t="s">
        <v>1955</v>
      </c>
      <c r="E686" s="21" t="s">
        <v>1956</v>
      </c>
      <c r="F686" s="21" t="s">
        <v>2434</v>
      </c>
      <c r="G686" s="21" t="s">
        <v>2435</v>
      </c>
      <c r="H686" s="21" t="s">
        <v>3579</v>
      </c>
      <c r="I686" s="21">
        <v>35</v>
      </c>
      <c r="J686" s="89">
        <f t="shared" si="40"/>
        <v>3.7433155080213901E-2</v>
      </c>
      <c r="K686" s="94">
        <v>0.95460890982685398</v>
      </c>
      <c r="L686" s="94">
        <v>0.95490499511103499</v>
      </c>
      <c r="M686" s="89">
        <f t="shared" si="42"/>
        <v>0.95460890982685398</v>
      </c>
      <c r="N686" s="89">
        <f t="shared" si="41"/>
        <v>0.92025379633431692</v>
      </c>
      <c r="O686" s="89">
        <f t="shared" si="43"/>
        <v>3.4448003071338065E-2</v>
      </c>
    </row>
    <row r="687" spans="1:15" x14ac:dyDescent="0.2">
      <c r="A687" s="21" t="s">
        <v>708</v>
      </c>
      <c r="B687" s="21" t="s">
        <v>592</v>
      </c>
      <c r="C687" s="21" t="s">
        <v>593</v>
      </c>
      <c r="D687" s="21" t="s">
        <v>1957</v>
      </c>
      <c r="E687" s="21" t="s">
        <v>1958</v>
      </c>
      <c r="F687" s="21" t="s">
        <v>1610</v>
      </c>
      <c r="G687" s="21" t="s">
        <v>2439</v>
      </c>
      <c r="H687" s="21" t="s">
        <v>3579</v>
      </c>
      <c r="I687" s="21">
        <v>46</v>
      </c>
      <c r="J687" s="89">
        <f t="shared" si="40"/>
        <v>4.9197860962566842E-2</v>
      </c>
      <c r="K687" s="94">
        <v>0.94114618685268703</v>
      </c>
      <c r="L687" s="94">
        <v>0.94138641676820001</v>
      </c>
      <c r="M687" s="89">
        <f t="shared" si="42"/>
        <v>0.94114618685268703</v>
      </c>
      <c r="N687" s="89">
        <f t="shared" si="41"/>
        <v>0.90727557897384681</v>
      </c>
      <c r="O687" s="89">
        <f t="shared" si="43"/>
        <v>4.4636017789087649E-2</v>
      </c>
    </row>
    <row r="688" spans="1:15" x14ac:dyDescent="0.2">
      <c r="A688" s="21" t="s">
        <v>708</v>
      </c>
      <c r="B688" s="21" t="s">
        <v>592</v>
      </c>
      <c r="C688" s="21" t="s">
        <v>593</v>
      </c>
      <c r="D688" s="21" t="s">
        <v>1959</v>
      </c>
      <c r="E688" s="21" t="s">
        <v>1960</v>
      </c>
      <c r="F688" s="21" t="s">
        <v>1611</v>
      </c>
      <c r="G688" s="21" t="s">
        <v>2443</v>
      </c>
      <c r="H688" s="21" t="s">
        <v>3579</v>
      </c>
      <c r="I688" s="21">
        <v>53</v>
      </c>
      <c r="J688" s="89">
        <f t="shared" si="40"/>
        <v>5.6684491978609627E-2</v>
      </c>
      <c r="K688" s="94">
        <v>0.94379077364911002</v>
      </c>
      <c r="L688" s="94">
        <v>0.94324749510385597</v>
      </c>
      <c r="M688" s="89">
        <f t="shared" si="42"/>
        <v>0.94379077364911002</v>
      </c>
      <c r="N688" s="89">
        <f t="shared" si="41"/>
        <v>0.90982499058533628</v>
      </c>
      <c r="O688" s="89">
        <f t="shared" si="43"/>
        <v>5.1572967380773077E-2</v>
      </c>
    </row>
    <row r="689" spans="1:15" x14ac:dyDescent="0.2">
      <c r="A689" s="21" t="s">
        <v>708</v>
      </c>
      <c r="B689" s="21" t="s">
        <v>592</v>
      </c>
      <c r="C689" s="21" t="s">
        <v>593</v>
      </c>
      <c r="D689" s="21" t="s">
        <v>1961</v>
      </c>
      <c r="E689" s="21" t="s">
        <v>1962</v>
      </c>
      <c r="F689" s="21" t="s">
        <v>1611</v>
      </c>
      <c r="G689" s="21" t="s">
        <v>2443</v>
      </c>
      <c r="H689" s="21" t="s">
        <v>3579</v>
      </c>
      <c r="I689" s="21">
        <v>29</v>
      </c>
      <c r="J689" s="89">
        <f t="shared" si="40"/>
        <v>3.1016042780748664E-2</v>
      </c>
      <c r="K689" s="94">
        <v>0.94379077364911002</v>
      </c>
      <c r="L689" s="94">
        <v>0.94324749510385597</v>
      </c>
      <c r="M689" s="89">
        <f t="shared" si="42"/>
        <v>0.94379077364911002</v>
      </c>
      <c r="N689" s="89">
        <f t="shared" si="41"/>
        <v>0.90982499058533628</v>
      </c>
      <c r="O689" s="89">
        <f t="shared" si="43"/>
        <v>2.821917083098904E-2</v>
      </c>
    </row>
    <row r="690" spans="1:15" x14ac:dyDescent="0.2">
      <c r="A690" s="21" t="s">
        <v>708</v>
      </c>
      <c r="B690" s="21" t="s">
        <v>592</v>
      </c>
      <c r="C690" s="21" t="s">
        <v>593</v>
      </c>
      <c r="D690" s="21" t="s">
        <v>1963</v>
      </c>
      <c r="E690" s="21" t="s">
        <v>1964</v>
      </c>
      <c r="F690" s="21" t="s">
        <v>1612</v>
      </c>
      <c r="G690" s="21" t="s">
        <v>26</v>
      </c>
      <c r="H690" s="21" t="s">
        <v>644</v>
      </c>
      <c r="I690" s="21">
        <v>237</v>
      </c>
      <c r="J690" s="89">
        <f t="shared" si="40"/>
        <v>0.25347593582887701</v>
      </c>
      <c r="K690" s="94">
        <v>0.95031226038771099</v>
      </c>
      <c r="L690" s="94">
        <v>0.950297995677858</v>
      </c>
      <c r="M690" s="89">
        <f t="shared" si="42"/>
        <v>0.95031226038771099</v>
      </c>
      <c r="N690" s="89">
        <f t="shared" si="41"/>
        <v>0.91611177763201279</v>
      </c>
      <c r="O690" s="89">
        <f t="shared" si="43"/>
        <v>0.23221229015913053</v>
      </c>
    </row>
    <row r="691" spans="1:15" x14ac:dyDescent="0.2">
      <c r="A691" s="21" t="s">
        <v>708</v>
      </c>
      <c r="B691" s="21" t="s">
        <v>592</v>
      </c>
      <c r="C691" s="21" t="s">
        <v>593</v>
      </c>
      <c r="D691" s="21" t="s">
        <v>1965</v>
      </c>
      <c r="E691" s="21" t="s">
        <v>1966</v>
      </c>
      <c r="F691" s="21" t="s">
        <v>1613</v>
      </c>
      <c r="G691" s="21" t="s">
        <v>1607</v>
      </c>
      <c r="H691" s="21" t="s">
        <v>2974</v>
      </c>
      <c r="I691" s="21">
        <v>33</v>
      </c>
      <c r="J691" s="89">
        <f t="shared" si="40"/>
        <v>3.5294117647058823E-2</v>
      </c>
      <c r="K691" s="94">
        <v>0.95210144376248695</v>
      </c>
      <c r="L691" s="94">
        <v>0.95182143289810905</v>
      </c>
      <c r="M691" s="89">
        <f t="shared" si="42"/>
        <v>0.95210144376248695</v>
      </c>
      <c r="N691" s="89">
        <f t="shared" si="41"/>
        <v>0.91783657066089253</v>
      </c>
      <c r="O691" s="89">
        <f t="shared" si="43"/>
        <v>3.2394231905678562E-2</v>
      </c>
    </row>
    <row r="692" spans="1:15" x14ac:dyDescent="0.2">
      <c r="A692" s="21" t="s">
        <v>708</v>
      </c>
      <c r="B692" s="21" t="s">
        <v>592</v>
      </c>
      <c r="C692" s="21" t="s">
        <v>593</v>
      </c>
      <c r="D692" s="21" t="s">
        <v>1967</v>
      </c>
      <c r="E692" s="21" t="s">
        <v>1968</v>
      </c>
      <c r="F692" s="21" t="s">
        <v>1614</v>
      </c>
      <c r="G692" s="21" t="s">
        <v>1615</v>
      </c>
      <c r="H692" s="21" t="s">
        <v>644</v>
      </c>
      <c r="I692" s="21">
        <v>22</v>
      </c>
      <c r="J692" s="89">
        <f t="shared" si="40"/>
        <v>2.3529411764705882E-2</v>
      </c>
      <c r="K692" s="94">
        <v>0.94943089175469497</v>
      </c>
      <c r="L692" s="94">
        <v>0.94945329731997097</v>
      </c>
      <c r="M692" s="89">
        <f t="shared" si="42"/>
        <v>0.94943089175469497</v>
      </c>
      <c r="N692" s="89">
        <f t="shared" si="41"/>
        <v>0.91526212829168752</v>
      </c>
      <c r="O692" s="89">
        <f t="shared" si="43"/>
        <v>2.1535579489216177E-2</v>
      </c>
    </row>
    <row r="693" spans="1:15" x14ac:dyDescent="0.2">
      <c r="A693" s="21" t="s">
        <v>708</v>
      </c>
      <c r="B693" s="21" t="s">
        <v>592</v>
      </c>
      <c r="C693" s="21" t="s">
        <v>593</v>
      </c>
      <c r="D693" s="21" t="s">
        <v>1969</v>
      </c>
      <c r="E693" s="21" t="s">
        <v>1970</v>
      </c>
      <c r="F693" s="21" t="s">
        <v>1616</v>
      </c>
      <c r="G693" s="21" t="s">
        <v>872</v>
      </c>
      <c r="H693" s="21" t="s">
        <v>3046</v>
      </c>
      <c r="I693" s="21">
        <v>48</v>
      </c>
      <c r="J693" s="89">
        <f t="shared" si="40"/>
        <v>5.1336898395721926E-2</v>
      </c>
      <c r="K693" s="94">
        <v>0.95427413730467503</v>
      </c>
      <c r="L693" s="94">
        <v>0.95415072215016505</v>
      </c>
      <c r="M693" s="89">
        <f t="shared" si="42"/>
        <v>0.95427413730467503</v>
      </c>
      <c r="N693" s="89">
        <f t="shared" si="41"/>
        <v>0.91993107183292988</v>
      </c>
      <c r="O693" s="89">
        <f t="shared" si="43"/>
        <v>4.722640796575469E-2</v>
      </c>
    </row>
    <row r="694" spans="1:15" x14ac:dyDescent="0.2">
      <c r="A694" s="21" t="s">
        <v>708</v>
      </c>
      <c r="B694" s="21" t="s">
        <v>592</v>
      </c>
      <c r="C694" s="21" t="s">
        <v>593</v>
      </c>
      <c r="D694" s="21" t="s">
        <v>1971</v>
      </c>
      <c r="E694" s="21" t="s">
        <v>2575</v>
      </c>
      <c r="F694" s="21" t="s">
        <v>1617</v>
      </c>
      <c r="G694" s="21" t="s">
        <v>1618</v>
      </c>
      <c r="H694" s="21" t="s">
        <v>712</v>
      </c>
      <c r="I694" s="21">
        <v>114</v>
      </c>
      <c r="J694" s="89">
        <f t="shared" si="40"/>
        <v>0.12192513368983957</v>
      </c>
      <c r="K694" s="94">
        <v>0.95311046522127096</v>
      </c>
      <c r="L694" s="94">
        <v>0.95501085652699103</v>
      </c>
      <c r="M694" s="89">
        <f t="shared" si="42"/>
        <v>0.95311046522127096</v>
      </c>
      <c r="N694" s="89">
        <f t="shared" si="41"/>
        <v>0.91880927877043361</v>
      </c>
      <c r="O694" s="89">
        <f t="shared" si="43"/>
        <v>0.11202594414955019</v>
      </c>
    </row>
    <row r="695" spans="1:15" x14ac:dyDescent="0.2">
      <c r="A695" s="21" t="s">
        <v>2975</v>
      </c>
      <c r="B695" s="21" t="s">
        <v>2318</v>
      </c>
      <c r="C695" s="21" t="s">
        <v>2319</v>
      </c>
      <c r="D695" s="21" t="s">
        <v>728</v>
      </c>
      <c r="E695" s="21" t="s">
        <v>729</v>
      </c>
      <c r="F695" s="21" t="s">
        <v>1619</v>
      </c>
      <c r="G695" s="21" t="s">
        <v>1022</v>
      </c>
      <c r="H695" s="21" t="s">
        <v>2988</v>
      </c>
      <c r="I695" s="21">
        <v>121</v>
      </c>
      <c r="J695" s="89">
        <f t="shared" si="40"/>
        <v>0.23314065510597304</v>
      </c>
      <c r="K695" s="94" t="e">
        <v>#N/A</v>
      </c>
      <c r="L695" s="94">
        <v>0.98212517510625397</v>
      </c>
      <c r="M695" s="89">
        <f t="shared" si="42"/>
        <v>0.98212517510625397</v>
      </c>
      <c r="N695" s="89">
        <f t="shared" si="41"/>
        <v>0.94677978757915338</v>
      </c>
      <c r="O695" s="89">
        <f t="shared" si="43"/>
        <v>0.22073285991729782</v>
      </c>
    </row>
    <row r="696" spans="1:15" x14ac:dyDescent="0.2">
      <c r="A696" s="21" t="s">
        <v>2975</v>
      </c>
      <c r="B696" s="21" t="s">
        <v>2318</v>
      </c>
      <c r="C696" s="21" t="s">
        <v>2319</v>
      </c>
      <c r="D696" s="21" t="s">
        <v>1972</v>
      </c>
      <c r="E696" s="21" t="s">
        <v>1828</v>
      </c>
      <c r="F696" s="21" t="s">
        <v>1082</v>
      </c>
      <c r="G696" s="21" t="s">
        <v>1083</v>
      </c>
      <c r="H696" s="21" t="s">
        <v>2996</v>
      </c>
      <c r="I696" s="21">
        <v>80</v>
      </c>
      <c r="J696" s="89">
        <f t="shared" si="40"/>
        <v>0.15414258188824662</v>
      </c>
      <c r="K696" s="94">
        <v>0.98482772499603499</v>
      </c>
      <c r="L696" s="94">
        <v>0.983568311747409</v>
      </c>
      <c r="M696" s="89">
        <f t="shared" si="42"/>
        <v>0.98482772499603499</v>
      </c>
      <c r="N696" s="89">
        <f t="shared" si="41"/>
        <v>0.94938507626884827</v>
      </c>
      <c r="O696" s="89">
        <f t="shared" si="43"/>
        <v>0.1463406668622502</v>
      </c>
    </row>
    <row r="697" spans="1:15" x14ac:dyDescent="0.2">
      <c r="A697" s="21" t="s">
        <v>2975</v>
      </c>
      <c r="B697" s="21" t="s">
        <v>2318</v>
      </c>
      <c r="C697" s="21" t="s">
        <v>2319</v>
      </c>
      <c r="D697" s="21" t="s">
        <v>1973</v>
      </c>
      <c r="E697" s="21" t="s">
        <v>1811</v>
      </c>
      <c r="F697" s="21" t="s">
        <v>1068</v>
      </c>
      <c r="G697" s="21" t="s">
        <v>1069</v>
      </c>
      <c r="H697" s="21" t="s">
        <v>2991</v>
      </c>
      <c r="I697" s="21">
        <v>104</v>
      </c>
      <c r="J697" s="89">
        <f t="shared" si="40"/>
        <v>0.20038535645472061</v>
      </c>
      <c r="K697" s="94">
        <v>0.97521705227007904</v>
      </c>
      <c r="L697" s="94">
        <v>0.97528516111813901</v>
      </c>
      <c r="M697" s="89">
        <f t="shared" si="42"/>
        <v>0.97521705227007904</v>
      </c>
      <c r="N697" s="89">
        <f t="shared" si="41"/>
        <v>0.94012027895725414</v>
      </c>
      <c r="O697" s="89">
        <f t="shared" si="43"/>
        <v>0.18838633720916076</v>
      </c>
    </row>
    <row r="698" spans="1:15" x14ac:dyDescent="0.2">
      <c r="A698" s="21" t="s">
        <v>2975</v>
      </c>
      <c r="B698" s="21" t="s">
        <v>2318</v>
      </c>
      <c r="C698" s="21" t="s">
        <v>2319</v>
      </c>
      <c r="D698" s="21" t="s">
        <v>1974</v>
      </c>
      <c r="E698" s="21" t="s">
        <v>1975</v>
      </c>
      <c r="F698" s="21" t="s">
        <v>1620</v>
      </c>
      <c r="G698" s="21" t="s">
        <v>1621</v>
      </c>
      <c r="H698" s="21" t="s">
        <v>2991</v>
      </c>
      <c r="I698" s="21">
        <v>18</v>
      </c>
      <c r="J698" s="89">
        <f t="shared" si="40"/>
        <v>3.4682080924855488E-2</v>
      </c>
      <c r="K698" s="94">
        <v>0.97408181465722898</v>
      </c>
      <c r="L698" s="94">
        <v>0.97410046702589403</v>
      </c>
      <c r="M698" s="89">
        <f t="shared" si="42"/>
        <v>0.97408181465722898</v>
      </c>
      <c r="N698" s="89">
        <f t="shared" si="41"/>
        <v>0.93902589704628259</v>
      </c>
      <c r="O698" s="89">
        <f t="shared" si="43"/>
        <v>3.2567372151894189E-2</v>
      </c>
    </row>
    <row r="699" spans="1:15" x14ac:dyDescent="0.2">
      <c r="A699" s="21" t="s">
        <v>2975</v>
      </c>
      <c r="B699" s="21" t="s">
        <v>2318</v>
      </c>
      <c r="C699" s="21" t="s">
        <v>2319</v>
      </c>
      <c r="D699" s="21" t="s">
        <v>1976</v>
      </c>
      <c r="E699" s="21" t="s">
        <v>1977</v>
      </c>
      <c r="F699" s="21" t="s">
        <v>1619</v>
      </c>
      <c r="G699" s="21" t="s">
        <v>1022</v>
      </c>
      <c r="H699" s="21" t="s">
        <v>2988</v>
      </c>
      <c r="I699" s="21">
        <v>96</v>
      </c>
      <c r="J699" s="89">
        <f t="shared" si="40"/>
        <v>0.18497109826589594</v>
      </c>
      <c r="K699" s="94" t="e">
        <v>#N/A</v>
      </c>
      <c r="L699" s="94">
        <v>0.98212517510625397</v>
      </c>
      <c r="M699" s="89">
        <f t="shared" si="42"/>
        <v>0.98212517510625397</v>
      </c>
      <c r="N699" s="89">
        <f t="shared" si="41"/>
        <v>0.94677978757915338</v>
      </c>
      <c r="O699" s="89">
        <f t="shared" si="43"/>
        <v>0.17512689712446766</v>
      </c>
    </row>
    <row r="700" spans="1:15" x14ac:dyDescent="0.2">
      <c r="A700" s="21" t="s">
        <v>2975</v>
      </c>
      <c r="B700" s="21" t="s">
        <v>2318</v>
      </c>
      <c r="C700" s="21" t="s">
        <v>2319</v>
      </c>
      <c r="D700" s="21" t="s">
        <v>1978</v>
      </c>
      <c r="E700" s="21" t="s">
        <v>1979</v>
      </c>
      <c r="F700" s="21" t="s">
        <v>1019</v>
      </c>
      <c r="G700" s="21" t="s">
        <v>1020</v>
      </c>
      <c r="H700" s="21" t="s">
        <v>2996</v>
      </c>
      <c r="I700" s="21">
        <v>85</v>
      </c>
      <c r="J700" s="89">
        <f t="shared" si="40"/>
        <v>0.16377649325626203</v>
      </c>
      <c r="K700" s="94" t="e">
        <v>#N/A</v>
      </c>
      <c r="L700" s="94">
        <v>0.99616475700720797</v>
      </c>
      <c r="M700" s="89">
        <f t="shared" si="42"/>
        <v>0.99616475700720797</v>
      </c>
      <c r="N700" s="89">
        <f t="shared" si="41"/>
        <v>0.96031410347574697</v>
      </c>
      <c r="O700" s="89">
        <f t="shared" si="43"/>
        <v>0.15727687629178899</v>
      </c>
    </row>
    <row r="701" spans="1:15" x14ac:dyDescent="0.2">
      <c r="A701" s="21" t="s">
        <v>2975</v>
      </c>
      <c r="B701" s="21" t="s">
        <v>2318</v>
      </c>
      <c r="C701" s="21" t="s">
        <v>2319</v>
      </c>
      <c r="D701" s="21" t="s">
        <v>1980</v>
      </c>
      <c r="E701" s="21" t="s">
        <v>1981</v>
      </c>
      <c r="F701" s="21" t="s">
        <v>1622</v>
      </c>
      <c r="G701" s="21" t="s">
        <v>1623</v>
      </c>
      <c r="H701" s="21" t="s">
        <v>2996</v>
      </c>
      <c r="I701" s="21">
        <v>15</v>
      </c>
      <c r="J701" s="89">
        <f t="shared" si="40"/>
        <v>2.8901734104046242E-2</v>
      </c>
      <c r="K701" s="94">
        <v>0.99845822017385399</v>
      </c>
      <c r="L701" s="94">
        <v>0.99898763599393103</v>
      </c>
      <c r="M701" s="89">
        <f t="shared" si="42"/>
        <v>0.99845822017385399</v>
      </c>
      <c r="N701" s="89">
        <f t="shared" si="41"/>
        <v>0.96252502793301165</v>
      </c>
      <c r="O701" s="89">
        <f t="shared" si="43"/>
        <v>2.7818642425809583E-2</v>
      </c>
    </row>
    <row r="702" spans="1:15" x14ac:dyDescent="0.2">
      <c r="A702" s="21" t="s">
        <v>3034</v>
      </c>
      <c r="B702" s="21" t="s">
        <v>3708</v>
      </c>
      <c r="C702" s="21" t="s">
        <v>3709</v>
      </c>
      <c r="D702" s="21" t="s">
        <v>728</v>
      </c>
      <c r="E702" s="21" t="s">
        <v>729</v>
      </c>
      <c r="F702" s="21" t="s">
        <v>3275</v>
      </c>
      <c r="G702" s="21" t="s">
        <v>3276</v>
      </c>
      <c r="H702" s="21" t="s">
        <v>3044</v>
      </c>
      <c r="I702" s="21">
        <v>121</v>
      </c>
      <c r="J702" s="89">
        <f t="shared" si="40"/>
        <v>0.34472934472934474</v>
      </c>
      <c r="K702" s="94" t="e">
        <v>#N/A</v>
      </c>
      <c r="L702" s="94">
        <v>0.96524783544540604</v>
      </c>
      <c r="M702" s="89">
        <f t="shared" si="42"/>
        <v>0.96524783544540604</v>
      </c>
      <c r="N702" s="89">
        <f t="shared" si="41"/>
        <v>0.93050984107536883</v>
      </c>
      <c r="O702" s="89">
        <f t="shared" si="43"/>
        <v>0.32077404777811863</v>
      </c>
    </row>
    <row r="703" spans="1:15" x14ac:dyDescent="0.2">
      <c r="A703" s="21" t="s">
        <v>3034</v>
      </c>
      <c r="B703" s="21" t="s">
        <v>3708</v>
      </c>
      <c r="C703" s="21" t="s">
        <v>3709</v>
      </c>
      <c r="D703" s="21" t="s">
        <v>1982</v>
      </c>
      <c r="E703" s="21" t="s">
        <v>1983</v>
      </c>
      <c r="F703" s="21" t="s">
        <v>1624</v>
      </c>
      <c r="G703" s="21" t="s">
        <v>1625</v>
      </c>
      <c r="H703" s="21" t="s">
        <v>3066</v>
      </c>
      <c r="I703" s="21">
        <v>52</v>
      </c>
      <c r="J703" s="89">
        <f t="shared" si="40"/>
        <v>0.14814814814814814</v>
      </c>
      <c r="K703" s="94">
        <v>0.95674227446710403</v>
      </c>
      <c r="L703" s="94">
        <v>0.95671092733876795</v>
      </c>
      <c r="M703" s="89">
        <f t="shared" si="42"/>
        <v>0.95674227446710403</v>
      </c>
      <c r="N703" s="89">
        <f t="shared" si="41"/>
        <v>0.92231038399963805</v>
      </c>
      <c r="O703" s="89">
        <f t="shared" si="43"/>
        <v>0.13663857540735377</v>
      </c>
    </row>
    <row r="704" spans="1:15" x14ac:dyDescent="0.2">
      <c r="A704" s="21" t="s">
        <v>3034</v>
      </c>
      <c r="B704" s="21" t="s">
        <v>3708</v>
      </c>
      <c r="C704" s="21" t="s">
        <v>3709</v>
      </c>
      <c r="D704" s="21" t="s">
        <v>1984</v>
      </c>
      <c r="E704" s="21" t="s">
        <v>1985</v>
      </c>
      <c r="F704" s="21" t="s">
        <v>3275</v>
      </c>
      <c r="G704" s="21" t="s">
        <v>3276</v>
      </c>
      <c r="H704" s="21" t="s">
        <v>3044</v>
      </c>
      <c r="I704" s="21">
        <v>117</v>
      </c>
      <c r="J704" s="89">
        <f t="shared" si="40"/>
        <v>0.33333333333333331</v>
      </c>
      <c r="K704" s="94">
        <v>0.96490107636380196</v>
      </c>
      <c r="L704" s="94">
        <v>0.96524783544540604</v>
      </c>
      <c r="M704" s="89">
        <f t="shared" si="42"/>
        <v>0.96490107636380196</v>
      </c>
      <c r="N704" s="89">
        <f t="shared" si="41"/>
        <v>0.93017556139499435</v>
      </c>
      <c r="O704" s="89">
        <f t="shared" si="43"/>
        <v>0.3100585204649981</v>
      </c>
    </row>
    <row r="705" spans="1:15" x14ac:dyDescent="0.2">
      <c r="A705" s="21" t="s">
        <v>3034</v>
      </c>
      <c r="B705" s="21" t="s">
        <v>3708</v>
      </c>
      <c r="C705" s="21" t="s">
        <v>3709</v>
      </c>
      <c r="D705" s="21" t="s">
        <v>1986</v>
      </c>
      <c r="E705" s="21" t="s">
        <v>1987</v>
      </c>
      <c r="F705" s="21" t="s">
        <v>3275</v>
      </c>
      <c r="G705" s="21" t="s">
        <v>3276</v>
      </c>
      <c r="H705" s="21" t="s">
        <v>3044</v>
      </c>
      <c r="I705" s="21">
        <v>33</v>
      </c>
      <c r="J705" s="89">
        <f t="shared" si="40"/>
        <v>9.4017094017094016E-2</v>
      </c>
      <c r="K705" s="94">
        <v>0.96490107636380196</v>
      </c>
      <c r="L705" s="94">
        <v>0.96524783544540604</v>
      </c>
      <c r="M705" s="89">
        <f t="shared" si="42"/>
        <v>0.96490107636380196</v>
      </c>
      <c r="N705" s="89">
        <f t="shared" si="41"/>
        <v>0.93017556139499435</v>
      </c>
      <c r="O705" s="89">
        <f t="shared" si="43"/>
        <v>8.7452403208076387E-2</v>
      </c>
    </row>
    <row r="706" spans="1:15" x14ac:dyDescent="0.2">
      <c r="A706" s="21" t="s">
        <v>3034</v>
      </c>
      <c r="B706" s="21" t="s">
        <v>3708</v>
      </c>
      <c r="C706" s="21" t="s">
        <v>3709</v>
      </c>
      <c r="D706" s="21" t="s">
        <v>1988</v>
      </c>
      <c r="E706" s="21" t="s">
        <v>1989</v>
      </c>
      <c r="F706" s="21" t="s">
        <v>1626</v>
      </c>
      <c r="G706" s="21" t="s">
        <v>1627</v>
      </c>
      <c r="H706" s="21" t="s">
        <v>3632</v>
      </c>
      <c r="I706" s="21">
        <v>28</v>
      </c>
      <c r="J706" s="89">
        <f t="shared" ref="J706:J755" si="44">I706/SUMIF(B:B,B706,I:I)</f>
        <v>7.9772079772079771E-2</v>
      </c>
      <c r="K706" s="94">
        <v>0.94001411859380202</v>
      </c>
      <c r="L706" s="94">
        <v>0.93996243078322905</v>
      </c>
      <c r="M706" s="89">
        <f t="shared" si="42"/>
        <v>0.94001411859380202</v>
      </c>
      <c r="N706" s="89">
        <f t="shared" ref="N706:N755" si="45">M706/M$757</f>
        <v>0.90618425235597833</v>
      </c>
      <c r="O706" s="89">
        <f t="shared" si="43"/>
        <v>7.228820246714357E-2</v>
      </c>
    </row>
    <row r="707" spans="1:15" x14ac:dyDescent="0.2">
      <c r="A707" s="21" t="s">
        <v>3034</v>
      </c>
      <c r="B707" s="21" t="s">
        <v>564</v>
      </c>
      <c r="C707" s="21" t="s">
        <v>1990</v>
      </c>
      <c r="D707" s="21" t="s">
        <v>728</v>
      </c>
      <c r="E707" s="21" t="s">
        <v>729</v>
      </c>
      <c r="F707" s="21" t="s">
        <v>1628</v>
      </c>
      <c r="G707" s="21" t="s">
        <v>1629</v>
      </c>
      <c r="H707" s="21" t="s">
        <v>3055</v>
      </c>
      <c r="I707" s="21">
        <v>88</v>
      </c>
      <c r="J707" s="89">
        <f t="shared" si="44"/>
        <v>0.1981981981981982</v>
      </c>
      <c r="K707" s="94" t="e">
        <v>#N/A</v>
      </c>
      <c r="L707" s="94">
        <v>0.973677648847595</v>
      </c>
      <c r="M707" s="89">
        <f t="shared" ref="M707:M755" si="46">IF(ISNA(K707),L707,K707)</f>
        <v>0.973677648847595</v>
      </c>
      <c r="N707" s="89">
        <f t="shared" si="45"/>
        <v>0.93863627663017768</v>
      </c>
      <c r="O707" s="89">
        <f t="shared" ref="O707:O755" si="47">N707*J707</f>
        <v>0.18603601879156675</v>
      </c>
    </row>
    <row r="708" spans="1:15" x14ac:dyDescent="0.2">
      <c r="A708" s="21" t="s">
        <v>3034</v>
      </c>
      <c r="B708" s="21" t="s">
        <v>564</v>
      </c>
      <c r="C708" s="21" t="s">
        <v>1990</v>
      </c>
      <c r="D708" s="21" t="s">
        <v>1991</v>
      </c>
      <c r="E708" s="21" t="s">
        <v>1992</v>
      </c>
      <c r="F708" s="21" t="s">
        <v>1628</v>
      </c>
      <c r="G708" s="21" t="s">
        <v>1629</v>
      </c>
      <c r="H708" s="21" t="s">
        <v>3055</v>
      </c>
      <c r="I708" s="21">
        <v>96</v>
      </c>
      <c r="J708" s="89">
        <f t="shared" si="44"/>
        <v>0.21621621621621623</v>
      </c>
      <c r="K708" s="94">
        <v>0.97388426394800098</v>
      </c>
      <c r="L708" s="94">
        <v>0.973677648847595</v>
      </c>
      <c r="M708" s="89">
        <f t="shared" si="46"/>
        <v>0.97388426394800098</v>
      </c>
      <c r="N708" s="89">
        <f t="shared" si="45"/>
        <v>0.93883545592608764</v>
      </c>
      <c r="O708" s="89">
        <f t="shared" si="47"/>
        <v>0.2029914499299649</v>
      </c>
    </row>
    <row r="709" spans="1:15" x14ac:dyDescent="0.2">
      <c r="A709" s="21" t="s">
        <v>3034</v>
      </c>
      <c r="B709" s="21" t="s">
        <v>564</v>
      </c>
      <c r="C709" s="21" t="s">
        <v>1990</v>
      </c>
      <c r="D709" s="21" t="s">
        <v>1993</v>
      </c>
      <c r="E709" s="21" t="s">
        <v>1994</v>
      </c>
      <c r="F709" s="21" t="s">
        <v>1628</v>
      </c>
      <c r="G709" s="21" t="s">
        <v>1629</v>
      </c>
      <c r="H709" s="21" t="s">
        <v>3055</v>
      </c>
      <c r="I709" s="21">
        <v>97</v>
      </c>
      <c r="J709" s="89">
        <f t="shared" si="44"/>
        <v>0.21846846846846846</v>
      </c>
      <c r="K709" s="94">
        <v>0.97388426394800098</v>
      </c>
      <c r="L709" s="94">
        <v>0.973677648847595</v>
      </c>
      <c r="M709" s="89">
        <f t="shared" si="46"/>
        <v>0.97388426394800098</v>
      </c>
      <c r="N709" s="89">
        <f t="shared" si="45"/>
        <v>0.93883545592608764</v>
      </c>
      <c r="O709" s="89">
        <f t="shared" si="47"/>
        <v>0.2051059442000687</v>
      </c>
    </row>
    <row r="710" spans="1:15" x14ac:dyDescent="0.2">
      <c r="A710" s="21" t="s">
        <v>3034</v>
      </c>
      <c r="B710" s="21" t="s">
        <v>564</v>
      </c>
      <c r="C710" s="21" t="s">
        <v>1990</v>
      </c>
      <c r="D710" s="21" t="s">
        <v>1995</v>
      </c>
      <c r="E710" s="21" t="s">
        <v>1996</v>
      </c>
      <c r="F710" s="21" t="s">
        <v>1630</v>
      </c>
      <c r="G710" s="21" t="s">
        <v>1631</v>
      </c>
      <c r="H710" s="21" t="s">
        <v>3055</v>
      </c>
      <c r="I710" s="21">
        <v>13</v>
      </c>
      <c r="J710" s="89">
        <f t="shared" si="44"/>
        <v>2.9279279279279279E-2</v>
      </c>
      <c r="K710" s="94">
        <v>0.97471730776184295</v>
      </c>
      <c r="L710" s="94">
        <v>0.97461573989105199</v>
      </c>
      <c r="M710" s="89">
        <f t="shared" si="46"/>
        <v>0.97471730776184295</v>
      </c>
      <c r="N710" s="89">
        <f t="shared" si="45"/>
        <v>0.93963851959363698</v>
      </c>
      <c r="O710" s="89">
        <f t="shared" si="47"/>
        <v>2.7511938636750631E-2</v>
      </c>
    </row>
    <row r="711" spans="1:15" x14ac:dyDescent="0.2">
      <c r="A711" s="21" t="s">
        <v>3034</v>
      </c>
      <c r="B711" s="21" t="s">
        <v>564</v>
      </c>
      <c r="C711" s="21" t="s">
        <v>1990</v>
      </c>
      <c r="D711" s="21" t="s">
        <v>1997</v>
      </c>
      <c r="E711" s="21" t="s">
        <v>1998</v>
      </c>
      <c r="F711" s="21" t="s">
        <v>168</v>
      </c>
      <c r="G711" s="21" t="s">
        <v>169</v>
      </c>
      <c r="H711" s="21" t="s">
        <v>3624</v>
      </c>
      <c r="I711" s="21">
        <v>40</v>
      </c>
      <c r="J711" s="89">
        <f t="shared" si="44"/>
        <v>9.0090090090090086E-2</v>
      </c>
      <c r="K711" s="94">
        <v>0.96421430939931996</v>
      </c>
      <c r="L711" s="94">
        <v>0.96417135063020398</v>
      </c>
      <c r="M711" s="89">
        <f t="shared" si="46"/>
        <v>0.96421430939931996</v>
      </c>
      <c r="N711" s="89">
        <f t="shared" si="45"/>
        <v>0.92951351026624862</v>
      </c>
      <c r="O711" s="89">
        <f t="shared" si="47"/>
        <v>8.3739955879842218E-2</v>
      </c>
    </row>
    <row r="712" spans="1:15" x14ac:dyDescent="0.2">
      <c r="A712" s="21" t="s">
        <v>3034</v>
      </c>
      <c r="B712" s="21" t="s">
        <v>564</v>
      </c>
      <c r="C712" s="21" t="s">
        <v>1990</v>
      </c>
      <c r="D712" s="21" t="s">
        <v>1999</v>
      </c>
      <c r="E712" s="21" t="s">
        <v>2000</v>
      </c>
      <c r="F712" s="21" t="s">
        <v>2403</v>
      </c>
      <c r="G712" s="21" t="s">
        <v>2404</v>
      </c>
      <c r="H712" s="21" t="s">
        <v>3042</v>
      </c>
      <c r="I712" s="21">
        <v>43</v>
      </c>
      <c r="J712" s="89">
        <f t="shared" si="44"/>
        <v>9.6846846846846843E-2</v>
      </c>
      <c r="K712" s="94">
        <v>0.969266917465887</v>
      </c>
      <c r="L712" s="94">
        <v>0.96911645480437203</v>
      </c>
      <c r="M712" s="89">
        <f t="shared" si="46"/>
        <v>0.969266917465887</v>
      </c>
      <c r="N712" s="89">
        <f t="shared" si="45"/>
        <v>0.93438428164370324</v>
      </c>
      <c r="O712" s="89">
        <f t="shared" si="47"/>
        <v>9.0492171420448728E-2</v>
      </c>
    </row>
    <row r="713" spans="1:15" x14ac:dyDescent="0.2">
      <c r="A713" s="21" t="s">
        <v>3034</v>
      </c>
      <c r="B713" s="21" t="s">
        <v>564</v>
      </c>
      <c r="C713" s="21" t="s">
        <v>1990</v>
      </c>
      <c r="D713" s="21" t="s">
        <v>2001</v>
      </c>
      <c r="E713" s="21" t="s">
        <v>2002</v>
      </c>
      <c r="F713" s="21" t="s">
        <v>1632</v>
      </c>
      <c r="G713" s="21" t="s">
        <v>1633</v>
      </c>
      <c r="H713" s="21" t="s">
        <v>3042</v>
      </c>
      <c r="I713" s="21">
        <v>67</v>
      </c>
      <c r="J713" s="89">
        <f t="shared" si="44"/>
        <v>0.15090090090090091</v>
      </c>
      <c r="K713" s="94">
        <v>0.96606977488892598</v>
      </c>
      <c r="L713" s="94">
        <v>0.96627380453852996</v>
      </c>
      <c r="M713" s="89">
        <f t="shared" si="46"/>
        <v>0.96606977488892598</v>
      </c>
      <c r="N713" s="89">
        <f t="shared" si="45"/>
        <v>0.93130220000421371</v>
      </c>
      <c r="O713" s="89">
        <f t="shared" si="47"/>
        <v>0.14053434099162684</v>
      </c>
    </row>
    <row r="714" spans="1:15" x14ac:dyDescent="0.2">
      <c r="A714" s="21" t="s">
        <v>3069</v>
      </c>
      <c r="B714" s="21" t="s">
        <v>2333</v>
      </c>
      <c r="C714" s="21" t="s">
        <v>2334</v>
      </c>
      <c r="D714" s="21" t="s">
        <v>728</v>
      </c>
      <c r="E714" s="21" t="s">
        <v>729</v>
      </c>
      <c r="F714" s="21" t="s">
        <v>1634</v>
      </c>
      <c r="G714" s="21" t="s">
        <v>3432</v>
      </c>
      <c r="H714" s="21" t="s">
        <v>3073</v>
      </c>
      <c r="I714" s="21">
        <v>61</v>
      </c>
      <c r="J714" s="89">
        <f t="shared" si="44"/>
        <v>0.20819112627986347</v>
      </c>
      <c r="K714" s="94" t="e">
        <v>#N/A</v>
      </c>
      <c r="L714" s="94">
        <v>0.97270844154807501</v>
      </c>
      <c r="M714" s="89">
        <f t="shared" si="46"/>
        <v>0.97270844154807501</v>
      </c>
      <c r="N714" s="89">
        <f t="shared" si="45"/>
        <v>0.93770194982090882</v>
      </c>
      <c r="O714" s="89">
        <f t="shared" si="47"/>
        <v>0.19522122504803902</v>
      </c>
    </row>
    <row r="715" spans="1:15" x14ac:dyDescent="0.2">
      <c r="A715" s="21" t="s">
        <v>3069</v>
      </c>
      <c r="B715" s="21" t="s">
        <v>2333</v>
      </c>
      <c r="C715" s="21" t="s">
        <v>2334</v>
      </c>
      <c r="D715" s="21" t="s">
        <v>2003</v>
      </c>
      <c r="E715" s="21" t="s">
        <v>2004</v>
      </c>
      <c r="F715" s="21" t="s">
        <v>1635</v>
      </c>
      <c r="G715" s="21" t="s">
        <v>1636</v>
      </c>
      <c r="H715" s="21" t="s">
        <v>3071</v>
      </c>
      <c r="I715" s="21">
        <v>18</v>
      </c>
      <c r="J715" s="89">
        <f t="shared" si="44"/>
        <v>6.1433447098976107E-2</v>
      </c>
      <c r="K715" s="94">
        <v>0.95932379784456401</v>
      </c>
      <c r="L715" s="94">
        <v>0.95951601850884505</v>
      </c>
      <c r="M715" s="89">
        <f t="shared" si="46"/>
        <v>0.95932379784456401</v>
      </c>
      <c r="N715" s="89">
        <f t="shared" si="45"/>
        <v>0.92479900176129737</v>
      </c>
      <c r="O715" s="89">
        <f t="shared" si="47"/>
        <v>5.6813590551888574E-2</v>
      </c>
    </row>
    <row r="716" spans="1:15" x14ac:dyDescent="0.2">
      <c r="A716" s="21" t="s">
        <v>3069</v>
      </c>
      <c r="B716" s="21" t="s">
        <v>2333</v>
      </c>
      <c r="C716" s="21" t="s">
        <v>2334</v>
      </c>
      <c r="D716" s="21" t="s">
        <v>2005</v>
      </c>
      <c r="E716" s="21" t="s">
        <v>2006</v>
      </c>
      <c r="F716" s="21" t="s">
        <v>1634</v>
      </c>
      <c r="G716" s="21" t="s">
        <v>3432</v>
      </c>
      <c r="H716" s="21" t="s">
        <v>3073</v>
      </c>
      <c r="I716" s="21">
        <v>72</v>
      </c>
      <c r="J716" s="89">
        <f t="shared" si="44"/>
        <v>0.24573378839590443</v>
      </c>
      <c r="K716" s="94">
        <v>0.97321652260119995</v>
      </c>
      <c r="L716" s="94">
        <v>0.97270844154807501</v>
      </c>
      <c r="M716" s="89">
        <f t="shared" si="46"/>
        <v>0.97321652260119995</v>
      </c>
      <c r="N716" s="89">
        <f t="shared" si="45"/>
        <v>0.93819174570817798</v>
      </c>
      <c r="O716" s="89">
        <f t="shared" si="47"/>
        <v>0.23054541191463759</v>
      </c>
    </row>
    <row r="717" spans="1:15" x14ac:dyDescent="0.2">
      <c r="A717" s="21" t="s">
        <v>3069</v>
      </c>
      <c r="B717" s="21" t="s">
        <v>2333</v>
      </c>
      <c r="C717" s="21" t="s">
        <v>2334</v>
      </c>
      <c r="D717" s="21" t="s">
        <v>2007</v>
      </c>
      <c r="E717" s="21" t="s">
        <v>2008</v>
      </c>
      <c r="F717" s="21" t="s">
        <v>1637</v>
      </c>
      <c r="G717" s="21" t="s">
        <v>1638</v>
      </c>
      <c r="H717" s="21" t="s">
        <v>3073</v>
      </c>
      <c r="I717" s="21">
        <v>11</v>
      </c>
      <c r="J717" s="89">
        <f t="shared" si="44"/>
        <v>3.7542662116040959E-2</v>
      </c>
      <c r="K717" s="94">
        <v>0.97213808940365598</v>
      </c>
      <c r="L717" s="94">
        <v>0.97230584560786704</v>
      </c>
      <c r="M717" s="89">
        <f t="shared" si="46"/>
        <v>0.97213808940365598</v>
      </c>
      <c r="N717" s="89">
        <f t="shared" si="45"/>
        <v>0.93715212389665226</v>
      </c>
      <c r="O717" s="89">
        <f t="shared" si="47"/>
        <v>3.518318553878217E-2</v>
      </c>
    </row>
    <row r="718" spans="1:15" x14ac:dyDescent="0.2">
      <c r="A718" s="21" t="s">
        <v>3069</v>
      </c>
      <c r="B718" s="21" t="s">
        <v>2333</v>
      </c>
      <c r="C718" s="21" t="s">
        <v>2334</v>
      </c>
      <c r="D718" s="21" t="s">
        <v>2009</v>
      </c>
      <c r="E718" s="21" t="s">
        <v>2010</v>
      </c>
      <c r="F718" s="21" t="s">
        <v>932</v>
      </c>
      <c r="G718" s="21" t="s">
        <v>933</v>
      </c>
      <c r="H718" s="21" t="s">
        <v>3071</v>
      </c>
      <c r="I718" s="21">
        <v>56</v>
      </c>
      <c r="J718" s="89">
        <f t="shared" si="44"/>
        <v>0.19112627986348124</v>
      </c>
      <c r="K718" s="94">
        <v>0.95756082531847098</v>
      </c>
      <c r="L718" s="94">
        <v>0.95856341933870703</v>
      </c>
      <c r="M718" s="89">
        <f t="shared" si="46"/>
        <v>0.95756082531847098</v>
      </c>
      <c r="N718" s="89">
        <f t="shared" si="45"/>
        <v>0.92309947628728461</v>
      </c>
      <c r="O718" s="89">
        <f t="shared" si="47"/>
        <v>0.17642856884671654</v>
      </c>
    </row>
    <row r="719" spans="1:15" x14ac:dyDescent="0.2">
      <c r="A719" s="21" t="s">
        <v>3069</v>
      </c>
      <c r="B719" s="21" t="s">
        <v>2333</v>
      </c>
      <c r="C719" s="21" t="s">
        <v>2334</v>
      </c>
      <c r="D719" s="21" t="s">
        <v>2011</v>
      </c>
      <c r="E719" s="21" t="s">
        <v>2012</v>
      </c>
      <c r="F719" s="21" t="s">
        <v>3431</v>
      </c>
      <c r="G719" s="21" t="s">
        <v>3432</v>
      </c>
      <c r="H719" s="21" t="s">
        <v>3073</v>
      </c>
      <c r="I719" s="21">
        <v>75</v>
      </c>
      <c r="J719" s="89">
        <f t="shared" si="44"/>
        <v>0.25597269624573377</v>
      </c>
      <c r="K719" s="94">
        <v>0.97382844559775705</v>
      </c>
      <c r="L719" s="94">
        <v>0.97270844154807501</v>
      </c>
      <c r="M719" s="89">
        <f t="shared" si="46"/>
        <v>0.97382844559775705</v>
      </c>
      <c r="N719" s="89">
        <f t="shared" si="45"/>
        <v>0.93878164640452511</v>
      </c>
      <c r="O719" s="89">
        <f t="shared" si="47"/>
        <v>0.24030246921617535</v>
      </c>
    </row>
    <row r="720" spans="1:15" x14ac:dyDescent="0.2">
      <c r="A720" s="21" t="s">
        <v>2975</v>
      </c>
      <c r="B720" s="21" t="s">
        <v>2379</v>
      </c>
      <c r="C720" s="21" t="s">
        <v>2380</v>
      </c>
      <c r="D720" s="21" t="s">
        <v>728</v>
      </c>
      <c r="E720" s="21" t="s">
        <v>729</v>
      </c>
      <c r="F720" s="21" t="s">
        <v>1639</v>
      </c>
      <c r="G720" s="21" t="s">
        <v>1640</v>
      </c>
      <c r="H720" s="21" t="s">
        <v>3000</v>
      </c>
      <c r="I720" s="21">
        <v>26</v>
      </c>
      <c r="J720" s="89">
        <f t="shared" si="44"/>
        <v>4.0372670807453416E-2</v>
      </c>
      <c r="K720" s="94" t="e">
        <v>#N/A</v>
      </c>
      <c r="L720" s="94">
        <v>0.99590797328721203</v>
      </c>
      <c r="M720" s="89">
        <f t="shared" si="46"/>
        <v>0.99590797328721203</v>
      </c>
      <c r="N720" s="89">
        <f t="shared" si="45"/>
        <v>0.96006656106258648</v>
      </c>
      <c r="O720" s="89">
        <f t="shared" si="47"/>
        <v>3.8760451223023677E-2</v>
      </c>
    </row>
    <row r="721" spans="1:15" x14ac:dyDescent="0.2">
      <c r="A721" s="21" t="s">
        <v>2975</v>
      </c>
      <c r="B721" s="21" t="s">
        <v>2379</v>
      </c>
      <c r="C721" s="21" t="s">
        <v>2380</v>
      </c>
      <c r="D721" s="21" t="s">
        <v>2013</v>
      </c>
      <c r="E721" s="21" t="s">
        <v>2014</v>
      </c>
      <c r="F721" s="21" t="s">
        <v>1639</v>
      </c>
      <c r="G721" s="21" t="s">
        <v>1640</v>
      </c>
      <c r="H721" s="21" t="s">
        <v>3000</v>
      </c>
      <c r="I721" s="21">
        <v>247</v>
      </c>
      <c r="J721" s="89">
        <f t="shared" si="44"/>
        <v>0.38354037267080743</v>
      </c>
      <c r="K721" s="94">
        <v>0.99554376653038601</v>
      </c>
      <c r="L721" s="94">
        <v>0.99590797328721203</v>
      </c>
      <c r="M721" s="89">
        <f t="shared" si="46"/>
        <v>0.99554376653038601</v>
      </c>
      <c r="N721" s="89">
        <f t="shared" si="45"/>
        <v>0.95971546162577048</v>
      </c>
      <c r="O721" s="89">
        <f t="shared" si="47"/>
        <v>0.36808962580988397</v>
      </c>
    </row>
    <row r="722" spans="1:15" x14ac:dyDescent="0.2">
      <c r="A722" s="21" t="s">
        <v>2975</v>
      </c>
      <c r="B722" s="21" t="s">
        <v>2379</v>
      </c>
      <c r="C722" s="21" t="s">
        <v>2380</v>
      </c>
      <c r="D722" s="21" t="s">
        <v>2015</v>
      </c>
      <c r="E722" s="21" t="s">
        <v>2016</v>
      </c>
      <c r="F722" s="21" t="s">
        <v>1641</v>
      </c>
      <c r="G722" s="21" t="s">
        <v>1642</v>
      </c>
      <c r="H722" s="21" t="s">
        <v>3017</v>
      </c>
      <c r="I722" s="21">
        <v>46</v>
      </c>
      <c r="J722" s="89">
        <f t="shared" si="44"/>
        <v>7.1428571428571425E-2</v>
      </c>
      <c r="K722" s="94">
        <v>0.99190652458272099</v>
      </c>
      <c r="L722" s="94">
        <v>0.99264627400466099</v>
      </c>
      <c r="M722" s="89">
        <f t="shared" si="46"/>
        <v>0.99190652458272099</v>
      </c>
      <c r="N722" s="89">
        <f t="shared" si="45"/>
        <v>0.95620911921049567</v>
      </c>
      <c r="O722" s="89">
        <f t="shared" si="47"/>
        <v>6.8300651372178264E-2</v>
      </c>
    </row>
    <row r="723" spans="1:15" x14ac:dyDescent="0.2">
      <c r="A723" s="21" t="s">
        <v>2975</v>
      </c>
      <c r="B723" s="21" t="s">
        <v>2379</v>
      </c>
      <c r="C723" s="21" t="s">
        <v>2380</v>
      </c>
      <c r="D723" s="21" t="s">
        <v>2017</v>
      </c>
      <c r="E723" s="21" t="s">
        <v>2018</v>
      </c>
      <c r="F723" s="21" t="s">
        <v>3230</v>
      </c>
      <c r="G723" s="21" t="s">
        <v>3231</v>
      </c>
      <c r="H723" s="21" t="s">
        <v>3017</v>
      </c>
      <c r="I723" s="21">
        <v>77</v>
      </c>
      <c r="J723" s="89">
        <f t="shared" si="44"/>
        <v>0.11956521739130435</v>
      </c>
      <c r="K723" s="94">
        <v>1.00098278375891</v>
      </c>
      <c r="L723" s="94">
        <v>1.0007566798448899</v>
      </c>
      <c r="M723" s="89">
        <f t="shared" si="46"/>
        <v>1.00098278375891</v>
      </c>
      <c r="N723" s="89">
        <f t="shared" si="45"/>
        <v>0.96495873580994374</v>
      </c>
      <c r="O723" s="89">
        <f t="shared" si="47"/>
        <v>0.11537550102075414</v>
      </c>
    </row>
    <row r="724" spans="1:15" x14ac:dyDescent="0.2">
      <c r="A724" s="21" t="s">
        <v>2975</v>
      </c>
      <c r="B724" s="21" t="s">
        <v>2379</v>
      </c>
      <c r="C724" s="21" t="s">
        <v>2380</v>
      </c>
      <c r="D724" s="21" t="s">
        <v>2019</v>
      </c>
      <c r="E724" s="21" t="s">
        <v>2020</v>
      </c>
      <c r="F724" s="21" t="s">
        <v>3230</v>
      </c>
      <c r="G724" s="21" t="s">
        <v>3231</v>
      </c>
      <c r="H724" s="21" t="s">
        <v>3017</v>
      </c>
      <c r="I724" s="21">
        <v>35</v>
      </c>
      <c r="J724" s="89">
        <f t="shared" si="44"/>
        <v>5.434782608695652E-2</v>
      </c>
      <c r="K724" s="94">
        <v>1.00098278375891</v>
      </c>
      <c r="L724" s="94">
        <v>1.0007566798448899</v>
      </c>
      <c r="M724" s="89">
        <f t="shared" si="46"/>
        <v>1.00098278375891</v>
      </c>
      <c r="N724" s="89">
        <f t="shared" si="45"/>
        <v>0.96495873580994374</v>
      </c>
      <c r="O724" s="89">
        <f t="shared" si="47"/>
        <v>5.2443409554888243E-2</v>
      </c>
    </row>
    <row r="725" spans="1:15" x14ac:dyDescent="0.2">
      <c r="A725" s="21" t="s">
        <v>2975</v>
      </c>
      <c r="B725" s="21" t="s">
        <v>2379</v>
      </c>
      <c r="C725" s="21" t="s">
        <v>2380</v>
      </c>
      <c r="D725" s="21" t="s">
        <v>2021</v>
      </c>
      <c r="E725" s="21" t="s">
        <v>2022</v>
      </c>
      <c r="F725" s="21" t="s">
        <v>3234</v>
      </c>
      <c r="G725" s="21" t="s">
        <v>3235</v>
      </c>
      <c r="H725" s="21" t="s">
        <v>3010</v>
      </c>
      <c r="I725" s="21">
        <v>132</v>
      </c>
      <c r="J725" s="89">
        <f t="shared" si="44"/>
        <v>0.20496894409937888</v>
      </c>
      <c r="K725" s="94">
        <v>0.98828021114362896</v>
      </c>
      <c r="L725" s="94">
        <v>0.98916581251294</v>
      </c>
      <c r="M725" s="89">
        <f t="shared" si="46"/>
        <v>0.98828021114362896</v>
      </c>
      <c r="N725" s="89">
        <f t="shared" si="45"/>
        <v>0.95271331200120835</v>
      </c>
      <c r="O725" s="89">
        <f t="shared" si="47"/>
        <v>0.19527664159030977</v>
      </c>
    </row>
    <row r="726" spans="1:15" x14ac:dyDescent="0.2">
      <c r="A726" s="21" t="s">
        <v>2975</v>
      </c>
      <c r="B726" s="21" t="s">
        <v>2379</v>
      </c>
      <c r="C726" s="21" t="s">
        <v>2380</v>
      </c>
      <c r="D726" s="21" t="s">
        <v>2023</v>
      </c>
      <c r="E726" s="21" t="s">
        <v>2024</v>
      </c>
      <c r="F726" s="21" t="s">
        <v>3232</v>
      </c>
      <c r="G726" s="21" t="s">
        <v>3233</v>
      </c>
      <c r="H726" s="21" t="s">
        <v>3027</v>
      </c>
      <c r="I726" s="21">
        <v>81</v>
      </c>
      <c r="J726" s="89">
        <f t="shared" si="44"/>
        <v>0.12577639751552794</v>
      </c>
      <c r="K726" s="94">
        <v>1.0015409924271199</v>
      </c>
      <c r="L726" s="94">
        <v>1.0018183185015099</v>
      </c>
      <c r="M726" s="89">
        <f t="shared" si="46"/>
        <v>1.0015409924271199</v>
      </c>
      <c r="N726" s="89">
        <f t="shared" si="45"/>
        <v>0.96549685528565665</v>
      </c>
      <c r="O726" s="89">
        <f t="shared" si="47"/>
        <v>0.1214367162704009</v>
      </c>
    </row>
    <row r="727" spans="1:15" x14ac:dyDescent="0.2">
      <c r="A727" s="21" t="s">
        <v>2133</v>
      </c>
      <c r="B727" s="21" t="s">
        <v>7</v>
      </c>
      <c r="C727" s="21" t="s">
        <v>8</v>
      </c>
      <c r="D727" s="21" t="s">
        <v>728</v>
      </c>
      <c r="E727" s="21" t="s">
        <v>729</v>
      </c>
      <c r="F727" s="21" t="s">
        <v>1643</v>
      </c>
      <c r="G727" s="21" t="s">
        <v>1036</v>
      </c>
      <c r="H727" s="21" t="s">
        <v>2142</v>
      </c>
      <c r="I727" s="21">
        <v>188</v>
      </c>
      <c r="J727" s="89">
        <f t="shared" si="44"/>
        <v>0.3715415019762846</v>
      </c>
      <c r="K727" s="94" t="e">
        <v>#N/A</v>
      </c>
      <c r="L727" s="94">
        <v>1.0000062423813201</v>
      </c>
      <c r="M727" s="89">
        <f t="shared" si="46"/>
        <v>1.0000062423813201</v>
      </c>
      <c r="N727" s="89">
        <f t="shared" si="45"/>
        <v>0.9640173388663853</v>
      </c>
      <c r="O727" s="89">
        <f t="shared" si="47"/>
        <v>0.35817245001359771</v>
      </c>
    </row>
    <row r="728" spans="1:15" x14ac:dyDescent="0.2">
      <c r="A728" s="21" t="s">
        <v>2133</v>
      </c>
      <c r="B728" s="21" t="s">
        <v>7</v>
      </c>
      <c r="C728" s="21" t="s">
        <v>8</v>
      </c>
      <c r="D728" s="21" t="s">
        <v>2025</v>
      </c>
      <c r="E728" s="21" t="s">
        <v>2026</v>
      </c>
      <c r="F728" s="21" t="s">
        <v>1644</v>
      </c>
      <c r="G728" s="21" t="s">
        <v>1645</v>
      </c>
      <c r="H728" s="21" t="s">
        <v>2146</v>
      </c>
      <c r="I728" s="21">
        <v>48</v>
      </c>
      <c r="J728" s="89">
        <f t="shared" si="44"/>
        <v>9.4861660079051377E-2</v>
      </c>
      <c r="K728" s="94">
        <v>0.99265949361211703</v>
      </c>
      <c r="L728" s="94">
        <v>0.99303594770418402</v>
      </c>
      <c r="M728" s="89">
        <f t="shared" si="46"/>
        <v>0.99265949361211703</v>
      </c>
      <c r="N728" s="89">
        <f t="shared" si="45"/>
        <v>0.95693498987930126</v>
      </c>
      <c r="O728" s="89">
        <f t="shared" si="47"/>
        <v>9.0776441727680748E-2</v>
      </c>
    </row>
    <row r="729" spans="1:15" x14ac:dyDescent="0.2">
      <c r="A729" s="21" t="s">
        <v>2133</v>
      </c>
      <c r="B729" s="21" t="s">
        <v>7</v>
      </c>
      <c r="C729" s="21" t="s">
        <v>8</v>
      </c>
      <c r="D729" s="21" t="s">
        <v>2027</v>
      </c>
      <c r="E729" s="21" t="s">
        <v>2028</v>
      </c>
      <c r="F729" s="21" t="s">
        <v>1643</v>
      </c>
      <c r="G729" s="21" t="s">
        <v>1036</v>
      </c>
      <c r="H729" s="21" t="s">
        <v>2142</v>
      </c>
      <c r="I729" s="21">
        <v>130</v>
      </c>
      <c r="J729" s="89">
        <f t="shared" si="44"/>
        <v>0.25691699604743085</v>
      </c>
      <c r="K729" s="94">
        <v>1.0004290545009999</v>
      </c>
      <c r="L729" s="94">
        <v>1.0000062423813201</v>
      </c>
      <c r="M729" s="89">
        <f t="shared" si="46"/>
        <v>1.0004290545009999</v>
      </c>
      <c r="N729" s="89">
        <f t="shared" si="45"/>
        <v>0.96442493453647193</v>
      </c>
      <c r="O729" s="89">
        <f t="shared" si="47"/>
        <v>0.24777715709435053</v>
      </c>
    </row>
    <row r="730" spans="1:15" x14ac:dyDescent="0.2">
      <c r="A730" s="21" t="s">
        <v>2133</v>
      </c>
      <c r="B730" s="21" t="s">
        <v>7</v>
      </c>
      <c r="C730" s="21" t="s">
        <v>8</v>
      </c>
      <c r="D730" s="21" t="s">
        <v>2029</v>
      </c>
      <c r="E730" s="21" t="s">
        <v>2030</v>
      </c>
      <c r="F730" s="21" t="s">
        <v>1646</v>
      </c>
      <c r="G730" s="21" t="s">
        <v>998</v>
      </c>
      <c r="H730" s="21" t="s">
        <v>2146</v>
      </c>
      <c r="I730" s="21">
        <v>48</v>
      </c>
      <c r="J730" s="89">
        <f t="shared" si="44"/>
        <v>9.4861660079051377E-2</v>
      </c>
      <c r="K730" s="94">
        <v>1.0001502205541599</v>
      </c>
      <c r="L730" s="94">
        <v>1.0005159876101599</v>
      </c>
      <c r="M730" s="89">
        <f t="shared" si="46"/>
        <v>1.0001502205541599</v>
      </c>
      <c r="N730" s="89">
        <f t="shared" si="45"/>
        <v>0.96415613545500001</v>
      </c>
      <c r="O730" s="89">
        <f t="shared" si="47"/>
        <v>9.1461451584664025E-2</v>
      </c>
    </row>
    <row r="731" spans="1:15" x14ac:dyDescent="0.2">
      <c r="A731" s="21" t="s">
        <v>2133</v>
      </c>
      <c r="B731" s="21" t="s">
        <v>7</v>
      </c>
      <c r="C731" s="21" t="s">
        <v>8</v>
      </c>
      <c r="D731" s="21" t="s">
        <v>2031</v>
      </c>
      <c r="E731" s="21" t="s">
        <v>2032</v>
      </c>
      <c r="F731" s="21" t="s">
        <v>1647</v>
      </c>
      <c r="G731" s="21" t="s">
        <v>1648</v>
      </c>
      <c r="H731" s="21" t="s">
        <v>1401</v>
      </c>
      <c r="I731" s="21">
        <v>92</v>
      </c>
      <c r="J731" s="89">
        <f t="shared" si="44"/>
        <v>0.18181818181818182</v>
      </c>
      <c r="K731" s="94">
        <v>0.99144902044432404</v>
      </c>
      <c r="L731" s="94">
        <v>0.99128420410426599</v>
      </c>
      <c r="M731" s="89">
        <f t="shared" si="46"/>
        <v>0.99144902044432404</v>
      </c>
      <c r="N731" s="89">
        <f t="shared" si="45"/>
        <v>0.95576808004161251</v>
      </c>
      <c r="O731" s="89">
        <f t="shared" si="47"/>
        <v>0.17377601455302047</v>
      </c>
    </row>
    <row r="732" spans="1:15" x14ac:dyDescent="0.2">
      <c r="A732" s="21" t="s">
        <v>2133</v>
      </c>
      <c r="B732" s="21" t="s">
        <v>2343</v>
      </c>
      <c r="C732" s="21" t="s">
        <v>2344</v>
      </c>
      <c r="D732" s="21" t="s">
        <v>2033</v>
      </c>
      <c r="E732" s="21" t="s">
        <v>2034</v>
      </c>
      <c r="F732" s="21" t="s">
        <v>1649</v>
      </c>
      <c r="G732" s="21" t="s">
        <v>1650</v>
      </c>
      <c r="H732" s="21" t="s">
        <v>1122</v>
      </c>
      <c r="I732" s="21">
        <v>40</v>
      </c>
      <c r="J732" s="89">
        <f t="shared" si="44"/>
        <v>0.17316017316017315</v>
      </c>
      <c r="K732" s="94">
        <v>0.96764108183056297</v>
      </c>
      <c r="L732" s="94">
        <v>0.96741470571482402</v>
      </c>
      <c r="M732" s="89">
        <f t="shared" si="46"/>
        <v>0.96764108183056297</v>
      </c>
      <c r="N732" s="89">
        <f t="shared" si="45"/>
        <v>0.93281695768493778</v>
      </c>
      <c r="O732" s="89">
        <f t="shared" si="47"/>
        <v>0.16152674591946975</v>
      </c>
    </row>
    <row r="733" spans="1:15" x14ac:dyDescent="0.2">
      <c r="A733" s="21" t="s">
        <v>2133</v>
      </c>
      <c r="B733" s="21" t="s">
        <v>2343</v>
      </c>
      <c r="C733" s="21" t="s">
        <v>2344</v>
      </c>
      <c r="D733" s="21" t="s">
        <v>2035</v>
      </c>
      <c r="E733" s="21" t="s">
        <v>2036</v>
      </c>
      <c r="F733" s="21" t="s">
        <v>1651</v>
      </c>
      <c r="G733" s="21" t="s">
        <v>1067</v>
      </c>
      <c r="H733" s="21" t="s">
        <v>1122</v>
      </c>
      <c r="I733" s="21">
        <v>78</v>
      </c>
      <c r="J733" s="89">
        <f t="shared" si="44"/>
        <v>0.33766233766233766</v>
      </c>
      <c r="K733" s="94">
        <v>0.96830521483540999</v>
      </c>
      <c r="L733" s="94">
        <v>0.96865615696456797</v>
      </c>
      <c r="M733" s="89">
        <f t="shared" si="46"/>
        <v>0.96830521483540999</v>
      </c>
      <c r="N733" s="89">
        <f t="shared" si="45"/>
        <v>0.93345718942035316</v>
      </c>
      <c r="O733" s="89">
        <f t="shared" si="47"/>
        <v>0.31519333668739197</v>
      </c>
    </row>
    <row r="734" spans="1:15" x14ac:dyDescent="0.2">
      <c r="A734" s="21" t="s">
        <v>2133</v>
      </c>
      <c r="B734" s="21" t="s">
        <v>2343</v>
      </c>
      <c r="C734" s="21" t="s">
        <v>2344</v>
      </c>
      <c r="D734" s="21" t="s">
        <v>2037</v>
      </c>
      <c r="E734" s="21" t="s">
        <v>2038</v>
      </c>
      <c r="F734" s="21" t="s">
        <v>1652</v>
      </c>
      <c r="G734" s="21" t="s">
        <v>3249</v>
      </c>
      <c r="H734" s="21" t="s">
        <v>2144</v>
      </c>
      <c r="I734" s="21">
        <v>113</v>
      </c>
      <c r="J734" s="89">
        <f t="shared" si="44"/>
        <v>0.48917748917748916</v>
      </c>
      <c r="K734" s="94">
        <v>0.96576050034317396</v>
      </c>
      <c r="L734" s="94">
        <v>0.96619073187346305</v>
      </c>
      <c r="M734" s="89">
        <f t="shared" si="46"/>
        <v>0.96576050034317396</v>
      </c>
      <c r="N734" s="89">
        <f t="shared" si="45"/>
        <v>0.93100405584076829</v>
      </c>
      <c r="O734" s="89">
        <f t="shared" si="47"/>
        <v>0.45542622645024594</v>
      </c>
    </row>
    <row r="735" spans="1:15" x14ac:dyDescent="0.2">
      <c r="A735" s="21" t="s">
        <v>3034</v>
      </c>
      <c r="B735" s="21" t="s">
        <v>2287</v>
      </c>
      <c r="C735" s="21" t="s">
        <v>2288</v>
      </c>
      <c r="D735" s="21" t="s">
        <v>728</v>
      </c>
      <c r="E735" s="21" t="s">
        <v>729</v>
      </c>
      <c r="F735" s="21" t="s">
        <v>1653</v>
      </c>
      <c r="G735" s="21" t="s">
        <v>1654</v>
      </c>
      <c r="H735" s="21" t="s">
        <v>3036</v>
      </c>
      <c r="I735" s="21">
        <v>149</v>
      </c>
      <c r="J735" s="89">
        <f t="shared" si="44"/>
        <v>0.34490740740740738</v>
      </c>
      <c r="K735" s="94" t="e">
        <v>#N/A</v>
      </c>
      <c r="L735" s="94">
        <v>0.96597889113963598</v>
      </c>
      <c r="M735" s="89">
        <f t="shared" si="46"/>
        <v>0.96597889113963598</v>
      </c>
      <c r="N735" s="89">
        <f t="shared" si="45"/>
        <v>0.93121458704099047</v>
      </c>
      <c r="O735" s="89">
        <f t="shared" si="47"/>
        <v>0.32118280895626755</v>
      </c>
    </row>
    <row r="736" spans="1:15" x14ac:dyDescent="0.2">
      <c r="A736" s="21" t="s">
        <v>3034</v>
      </c>
      <c r="B736" s="21" t="s">
        <v>2287</v>
      </c>
      <c r="C736" s="21" t="s">
        <v>2288</v>
      </c>
      <c r="D736" s="21" t="s">
        <v>2039</v>
      </c>
      <c r="E736" s="21" t="s">
        <v>2040</v>
      </c>
      <c r="F736" s="21" t="s">
        <v>1655</v>
      </c>
      <c r="G736" s="21" t="s">
        <v>1656</v>
      </c>
      <c r="H736" s="21" t="s">
        <v>3036</v>
      </c>
      <c r="I736" s="21">
        <v>20</v>
      </c>
      <c r="J736" s="89">
        <f t="shared" si="44"/>
        <v>4.6296296296296294E-2</v>
      </c>
      <c r="K736" s="94" t="e">
        <v>#N/A</v>
      </c>
      <c r="L736" s="94">
        <v>0.96973432408980897</v>
      </c>
      <c r="M736" s="89">
        <f t="shared" si="46"/>
        <v>0.96973432408980897</v>
      </c>
      <c r="N736" s="89">
        <f t="shared" si="45"/>
        <v>0.9348348669207398</v>
      </c>
      <c r="O736" s="89">
        <f t="shared" si="47"/>
        <v>4.3279391987071286E-2</v>
      </c>
    </row>
    <row r="737" spans="1:15" x14ac:dyDescent="0.2">
      <c r="A737" s="21" t="s">
        <v>3034</v>
      </c>
      <c r="B737" s="21" t="s">
        <v>2287</v>
      </c>
      <c r="C737" s="21" t="s">
        <v>2288</v>
      </c>
      <c r="D737" s="21" t="s">
        <v>2041</v>
      </c>
      <c r="E737" s="21" t="s">
        <v>2042</v>
      </c>
      <c r="F737" s="21" t="s">
        <v>1657</v>
      </c>
      <c r="G737" s="21" t="s">
        <v>2098</v>
      </c>
      <c r="H737" s="21" t="s">
        <v>3036</v>
      </c>
      <c r="I737" s="21">
        <v>18</v>
      </c>
      <c r="J737" s="89">
        <f t="shared" si="44"/>
        <v>4.1666666666666664E-2</v>
      </c>
      <c r="K737" s="94" t="e">
        <v>#N/A</v>
      </c>
      <c r="L737" s="94">
        <v>0.96409102694232796</v>
      </c>
      <c r="M737" s="89">
        <f t="shared" si="46"/>
        <v>0.96409102694232796</v>
      </c>
      <c r="N737" s="89">
        <f t="shared" si="45"/>
        <v>0.92939466458201037</v>
      </c>
      <c r="O737" s="89">
        <f t="shared" si="47"/>
        <v>3.8724777690917096E-2</v>
      </c>
    </row>
    <row r="738" spans="1:15" x14ac:dyDescent="0.2">
      <c r="A738" s="21" t="s">
        <v>3034</v>
      </c>
      <c r="B738" s="21" t="s">
        <v>2287</v>
      </c>
      <c r="C738" s="21" t="s">
        <v>2288</v>
      </c>
      <c r="D738" s="21" t="s">
        <v>2043</v>
      </c>
      <c r="E738" s="21" t="s">
        <v>2044</v>
      </c>
      <c r="F738" s="21" t="s">
        <v>1658</v>
      </c>
      <c r="G738" s="21" t="s">
        <v>2098</v>
      </c>
      <c r="H738" s="21" t="s">
        <v>3036</v>
      </c>
      <c r="I738" s="21">
        <v>171</v>
      </c>
      <c r="J738" s="89">
        <f t="shared" si="44"/>
        <v>0.39583333333333331</v>
      </c>
      <c r="K738" s="94" t="e">
        <v>#N/A</v>
      </c>
      <c r="L738" s="94">
        <v>0.96409102694232796</v>
      </c>
      <c r="M738" s="89">
        <f t="shared" si="46"/>
        <v>0.96409102694232796</v>
      </c>
      <c r="N738" s="89">
        <f t="shared" si="45"/>
        <v>0.92939466458201037</v>
      </c>
      <c r="O738" s="89">
        <f t="shared" si="47"/>
        <v>0.3678853880637124</v>
      </c>
    </row>
    <row r="739" spans="1:15" x14ac:dyDescent="0.2">
      <c r="A739" s="21" t="s">
        <v>3034</v>
      </c>
      <c r="B739" s="21" t="s">
        <v>2287</v>
      </c>
      <c r="C739" s="21" t="s">
        <v>2288</v>
      </c>
      <c r="D739" s="21" t="s">
        <v>2045</v>
      </c>
      <c r="E739" s="21" t="s">
        <v>2046</v>
      </c>
      <c r="F739" s="21" t="s">
        <v>1659</v>
      </c>
      <c r="G739" s="21" t="s">
        <v>876</v>
      </c>
      <c r="H739" s="21" t="s">
        <v>3036</v>
      </c>
      <c r="I739" s="21">
        <v>74</v>
      </c>
      <c r="J739" s="89">
        <f t="shared" si="44"/>
        <v>0.17129629629629631</v>
      </c>
      <c r="K739" s="94" t="e">
        <v>#N/A</v>
      </c>
      <c r="L739" s="94">
        <v>0.96444561281166996</v>
      </c>
      <c r="M739" s="89">
        <f t="shared" si="46"/>
        <v>0.96444561281166996</v>
      </c>
      <c r="N739" s="89">
        <f t="shared" si="45"/>
        <v>0.92973648937437237</v>
      </c>
      <c r="O739" s="89">
        <f t="shared" si="47"/>
        <v>0.15926041716135084</v>
      </c>
    </row>
    <row r="740" spans="1:15" x14ac:dyDescent="0.2">
      <c r="A740" s="21" t="s">
        <v>2975</v>
      </c>
      <c r="B740" s="21" t="s">
        <v>383</v>
      </c>
      <c r="C740" s="21" t="s">
        <v>384</v>
      </c>
      <c r="D740" s="21" t="s">
        <v>2047</v>
      </c>
      <c r="E740" s="21" t="s">
        <v>2048</v>
      </c>
      <c r="F740" s="21" t="s">
        <v>109</v>
      </c>
      <c r="G740" s="21" t="s">
        <v>110</v>
      </c>
      <c r="H740" s="21" t="s">
        <v>2986</v>
      </c>
      <c r="I740" s="21">
        <v>94</v>
      </c>
      <c r="J740" s="89">
        <f t="shared" si="44"/>
        <v>0.38211382113821141</v>
      </c>
      <c r="K740" s="94" t="e">
        <v>#N/A</v>
      </c>
      <c r="L740" s="94">
        <v>1.0039396833599299</v>
      </c>
      <c r="M740" s="89">
        <f t="shared" si="46"/>
        <v>1.0039396833599299</v>
      </c>
      <c r="N740" s="89">
        <f t="shared" si="45"/>
        <v>0.96780922050080165</v>
      </c>
      <c r="O740" s="89">
        <f t="shared" si="47"/>
        <v>0.36981327937835512</v>
      </c>
    </row>
    <row r="741" spans="1:15" x14ac:dyDescent="0.2">
      <c r="A741" s="21" t="s">
        <v>2975</v>
      </c>
      <c r="B741" s="21" t="s">
        <v>383</v>
      </c>
      <c r="C741" s="21" t="s">
        <v>384</v>
      </c>
      <c r="D741" s="21" t="s">
        <v>2049</v>
      </c>
      <c r="E741" s="21" t="s">
        <v>2050</v>
      </c>
      <c r="F741" s="21" t="s">
        <v>3228</v>
      </c>
      <c r="G741" s="21" t="s">
        <v>3229</v>
      </c>
      <c r="H741" s="21" t="s">
        <v>2986</v>
      </c>
      <c r="I741" s="21">
        <v>72</v>
      </c>
      <c r="J741" s="89">
        <f t="shared" si="44"/>
        <v>0.29268292682926828</v>
      </c>
      <c r="K741" s="94" t="e">
        <v>#N/A</v>
      </c>
      <c r="L741" s="94">
        <v>1.0044928863887199</v>
      </c>
      <c r="M741" s="89">
        <f t="shared" si="46"/>
        <v>1.0044928863887199</v>
      </c>
      <c r="N741" s="89">
        <f t="shared" si="45"/>
        <v>0.96834251448344422</v>
      </c>
      <c r="O741" s="89">
        <f t="shared" si="47"/>
        <v>0.28341732131222758</v>
      </c>
    </row>
    <row r="742" spans="1:15" x14ac:dyDescent="0.2">
      <c r="A742" s="21" t="s">
        <v>2975</v>
      </c>
      <c r="B742" s="21" t="s">
        <v>383</v>
      </c>
      <c r="C742" s="21" t="s">
        <v>384</v>
      </c>
      <c r="D742" s="21" t="s">
        <v>2051</v>
      </c>
      <c r="E742" s="21" t="s">
        <v>2052</v>
      </c>
      <c r="F742" s="21" t="s">
        <v>119</v>
      </c>
      <c r="G742" s="21" t="s">
        <v>120</v>
      </c>
      <c r="H742" s="21" t="s">
        <v>2986</v>
      </c>
      <c r="I742" s="21">
        <v>80</v>
      </c>
      <c r="J742" s="89">
        <f t="shared" si="44"/>
        <v>0.32520325203252032</v>
      </c>
      <c r="K742" s="94" t="e">
        <v>#N/A</v>
      </c>
      <c r="L742" s="94">
        <v>0.99861330860854403</v>
      </c>
      <c r="M742" s="89">
        <f t="shared" si="46"/>
        <v>0.99861330860854403</v>
      </c>
      <c r="N742" s="89">
        <f t="shared" si="45"/>
        <v>0.96267453493983079</v>
      </c>
      <c r="O742" s="89">
        <f t="shared" si="47"/>
        <v>0.3130648894113271</v>
      </c>
    </row>
    <row r="743" spans="1:15" x14ac:dyDescent="0.2">
      <c r="A743" s="21" t="s">
        <v>1167</v>
      </c>
      <c r="B743" s="21" t="s">
        <v>2308</v>
      </c>
      <c r="C743" s="21" t="s">
        <v>2053</v>
      </c>
      <c r="D743" s="21" t="s">
        <v>728</v>
      </c>
      <c r="E743" s="21" t="s">
        <v>729</v>
      </c>
      <c r="F743" s="21" t="s">
        <v>1660</v>
      </c>
      <c r="G743" s="21" t="s">
        <v>1661</v>
      </c>
      <c r="H743" s="21" t="s">
        <v>3436</v>
      </c>
      <c r="I743" s="21">
        <v>249</v>
      </c>
      <c r="J743" s="89">
        <f t="shared" si="44"/>
        <v>0.58588235294117652</v>
      </c>
      <c r="K743" s="94" t="e">
        <v>#N/A</v>
      </c>
      <c r="L743" s="94">
        <v>1.24192299481873</v>
      </c>
      <c r="M743" s="89">
        <f t="shared" si="46"/>
        <v>1.24192299481873</v>
      </c>
      <c r="N743" s="89">
        <f t="shared" si="45"/>
        <v>1.1972278269895007</v>
      </c>
      <c r="O743" s="89">
        <f t="shared" si="47"/>
        <v>0.70143465628326052</v>
      </c>
    </row>
    <row r="744" spans="1:15" x14ac:dyDescent="0.2">
      <c r="A744" s="21" t="s">
        <v>1167</v>
      </c>
      <c r="B744" s="21" t="s">
        <v>2308</v>
      </c>
      <c r="C744" s="21" t="s">
        <v>2053</v>
      </c>
      <c r="D744" s="21" t="s">
        <v>2054</v>
      </c>
      <c r="E744" s="21" t="s">
        <v>2055</v>
      </c>
      <c r="F744" s="21" t="s">
        <v>1662</v>
      </c>
      <c r="G744" s="21" t="s">
        <v>1663</v>
      </c>
      <c r="H744" s="21" t="s">
        <v>1173</v>
      </c>
      <c r="I744" s="21">
        <v>40</v>
      </c>
      <c r="J744" s="89">
        <f t="shared" si="44"/>
        <v>9.4117647058823528E-2</v>
      </c>
      <c r="K744" s="94" t="e">
        <v>#N/A</v>
      </c>
      <c r="L744" s="94">
        <v>1.23255253980209</v>
      </c>
      <c r="M744" s="89">
        <f t="shared" si="46"/>
        <v>1.23255253980209</v>
      </c>
      <c r="N744" s="89">
        <f t="shared" si="45"/>
        <v>1.1881946022692254</v>
      </c>
      <c r="O744" s="89">
        <f t="shared" si="47"/>
        <v>0.11183008021357414</v>
      </c>
    </row>
    <row r="745" spans="1:15" x14ac:dyDescent="0.2">
      <c r="A745" s="21" t="s">
        <v>1167</v>
      </c>
      <c r="B745" s="21" t="s">
        <v>2308</v>
      </c>
      <c r="C745" s="21" t="s">
        <v>2053</v>
      </c>
      <c r="D745" s="21" t="s">
        <v>2056</v>
      </c>
      <c r="E745" s="21" t="s">
        <v>2057</v>
      </c>
      <c r="F745" s="21" t="s">
        <v>1664</v>
      </c>
      <c r="G745" s="21" t="s">
        <v>1038</v>
      </c>
      <c r="H745" s="21" t="s">
        <v>3436</v>
      </c>
      <c r="I745" s="21">
        <v>136</v>
      </c>
      <c r="J745" s="89">
        <f t="shared" si="44"/>
        <v>0.32</v>
      </c>
      <c r="K745" s="94" t="e">
        <v>#N/A</v>
      </c>
      <c r="L745" s="94">
        <v>1.23797399267274</v>
      </c>
      <c r="M745" s="89">
        <f t="shared" si="46"/>
        <v>1.23797399267274</v>
      </c>
      <c r="N745" s="89">
        <f t="shared" si="45"/>
        <v>1.1934209442135597</v>
      </c>
      <c r="O745" s="89">
        <f t="shared" si="47"/>
        <v>0.38189470214833909</v>
      </c>
    </row>
    <row r="746" spans="1:15" x14ac:dyDescent="0.2">
      <c r="A746" s="21" t="s">
        <v>3034</v>
      </c>
      <c r="B746" s="21" t="s">
        <v>2774</v>
      </c>
      <c r="C746" s="21" t="s">
        <v>2775</v>
      </c>
      <c r="D746" s="21" t="s">
        <v>728</v>
      </c>
      <c r="E746" s="21" t="s">
        <v>729</v>
      </c>
      <c r="F746" s="21" t="s">
        <v>1665</v>
      </c>
      <c r="G746" s="21" t="s">
        <v>2708</v>
      </c>
      <c r="H746" s="21" t="s">
        <v>3061</v>
      </c>
      <c r="I746" s="21">
        <v>21</v>
      </c>
      <c r="J746" s="89">
        <f t="shared" si="44"/>
        <v>7.0469798657718116E-2</v>
      </c>
      <c r="K746" s="94" t="e">
        <v>#N/A</v>
      </c>
      <c r="L746" s="94">
        <v>0.95523357095428896</v>
      </c>
      <c r="M746" s="89">
        <f t="shared" si="46"/>
        <v>0.95523357095428896</v>
      </c>
      <c r="N746" s="89">
        <f t="shared" si="45"/>
        <v>0.92085597673304043</v>
      </c>
      <c r="O746" s="89">
        <f t="shared" si="47"/>
        <v>6.4892535273133711E-2</v>
      </c>
    </row>
    <row r="747" spans="1:15" x14ac:dyDescent="0.2">
      <c r="A747" s="21" t="s">
        <v>3034</v>
      </c>
      <c r="B747" s="21" t="s">
        <v>2774</v>
      </c>
      <c r="C747" s="21" t="s">
        <v>2775</v>
      </c>
      <c r="D747" s="21" t="s">
        <v>2058</v>
      </c>
      <c r="E747" s="21" t="s">
        <v>2059</v>
      </c>
      <c r="F747" s="21" t="s">
        <v>2709</v>
      </c>
      <c r="G747" s="21" t="s">
        <v>880</v>
      </c>
      <c r="H747" s="21" t="s">
        <v>3061</v>
      </c>
      <c r="I747" s="21">
        <v>90</v>
      </c>
      <c r="J747" s="89">
        <f t="shared" si="44"/>
        <v>0.30201342281879195</v>
      </c>
      <c r="K747" s="94" t="e">
        <v>#N/A</v>
      </c>
      <c r="L747" s="94">
        <v>0.95582884392547496</v>
      </c>
      <c r="M747" s="89">
        <f t="shared" si="46"/>
        <v>0.95582884392547496</v>
      </c>
      <c r="N747" s="89">
        <f t="shared" si="45"/>
        <v>0.92142982661643247</v>
      </c>
      <c r="O747" s="89">
        <f t="shared" si="47"/>
        <v>0.27828417582375475</v>
      </c>
    </row>
    <row r="748" spans="1:15" x14ac:dyDescent="0.2">
      <c r="A748" s="21" t="s">
        <v>3034</v>
      </c>
      <c r="B748" s="21" t="s">
        <v>2774</v>
      </c>
      <c r="C748" s="21" t="s">
        <v>2775</v>
      </c>
      <c r="D748" s="21" t="s">
        <v>2060</v>
      </c>
      <c r="E748" s="21" t="s">
        <v>2061</v>
      </c>
      <c r="F748" s="21" t="s">
        <v>2710</v>
      </c>
      <c r="G748" s="21" t="s">
        <v>2711</v>
      </c>
      <c r="H748" s="21" t="s">
        <v>3061</v>
      </c>
      <c r="I748" s="21">
        <v>22</v>
      </c>
      <c r="J748" s="89">
        <f t="shared" si="44"/>
        <v>7.3825503355704702E-2</v>
      </c>
      <c r="K748" s="94" t="e">
        <v>#N/A</v>
      </c>
      <c r="L748" s="94">
        <v>0.95629074037273099</v>
      </c>
      <c r="M748" s="89">
        <f t="shared" si="46"/>
        <v>0.95629074037273099</v>
      </c>
      <c r="N748" s="89">
        <f t="shared" si="45"/>
        <v>0.92187510002078166</v>
      </c>
      <c r="O748" s="89">
        <f t="shared" si="47"/>
        <v>6.8057893290124821E-2</v>
      </c>
    </row>
    <row r="749" spans="1:15" x14ac:dyDescent="0.2">
      <c r="A749" s="21" t="s">
        <v>3034</v>
      </c>
      <c r="B749" s="21" t="s">
        <v>2774</v>
      </c>
      <c r="C749" s="21" t="s">
        <v>2775</v>
      </c>
      <c r="D749" s="21" t="s">
        <v>2062</v>
      </c>
      <c r="E749" s="21" t="s">
        <v>2063</v>
      </c>
      <c r="F749" s="21" t="s">
        <v>2712</v>
      </c>
      <c r="G749" s="21" t="s">
        <v>2713</v>
      </c>
      <c r="H749" s="21" t="s">
        <v>3061</v>
      </c>
      <c r="I749" s="21">
        <v>71</v>
      </c>
      <c r="J749" s="89">
        <f t="shared" si="44"/>
        <v>0.23825503355704697</v>
      </c>
      <c r="K749" s="94" t="e">
        <v>#N/A</v>
      </c>
      <c r="L749" s="94">
        <v>0.95502469877840201</v>
      </c>
      <c r="M749" s="89">
        <f t="shared" si="46"/>
        <v>0.95502469877840201</v>
      </c>
      <c r="N749" s="89">
        <f t="shared" si="45"/>
        <v>0.92065462159081424</v>
      </c>
      <c r="O749" s="89">
        <f t="shared" si="47"/>
        <v>0.21935059776156982</v>
      </c>
    </row>
    <row r="750" spans="1:15" x14ac:dyDescent="0.2">
      <c r="A750" s="21" t="s">
        <v>3034</v>
      </c>
      <c r="B750" s="21" t="s">
        <v>2774</v>
      </c>
      <c r="C750" s="21" t="s">
        <v>2775</v>
      </c>
      <c r="D750" s="21" t="s">
        <v>2064</v>
      </c>
      <c r="E750" s="21" t="s">
        <v>2065</v>
      </c>
      <c r="F750" s="21" t="s">
        <v>2714</v>
      </c>
      <c r="G750" s="21" t="s">
        <v>2715</v>
      </c>
      <c r="H750" s="21" t="s">
        <v>3061</v>
      </c>
      <c r="I750" s="21">
        <v>60</v>
      </c>
      <c r="J750" s="89">
        <f t="shared" si="44"/>
        <v>0.20134228187919462</v>
      </c>
      <c r="K750" s="94" t="e">
        <v>#N/A</v>
      </c>
      <c r="L750" s="94">
        <v>0.95779384896316599</v>
      </c>
      <c r="M750" s="89">
        <f t="shared" si="46"/>
        <v>0.95779384896316599</v>
      </c>
      <c r="N750" s="89">
        <f t="shared" si="45"/>
        <v>0.92332411371886403</v>
      </c>
      <c r="O750" s="89">
        <f t="shared" si="47"/>
        <v>0.18590418397024105</v>
      </c>
    </row>
    <row r="751" spans="1:15" x14ac:dyDescent="0.2">
      <c r="A751" s="21" t="s">
        <v>3034</v>
      </c>
      <c r="B751" s="21" t="s">
        <v>2774</v>
      </c>
      <c r="C751" s="21" t="s">
        <v>2775</v>
      </c>
      <c r="D751" s="21" t="s">
        <v>2066</v>
      </c>
      <c r="E751" s="21" t="s">
        <v>2067</v>
      </c>
      <c r="F751" s="21" t="s">
        <v>2716</v>
      </c>
      <c r="G751" s="21" t="s">
        <v>2717</v>
      </c>
      <c r="H751" s="21" t="s">
        <v>3061</v>
      </c>
      <c r="I751" s="21">
        <v>34</v>
      </c>
      <c r="J751" s="89">
        <f t="shared" si="44"/>
        <v>0.11409395973154363</v>
      </c>
      <c r="K751" s="94" t="e">
        <v>#N/A</v>
      </c>
      <c r="L751" s="94">
        <v>0.95724308733361096</v>
      </c>
      <c r="M751" s="89">
        <f t="shared" si="46"/>
        <v>0.95724308733361096</v>
      </c>
      <c r="N751" s="89">
        <f t="shared" si="45"/>
        <v>0.92279317327272337</v>
      </c>
      <c r="O751" s="89">
        <f t="shared" si="47"/>
        <v>0.10528512715192145</v>
      </c>
    </row>
    <row r="752" spans="1:15" x14ac:dyDescent="0.2">
      <c r="A752" s="21" t="s">
        <v>2133</v>
      </c>
      <c r="B752" s="21" t="s">
        <v>2770</v>
      </c>
      <c r="C752" s="21" t="s">
        <v>2771</v>
      </c>
      <c r="D752" s="21" t="s">
        <v>728</v>
      </c>
      <c r="E752" s="21" t="s">
        <v>729</v>
      </c>
      <c r="F752" s="21" t="s">
        <v>2718</v>
      </c>
      <c r="G752" s="21" t="s">
        <v>2719</v>
      </c>
      <c r="H752" s="21" t="s">
        <v>1113</v>
      </c>
      <c r="I752" s="21">
        <v>40</v>
      </c>
      <c r="J752" s="89">
        <f t="shared" si="44"/>
        <v>0.19047619047619047</v>
      </c>
      <c r="K752" s="94" t="e">
        <v>#N/A</v>
      </c>
      <c r="L752" s="94">
        <v>0.97085682995342304</v>
      </c>
      <c r="M752" s="89">
        <f t="shared" si="46"/>
        <v>0.97085682995342304</v>
      </c>
      <c r="N752" s="89">
        <f t="shared" si="45"/>
        <v>0.93591697528131002</v>
      </c>
      <c r="O752" s="89">
        <f t="shared" si="47"/>
        <v>0.17826990005358284</v>
      </c>
    </row>
    <row r="753" spans="1:15" x14ac:dyDescent="0.2">
      <c r="A753" s="21" t="s">
        <v>2133</v>
      </c>
      <c r="B753" s="21" t="s">
        <v>2770</v>
      </c>
      <c r="C753" s="21" t="s">
        <v>2771</v>
      </c>
      <c r="D753" s="21" t="s">
        <v>2068</v>
      </c>
      <c r="E753" s="21" t="s">
        <v>2069</v>
      </c>
      <c r="F753" s="21" t="s">
        <v>2720</v>
      </c>
      <c r="G753" s="21" t="s">
        <v>2721</v>
      </c>
      <c r="H753" s="21" t="s">
        <v>1113</v>
      </c>
      <c r="I753" s="21">
        <v>87</v>
      </c>
      <c r="J753" s="89">
        <f t="shared" si="44"/>
        <v>0.41428571428571431</v>
      </c>
      <c r="K753" s="94" t="e">
        <v>#N/A</v>
      </c>
      <c r="L753" s="94">
        <v>0.971625764401707</v>
      </c>
      <c r="M753" s="89">
        <f t="shared" si="46"/>
        <v>0.971625764401707</v>
      </c>
      <c r="N753" s="89">
        <f t="shared" si="45"/>
        <v>0.93665823679467031</v>
      </c>
      <c r="O753" s="89">
        <f t="shared" si="47"/>
        <v>0.38804412667207772</v>
      </c>
    </row>
    <row r="754" spans="1:15" x14ac:dyDescent="0.2">
      <c r="A754" s="21" t="s">
        <v>2133</v>
      </c>
      <c r="B754" s="21" t="s">
        <v>2770</v>
      </c>
      <c r="C754" s="21" t="s">
        <v>2771</v>
      </c>
      <c r="D754" s="21" t="s">
        <v>2070</v>
      </c>
      <c r="E754" s="21" t="s">
        <v>2071</v>
      </c>
      <c r="F754" s="21" t="s">
        <v>2722</v>
      </c>
      <c r="G754" s="21" t="s">
        <v>2723</v>
      </c>
      <c r="H754" s="21" t="s">
        <v>1113</v>
      </c>
      <c r="I754" s="21">
        <v>29</v>
      </c>
      <c r="J754" s="89">
        <f t="shared" si="44"/>
        <v>0.1380952380952381</v>
      </c>
      <c r="K754" s="94" t="e">
        <v>#N/A</v>
      </c>
      <c r="L754" s="94">
        <v>0.97078709685946096</v>
      </c>
      <c r="M754" s="89">
        <f t="shared" si="46"/>
        <v>0.97078709685946096</v>
      </c>
      <c r="N754" s="89">
        <f t="shared" si="45"/>
        <v>0.93584975178927243</v>
      </c>
      <c r="O754" s="89">
        <f t="shared" si="47"/>
        <v>0.12923639429470907</v>
      </c>
    </row>
    <row r="755" spans="1:15" ht="13.5" thickBot="1" x14ac:dyDescent="0.25">
      <c r="A755" s="49" t="s">
        <v>2133</v>
      </c>
      <c r="B755" s="49" t="s">
        <v>2770</v>
      </c>
      <c r="C755" s="49" t="s">
        <v>2771</v>
      </c>
      <c r="D755" s="49" t="s">
        <v>2072</v>
      </c>
      <c r="E755" s="49" t="s">
        <v>2073</v>
      </c>
      <c r="F755" s="49" t="s">
        <v>2724</v>
      </c>
      <c r="G755" s="49" t="s">
        <v>2417</v>
      </c>
      <c r="H755" s="49" t="s">
        <v>1113</v>
      </c>
      <c r="I755" s="49">
        <v>54</v>
      </c>
      <c r="J755" s="90">
        <f t="shared" si="44"/>
        <v>0.25714285714285712</v>
      </c>
      <c r="K755" s="95" t="e">
        <v>#N/A</v>
      </c>
      <c r="L755" s="95">
        <v>0.97297939413628298</v>
      </c>
      <c r="M755" s="90">
        <f t="shared" si="46"/>
        <v>0.97297939413628298</v>
      </c>
      <c r="N755" s="90">
        <f t="shared" si="45"/>
        <v>0.93796315118343354</v>
      </c>
      <c r="O755" s="90">
        <f t="shared" si="47"/>
        <v>0.24119052459002574</v>
      </c>
    </row>
    <row r="756" spans="1:15" ht="13.5" thickBot="1" x14ac:dyDescent="0.25"/>
    <row r="757" spans="1:15" ht="26.25" thickBot="1" x14ac:dyDescent="0.25">
      <c r="L757" s="91" t="s">
        <v>2732</v>
      </c>
      <c r="M757" s="92">
        <f>SUMPRODUCT(I2:I755,M2:M755)/SUM(I2:I755)</f>
        <v>1.0373322159923546</v>
      </c>
    </row>
    <row r="758" spans="1:15" ht="13.5" thickBot="1" x14ac:dyDescent="0.25">
      <c r="C758" s="14" t="s">
        <v>4157</v>
      </c>
    </row>
    <row r="759" spans="1:15" ht="51.75" thickBot="1" x14ac:dyDescent="0.25">
      <c r="A759" s="85" t="s">
        <v>2754</v>
      </c>
      <c r="B759" s="85" t="s">
        <v>3573</v>
      </c>
      <c r="C759" s="85" t="s">
        <v>2755</v>
      </c>
      <c r="D759" s="85"/>
      <c r="E759" s="85"/>
      <c r="F759" s="85"/>
      <c r="G759" s="85"/>
      <c r="H759" s="85"/>
      <c r="I759" s="85"/>
      <c r="J759" s="85"/>
      <c r="K759" s="85"/>
      <c r="L759" s="85"/>
      <c r="M759" s="85"/>
      <c r="N759" s="85"/>
      <c r="O759" s="85" t="s">
        <v>4160</v>
      </c>
    </row>
    <row r="760" spans="1:15" x14ac:dyDescent="0.2">
      <c r="A760" s="39" t="s">
        <v>2133</v>
      </c>
      <c r="B760" s="39" t="s">
        <v>2281</v>
      </c>
      <c r="C760" s="39" t="s">
        <v>2282</v>
      </c>
      <c r="D760" s="39"/>
      <c r="E760" s="39"/>
      <c r="F760" s="39"/>
      <c r="G760" s="39"/>
      <c r="H760" s="39"/>
      <c r="I760" s="39"/>
      <c r="J760" s="88"/>
      <c r="K760" s="93"/>
      <c r="L760" s="93"/>
      <c r="M760" s="88"/>
      <c r="N760" s="88"/>
      <c r="O760" s="88">
        <f>SUMIF('PCT data'!$F$3:$F$159,$B760,'PCT data'!$I$3:$I$159)/SUMIF('PCT data'!$F$3:$F$159,$B760,'PCT data'!$D$3:$D$159)</f>
        <v>0.96153033409347421</v>
      </c>
    </row>
    <row r="761" spans="1:15" x14ac:dyDescent="0.2">
      <c r="A761" s="21" t="s">
        <v>2975</v>
      </c>
      <c r="B761" s="21" t="s">
        <v>2291</v>
      </c>
      <c r="C761" s="21" t="s">
        <v>654</v>
      </c>
      <c r="D761" s="21"/>
      <c r="E761" s="21"/>
      <c r="F761" s="21"/>
      <c r="G761" s="21"/>
      <c r="H761" s="21"/>
      <c r="I761" s="21"/>
      <c r="J761" s="89"/>
      <c r="K761" s="94"/>
      <c r="L761" s="94"/>
      <c r="M761" s="89"/>
      <c r="N761" s="89"/>
      <c r="O761" s="89">
        <f>SUMIF('PCT data'!$F$3:$F$159,$B761,'PCT data'!$I$3:$I$159)/SUMIF('PCT data'!$F$3:$F$159,$B761,'PCT data'!$D$3:$D$159)</f>
        <v>0.94727206576339362</v>
      </c>
    </row>
    <row r="762" spans="1:15" x14ac:dyDescent="0.2">
      <c r="A762" s="21" t="s">
        <v>1127</v>
      </c>
      <c r="B762" s="21" t="s">
        <v>2306</v>
      </c>
      <c r="C762" s="21" t="s">
        <v>2307</v>
      </c>
      <c r="D762" s="21"/>
      <c r="E762" s="21"/>
      <c r="F762" s="21"/>
      <c r="G762" s="21"/>
      <c r="H762" s="21"/>
      <c r="I762" s="21"/>
      <c r="J762" s="89"/>
      <c r="K762" s="94"/>
      <c r="L762" s="94"/>
      <c r="M762" s="89"/>
      <c r="N762" s="89"/>
      <c r="O762" s="89">
        <f>SUMIF('PCT data'!$F$3:$F$159,$B762,'PCT data'!$I$3:$I$159)/SUMIF('PCT data'!$F$3:$F$159,$B762,'PCT data'!$D$3:$D$159)</f>
        <v>1.024064438565814</v>
      </c>
    </row>
    <row r="763" spans="1:15" x14ac:dyDescent="0.2">
      <c r="A763" s="21" t="s">
        <v>1167</v>
      </c>
      <c r="B763" s="21" t="s">
        <v>2312</v>
      </c>
      <c r="C763" s="21" t="s">
        <v>2313</v>
      </c>
      <c r="D763" s="21"/>
      <c r="E763" s="21"/>
      <c r="F763" s="21"/>
      <c r="G763" s="21"/>
      <c r="H763" s="21"/>
      <c r="I763" s="21"/>
      <c r="J763" s="89"/>
      <c r="K763" s="94"/>
      <c r="L763" s="94"/>
      <c r="M763" s="89"/>
      <c r="N763" s="89"/>
      <c r="O763" s="89">
        <f>SUMIF('PCT data'!$F$3:$F$159,$B763,'PCT data'!$I$3:$I$159)/SUMIF('PCT data'!$F$3:$F$159,$B763,'PCT data'!$D$3:$D$159)</f>
        <v>1.2020044845576636</v>
      </c>
    </row>
    <row r="764" spans="1:15" x14ac:dyDescent="0.2">
      <c r="A764" s="21" t="s">
        <v>3069</v>
      </c>
      <c r="B764" s="21" t="s">
        <v>2331</v>
      </c>
      <c r="C764" s="21" t="s">
        <v>2332</v>
      </c>
      <c r="D764" s="21"/>
      <c r="E764" s="21"/>
      <c r="F764" s="21"/>
      <c r="G764" s="21"/>
      <c r="H764" s="21"/>
      <c r="I764" s="21"/>
      <c r="J764" s="89"/>
      <c r="K764" s="94"/>
      <c r="L764" s="94"/>
      <c r="M764" s="89"/>
      <c r="N764" s="89"/>
      <c r="O764" s="89">
        <f>SUMIF('PCT data'!$F$3:$F$159,$B764,'PCT data'!$I$3:$I$159)/SUMIF('PCT data'!$F$3:$F$159,$B764,'PCT data'!$D$3:$D$159)</f>
        <v>0.92830522596219622</v>
      </c>
    </row>
    <row r="765" spans="1:15" x14ac:dyDescent="0.2">
      <c r="A765" s="21" t="s">
        <v>1127</v>
      </c>
      <c r="B765" s="21" t="s">
        <v>1318</v>
      </c>
      <c r="C765" s="21" t="s">
        <v>1319</v>
      </c>
      <c r="D765" s="21"/>
      <c r="E765" s="21"/>
      <c r="F765" s="21"/>
      <c r="G765" s="21"/>
      <c r="H765" s="21"/>
      <c r="I765" s="21"/>
      <c r="J765" s="89"/>
      <c r="K765" s="94"/>
      <c r="L765" s="94"/>
      <c r="M765" s="89"/>
      <c r="N765" s="89"/>
      <c r="O765" s="89">
        <f>SUMIF('PCT data'!$F$3:$F$159,$B765,'PCT data'!$I$3:$I$159)/SUMIF('PCT data'!$F$3:$F$159,$B765,'PCT data'!$D$3:$D$159)</f>
        <v>1.081171284758579</v>
      </c>
    </row>
    <row r="766" spans="1:15" x14ac:dyDescent="0.2">
      <c r="A766" s="21" t="s">
        <v>1167</v>
      </c>
      <c r="B766" s="21" t="s">
        <v>1326</v>
      </c>
      <c r="C766" s="21" t="s">
        <v>1327</v>
      </c>
      <c r="D766" s="21"/>
      <c r="E766" s="21"/>
      <c r="F766" s="21"/>
      <c r="G766" s="21"/>
      <c r="H766" s="21"/>
      <c r="I766" s="21"/>
      <c r="J766" s="89"/>
      <c r="K766" s="94"/>
      <c r="L766" s="94"/>
      <c r="M766" s="89"/>
      <c r="N766" s="89"/>
      <c r="O766" s="89">
        <f>SUMIF('PCT data'!$F$3:$F$159,$B766,'PCT data'!$I$3:$I$159)/SUMIF('PCT data'!$F$3:$F$159,$B766,'PCT data'!$D$3:$D$159)</f>
        <v>1.1667038123864777</v>
      </c>
    </row>
    <row r="767" spans="1:15" x14ac:dyDescent="0.2">
      <c r="A767" s="21" t="s">
        <v>191</v>
      </c>
      <c r="B767" s="21" t="s">
        <v>3374</v>
      </c>
      <c r="C767" s="21" t="s">
        <v>3375</v>
      </c>
      <c r="D767" s="21"/>
      <c r="E767" s="21"/>
      <c r="F767" s="21"/>
      <c r="G767" s="21"/>
      <c r="H767" s="21"/>
      <c r="I767" s="21"/>
      <c r="J767" s="89"/>
      <c r="K767" s="94"/>
      <c r="L767" s="94"/>
      <c r="M767" s="89"/>
      <c r="N767" s="89"/>
      <c r="O767" s="89">
        <f>SUMIF('PCT data'!$F$3:$F$159,$B767,'PCT data'!$I$3:$I$159)/SUMIF('PCT data'!$F$3:$F$159,$B767,'PCT data'!$D$3:$D$159)</f>
        <v>0.95738771365736564</v>
      </c>
    </row>
    <row r="768" spans="1:15" x14ac:dyDescent="0.2">
      <c r="A768" s="21" t="s">
        <v>3496</v>
      </c>
      <c r="B768" s="21" t="s">
        <v>1340</v>
      </c>
      <c r="C768" s="21" t="s">
        <v>657</v>
      </c>
      <c r="D768" s="21"/>
      <c r="E768" s="21"/>
      <c r="F768" s="21"/>
      <c r="G768" s="21"/>
      <c r="H768" s="21"/>
      <c r="I768" s="21"/>
      <c r="J768" s="89"/>
      <c r="K768" s="94"/>
      <c r="L768" s="94"/>
      <c r="M768" s="89"/>
      <c r="N768" s="89"/>
      <c r="O768" s="89">
        <f>SUMIF('PCT data'!$F$3:$F$159,$B768,'PCT data'!$I$3:$I$159)/SUMIF('PCT data'!$F$3:$F$159,$B768,'PCT data'!$D$3:$D$159)</f>
        <v>0.99043315085240191</v>
      </c>
    </row>
    <row r="769" spans="1:15" x14ac:dyDescent="0.2">
      <c r="A769" s="21" t="s">
        <v>3069</v>
      </c>
      <c r="B769" s="21" t="s">
        <v>367</v>
      </c>
      <c r="C769" s="21" t="s">
        <v>368</v>
      </c>
      <c r="D769" s="21"/>
      <c r="E769" s="21"/>
      <c r="F769" s="21"/>
      <c r="G769" s="21"/>
      <c r="H769" s="21"/>
      <c r="I769" s="21"/>
      <c r="J769" s="89"/>
      <c r="K769" s="94"/>
      <c r="L769" s="94"/>
      <c r="M769" s="89"/>
      <c r="N769" s="89"/>
      <c r="O769" s="89">
        <f>SUMIF('PCT data'!$F$3:$F$159,$B769,'PCT data'!$I$3:$I$159)/SUMIF('PCT data'!$F$3:$F$159,$B769,'PCT data'!$D$3:$D$159)</f>
        <v>0.90058446009890769</v>
      </c>
    </row>
    <row r="770" spans="1:15" x14ac:dyDescent="0.2">
      <c r="A770" s="21" t="s">
        <v>2975</v>
      </c>
      <c r="B770" s="21" t="s">
        <v>371</v>
      </c>
      <c r="C770" s="21" t="s">
        <v>372</v>
      </c>
      <c r="D770" s="21"/>
      <c r="E770" s="21"/>
      <c r="F770" s="21"/>
      <c r="G770" s="21"/>
      <c r="H770" s="21"/>
      <c r="I770" s="21"/>
      <c r="J770" s="89"/>
      <c r="K770" s="94"/>
      <c r="L770" s="94"/>
      <c r="M770" s="89"/>
      <c r="N770" s="89"/>
      <c r="O770" s="89">
        <f>SUMIF('PCT data'!$F$3:$F$159,$B770,'PCT data'!$I$3:$I$159)/SUMIF('PCT data'!$F$3:$F$159,$B770,'PCT data'!$D$3:$D$159)</f>
        <v>0.94814745836960268</v>
      </c>
    </row>
    <row r="771" spans="1:15" x14ac:dyDescent="0.2">
      <c r="A771" s="21" t="s">
        <v>1127</v>
      </c>
      <c r="B771" s="21" t="s">
        <v>409</v>
      </c>
      <c r="C771" s="21" t="s">
        <v>410</v>
      </c>
      <c r="D771" s="21"/>
      <c r="E771" s="21"/>
      <c r="F771" s="21"/>
      <c r="G771" s="21"/>
      <c r="H771" s="21"/>
      <c r="I771" s="21"/>
      <c r="J771" s="89"/>
      <c r="K771" s="94"/>
      <c r="L771" s="94"/>
      <c r="M771" s="89"/>
      <c r="N771" s="89"/>
      <c r="O771" s="89">
        <f>SUMIF('PCT data'!$F$3:$F$159,$B771,'PCT data'!$I$3:$I$159)/SUMIF('PCT data'!$F$3:$F$159,$B771,'PCT data'!$D$3:$D$159)</f>
        <v>0.90875479109019275</v>
      </c>
    </row>
    <row r="772" spans="1:15" x14ac:dyDescent="0.2">
      <c r="A772" s="21" t="s">
        <v>2133</v>
      </c>
      <c r="B772" s="21" t="s">
        <v>2784</v>
      </c>
      <c r="C772" s="21" t="s">
        <v>650</v>
      </c>
      <c r="D772" s="21"/>
      <c r="E772" s="21"/>
      <c r="F772" s="21"/>
      <c r="G772" s="21"/>
      <c r="H772" s="21"/>
      <c r="I772" s="21"/>
      <c r="J772" s="89"/>
      <c r="K772" s="94"/>
      <c r="L772" s="94"/>
      <c r="M772" s="89"/>
      <c r="N772" s="89"/>
      <c r="O772" s="89">
        <f>SUMIF('PCT data'!$F$3:$F$159,$B772,'PCT data'!$I$3:$I$159)/SUMIF('PCT data'!$F$3:$F$159,$B772,'PCT data'!$D$3:$D$159)</f>
        <v>0.91946978478290642</v>
      </c>
    </row>
    <row r="773" spans="1:15" x14ac:dyDescent="0.2">
      <c r="A773" s="21" t="s">
        <v>191</v>
      </c>
      <c r="B773" s="21" t="s">
        <v>2785</v>
      </c>
      <c r="C773" s="21" t="s">
        <v>2786</v>
      </c>
      <c r="D773" s="21"/>
      <c r="E773" s="21"/>
      <c r="F773" s="21"/>
      <c r="G773" s="21"/>
      <c r="H773" s="21"/>
      <c r="I773" s="21"/>
      <c r="J773" s="89"/>
      <c r="K773" s="94"/>
      <c r="L773" s="94"/>
      <c r="M773" s="89"/>
      <c r="N773" s="89"/>
      <c r="O773" s="89">
        <f>SUMIF('PCT data'!$F$3:$F$159,$B773,'PCT data'!$I$3:$I$159)/SUMIF('PCT data'!$F$3:$F$159,$B773,'PCT data'!$D$3:$D$159)</f>
        <v>1.0188697760921026</v>
      </c>
    </row>
    <row r="774" spans="1:15" x14ac:dyDescent="0.2">
      <c r="A774" s="21" t="s">
        <v>2133</v>
      </c>
      <c r="B774" s="21" t="s">
        <v>577</v>
      </c>
      <c r="C774" s="21" t="s">
        <v>651</v>
      </c>
      <c r="D774" s="21"/>
      <c r="E774" s="21"/>
      <c r="F774" s="21"/>
      <c r="G774" s="21"/>
      <c r="H774" s="21"/>
      <c r="I774" s="21"/>
      <c r="J774" s="89"/>
      <c r="K774" s="94"/>
      <c r="L774" s="94"/>
      <c r="M774" s="89"/>
      <c r="N774" s="89"/>
      <c r="O774" s="89">
        <f>SUMIF('PCT data'!$F$3:$F$159,$B774,'PCT data'!$I$3:$I$159)/SUMIF('PCT data'!$F$3:$F$159,$B774,'PCT data'!$D$3:$D$159)</f>
        <v>0.92709984031998494</v>
      </c>
    </row>
    <row r="775" spans="1:15" x14ac:dyDescent="0.2">
      <c r="A775" s="21" t="s">
        <v>2975</v>
      </c>
      <c r="B775" s="21" t="s">
        <v>691</v>
      </c>
      <c r="C775" s="21" t="s">
        <v>692</v>
      </c>
      <c r="D775" s="21"/>
      <c r="E775" s="21"/>
      <c r="F775" s="21"/>
      <c r="G775" s="21"/>
      <c r="H775" s="21"/>
      <c r="I775" s="21"/>
      <c r="J775" s="89"/>
      <c r="K775" s="94"/>
      <c r="L775" s="94"/>
      <c r="M775" s="89"/>
      <c r="N775" s="89"/>
      <c r="O775" s="89">
        <f>SUMIF('PCT data'!$F$3:$F$159,$B775,'PCT data'!$I$3:$I$159)/SUMIF('PCT data'!$F$3:$F$159,$B775,'PCT data'!$D$3:$D$159)</f>
        <v>0.94192244428100458</v>
      </c>
    </row>
    <row r="776" spans="1:15" x14ac:dyDescent="0.2">
      <c r="A776" s="21" t="s">
        <v>3034</v>
      </c>
      <c r="B776" s="21" t="s">
        <v>3513</v>
      </c>
      <c r="C776" s="21" t="s">
        <v>3515</v>
      </c>
      <c r="D776" s="21"/>
      <c r="E776" s="21"/>
      <c r="F776" s="21"/>
      <c r="G776" s="21"/>
      <c r="H776" s="21"/>
      <c r="I776" s="21"/>
      <c r="J776" s="89"/>
      <c r="K776" s="94"/>
      <c r="L776" s="94"/>
      <c r="M776" s="89"/>
      <c r="N776" s="89"/>
      <c r="O776" s="89">
        <f>SUMIF('PCT data'!$F$3:$F$159,$B776,'PCT data'!$I$3:$I$159)/SUMIF('PCT data'!$F$3:$F$159,$B776,'PCT data'!$D$3:$D$159)</f>
        <v>0.95738771365736552</v>
      </c>
    </row>
    <row r="777" spans="1:15" x14ac:dyDescent="0.2">
      <c r="A777" s="21" t="s">
        <v>3528</v>
      </c>
      <c r="B777" s="21" t="s">
        <v>3514</v>
      </c>
      <c r="C777" s="21" t="s">
        <v>1177</v>
      </c>
      <c r="D777" s="21"/>
      <c r="E777" s="21"/>
      <c r="F777" s="21"/>
      <c r="G777" s="21"/>
      <c r="H777" s="21"/>
      <c r="I777" s="21"/>
      <c r="J777" s="89"/>
      <c r="K777" s="94"/>
      <c r="L777" s="94"/>
      <c r="M777" s="89"/>
      <c r="N777" s="89"/>
      <c r="O777" s="89">
        <f>SUMIF('PCT data'!$F$3:$F$159,$B777,'PCT data'!$I$3:$I$159)/SUMIF('PCT data'!$F$3:$F$159,$B777,'PCT data'!$D$3:$D$159)</f>
        <v>0.89076060974033866</v>
      </c>
    </row>
    <row r="778" spans="1:15" ht="13.5" thickBot="1" x14ac:dyDescent="0.25">
      <c r="A778" s="49" t="s">
        <v>3528</v>
      </c>
      <c r="B778" s="49" t="s">
        <v>659</v>
      </c>
      <c r="C778" s="49" t="s">
        <v>3883</v>
      </c>
      <c r="D778" s="49"/>
      <c r="E778" s="49"/>
      <c r="F778" s="49"/>
      <c r="G778" s="49"/>
      <c r="H778" s="49"/>
      <c r="I778" s="49"/>
      <c r="J778" s="90"/>
      <c r="K778" s="95"/>
      <c r="L778" s="95"/>
      <c r="M778" s="90"/>
      <c r="N778" s="90"/>
      <c r="O778" s="90">
        <f>SUMIF('PCT data'!$F$3:$F$159,$B778,'PCT data'!$I$3:$I$159)/SUMIF('PCT data'!$F$3:$F$159,$B778,'PCT data'!$D$3:$D$159)</f>
        <v>0.97119946366644261</v>
      </c>
    </row>
    <row r="779" spans="1:15" x14ac:dyDescent="0.2">
      <c r="A779" s="61"/>
      <c r="B779" s="61"/>
      <c r="C779" s="61"/>
      <c r="D779" s="61"/>
      <c r="E779" s="61"/>
      <c r="F779" s="61"/>
      <c r="G779" s="61"/>
      <c r="H779" s="61"/>
      <c r="I779" s="61"/>
      <c r="J779" s="24"/>
      <c r="K779" s="381"/>
      <c r="L779" s="381"/>
      <c r="M779" s="24"/>
      <c r="N779" s="24"/>
      <c r="O779" s="24"/>
    </row>
    <row r="781" spans="1:15" ht="13.5" thickBot="1" x14ac:dyDescent="0.25">
      <c r="C781" s="14" t="s">
        <v>4156</v>
      </c>
    </row>
    <row r="782" spans="1:15" ht="51.75" thickBot="1" x14ac:dyDescent="0.25">
      <c r="A782" s="85" t="s">
        <v>2754</v>
      </c>
      <c r="B782" s="85" t="s">
        <v>3573</v>
      </c>
      <c r="C782" s="85" t="s">
        <v>2755</v>
      </c>
      <c r="D782" s="85"/>
      <c r="E782" s="85"/>
      <c r="F782" s="85"/>
      <c r="G782" s="85"/>
      <c r="H782" s="85"/>
      <c r="I782" s="85"/>
      <c r="J782" s="85"/>
      <c r="K782" s="85"/>
      <c r="L782" s="85"/>
      <c r="M782" s="85"/>
      <c r="N782" s="85"/>
      <c r="O782" s="85" t="s">
        <v>4160</v>
      </c>
    </row>
    <row r="783" spans="1:15" x14ac:dyDescent="0.2">
      <c r="A783" s="39" t="s">
        <v>3069</v>
      </c>
      <c r="B783" s="39" t="s">
        <v>2357</v>
      </c>
      <c r="C783" s="39" t="s">
        <v>2358</v>
      </c>
      <c r="D783" s="39"/>
      <c r="E783" s="39"/>
      <c r="F783" s="39"/>
      <c r="G783" s="39"/>
      <c r="H783" s="39"/>
      <c r="I783" s="39"/>
      <c r="J783" s="88"/>
      <c r="K783" s="93"/>
      <c r="L783" s="93"/>
      <c r="M783" s="88"/>
      <c r="N783" s="88"/>
      <c r="O783" s="88">
        <f>SUMIF('PCT data'!$E$3:$E$154,$B783,'PCT data'!$I$3:$I$154)/SUMIF('PCT data'!$E$3:$E$154,$B783,'PCT data'!$D$3:$D$154)</f>
        <v>0.94060858623805133</v>
      </c>
    </row>
    <row r="784" spans="1:15" x14ac:dyDescent="0.2">
      <c r="A784" s="21" t="s">
        <v>1127</v>
      </c>
      <c r="B784" s="21" t="s">
        <v>2359</v>
      </c>
      <c r="C784" s="21" t="s">
        <v>2360</v>
      </c>
      <c r="D784" s="21"/>
      <c r="E784" s="21"/>
      <c r="F784" s="21"/>
      <c r="G784" s="21"/>
      <c r="H784" s="21"/>
      <c r="I784" s="21"/>
      <c r="J784" s="89"/>
      <c r="K784" s="94"/>
      <c r="L784" s="94"/>
      <c r="M784" s="89"/>
      <c r="N784" s="89"/>
      <c r="O784" s="89">
        <f>SUMIF('PCT data'!$E$3:$E$154,$B784,'PCT data'!$I$3:$I$154)/SUMIF('PCT data'!$E$3:$E$154,$B784,'PCT data'!$D$3:$D$154)</f>
        <v>1.0014030746867981</v>
      </c>
    </row>
    <row r="785" spans="1:15" x14ac:dyDescent="0.2">
      <c r="A785" s="21" t="s">
        <v>3528</v>
      </c>
      <c r="B785" s="21" t="s">
        <v>2375</v>
      </c>
      <c r="C785" s="21" t="s">
        <v>2376</v>
      </c>
      <c r="D785" s="21"/>
      <c r="E785" s="21"/>
      <c r="F785" s="21"/>
      <c r="G785" s="21"/>
      <c r="H785" s="21"/>
      <c r="I785" s="21"/>
      <c r="J785" s="89"/>
      <c r="K785" s="94"/>
      <c r="L785" s="94"/>
      <c r="M785" s="89"/>
      <c r="N785" s="89"/>
      <c r="O785" s="89">
        <f>SUMIF('PCT data'!$E$3:$E$154,$B785,'PCT data'!$I$3:$I$154)/SUMIF('PCT data'!$E$3:$E$154,$B785,'PCT data'!$D$3:$D$154)</f>
        <v>0.99200941940505727</v>
      </c>
    </row>
    <row r="786" spans="1:15" x14ac:dyDescent="0.2">
      <c r="A786" s="21" t="s">
        <v>1167</v>
      </c>
      <c r="B786" s="21" t="s">
        <v>377</v>
      </c>
      <c r="C786" s="21" t="s">
        <v>378</v>
      </c>
      <c r="D786" s="21"/>
      <c r="E786" s="21"/>
      <c r="F786" s="21"/>
      <c r="G786" s="21"/>
      <c r="H786" s="21"/>
      <c r="I786" s="21"/>
      <c r="J786" s="89"/>
      <c r="K786" s="94"/>
      <c r="L786" s="94"/>
      <c r="M786" s="89"/>
      <c r="N786" s="89"/>
      <c r="O786" s="89">
        <f>SUMIF('PCT data'!$E$3:$E$154,$B786,'PCT data'!$I$3:$I$154)/SUMIF('PCT data'!$E$3:$E$154,$B786,'PCT data'!$D$3:$D$154)</f>
        <v>1.1765384727242667</v>
      </c>
    </row>
    <row r="787" spans="1:15" x14ac:dyDescent="0.2">
      <c r="A787" s="21" t="s">
        <v>708</v>
      </c>
      <c r="B787" s="21" t="s">
        <v>415</v>
      </c>
      <c r="C787" s="21" t="s">
        <v>653</v>
      </c>
      <c r="D787" s="21"/>
      <c r="E787" s="21"/>
      <c r="F787" s="21"/>
      <c r="G787" s="21"/>
      <c r="H787" s="21"/>
      <c r="I787" s="21"/>
      <c r="J787" s="89"/>
      <c r="K787" s="94"/>
      <c r="L787" s="94"/>
      <c r="M787" s="89"/>
      <c r="N787" s="89"/>
      <c r="O787" s="89">
        <f>SUMIF('PCT data'!$E$3:$E$154,$B787,'PCT data'!$I$3:$I$154)/SUMIF('PCT data'!$E$3:$E$154,$B787,'PCT data'!$D$3:$D$154)</f>
        <v>0.92451115924531224</v>
      </c>
    </row>
    <row r="788" spans="1:15" x14ac:dyDescent="0.2">
      <c r="A788" s="21" t="s">
        <v>2975</v>
      </c>
      <c r="B788" s="21" t="s">
        <v>3662</v>
      </c>
      <c r="C788" s="21" t="s">
        <v>3663</v>
      </c>
      <c r="D788" s="21"/>
      <c r="E788" s="21"/>
      <c r="F788" s="21"/>
      <c r="G788" s="21"/>
      <c r="H788" s="21"/>
      <c r="I788" s="21"/>
      <c r="J788" s="89"/>
      <c r="K788" s="94"/>
      <c r="L788" s="94"/>
      <c r="M788" s="89"/>
      <c r="N788" s="89"/>
      <c r="O788" s="89">
        <f>SUMIF('PCT data'!$E$3:$E$154,$B788,'PCT data'!$I$3:$I$154)/SUMIF('PCT data'!$E$3:$E$154,$B788,'PCT data'!$D$3:$D$154)</f>
        <v>0.95234704775453094</v>
      </c>
    </row>
    <row r="789" spans="1:15" x14ac:dyDescent="0.2">
      <c r="A789" s="21" t="s">
        <v>191</v>
      </c>
      <c r="B789" s="21" t="s">
        <v>2789</v>
      </c>
      <c r="C789" s="21" t="s">
        <v>655</v>
      </c>
      <c r="D789" s="21"/>
      <c r="E789" s="21"/>
      <c r="F789" s="21"/>
      <c r="G789" s="21"/>
      <c r="H789" s="21"/>
      <c r="I789" s="21"/>
      <c r="J789" s="89"/>
      <c r="K789" s="94"/>
      <c r="L789" s="94"/>
      <c r="M789" s="89"/>
      <c r="N789" s="89"/>
      <c r="O789" s="89">
        <f>SUMIF('PCT data'!$E$3:$E$154,$B789,'PCT data'!$I$3:$I$154)/SUMIF('PCT data'!$E$3:$E$154,$B789,'PCT data'!$D$3:$D$154)</f>
        <v>1.0607134944002725</v>
      </c>
    </row>
    <row r="790" spans="1:15" x14ac:dyDescent="0.2">
      <c r="A790" s="21" t="s">
        <v>3496</v>
      </c>
      <c r="B790" s="21" t="s">
        <v>547</v>
      </c>
      <c r="C790" s="21" t="s">
        <v>656</v>
      </c>
      <c r="D790" s="21"/>
      <c r="E790" s="21"/>
      <c r="F790" s="21"/>
      <c r="G790" s="21"/>
      <c r="H790" s="21"/>
      <c r="I790" s="21"/>
      <c r="J790" s="89"/>
      <c r="K790" s="94"/>
      <c r="L790" s="94"/>
      <c r="M790" s="89"/>
      <c r="N790" s="89"/>
      <c r="O790" s="89">
        <f>SUMIF('PCT data'!$E$3:$E$154,$B790,'PCT data'!$I$3:$I$154)/SUMIF('PCT data'!$E$3:$E$154,$B790,'PCT data'!$D$3:$D$154)</f>
        <v>1.0195212306154042</v>
      </c>
    </row>
    <row r="791" spans="1:15" x14ac:dyDescent="0.2">
      <c r="A791" s="21" t="s">
        <v>3528</v>
      </c>
      <c r="B791" s="21" t="s">
        <v>566</v>
      </c>
      <c r="C791" s="21" t="s">
        <v>649</v>
      </c>
      <c r="D791" s="21"/>
      <c r="E791" s="21"/>
      <c r="F791" s="21"/>
      <c r="G791" s="21"/>
      <c r="H791" s="21"/>
      <c r="I791" s="21"/>
      <c r="J791" s="89"/>
      <c r="K791" s="94"/>
      <c r="L791" s="94"/>
      <c r="M791" s="89"/>
      <c r="N791" s="89"/>
      <c r="O791" s="89">
        <f>SUMIF('PCT data'!$E$3:$E$154,$B791,'PCT data'!$I$3:$I$154)/SUMIF('PCT data'!$E$3:$E$154,$B791,'PCT data'!$D$3:$D$154)</f>
        <v>0.91859240167379452</v>
      </c>
    </row>
    <row r="792" spans="1:15" x14ac:dyDescent="0.2">
      <c r="A792" s="21" t="s">
        <v>2133</v>
      </c>
      <c r="B792" s="21" t="s">
        <v>682</v>
      </c>
      <c r="C792" s="21" t="s">
        <v>648</v>
      </c>
      <c r="D792" s="21"/>
      <c r="E792" s="21"/>
      <c r="F792" s="21"/>
      <c r="G792" s="21"/>
      <c r="H792" s="21"/>
      <c r="I792" s="21"/>
      <c r="J792" s="89"/>
      <c r="K792" s="94"/>
      <c r="L792" s="94"/>
      <c r="M792" s="89"/>
      <c r="N792" s="89"/>
      <c r="O792" s="89">
        <f>SUMIF('PCT data'!$E$3:$E$154,$B792,'PCT data'!$I$3:$I$154)/SUMIF('PCT data'!$E$3:$E$154,$B792,'PCT data'!$D$3:$D$154)</f>
        <v>0.94415187870856609</v>
      </c>
    </row>
    <row r="793" spans="1:15" ht="13.5" thickBot="1" x14ac:dyDescent="0.25">
      <c r="A793" s="49" t="s">
        <v>3034</v>
      </c>
      <c r="B793" s="49" t="s">
        <v>705</v>
      </c>
      <c r="C793" s="49" t="s">
        <v>706</v>
      </c>
      <c r="D793" s="49"/>
      <c r="E793" s="49"/>
      <c r="F793" s="49"/>
      <c r="G793" s="49"/>
      <c r="H793" s="49"/>
      <c r="I793" s="49"/>
      <c r="J793" s="90"/>
      <c r="K793" s="95"/>
      <c r="L793" s="95"/>
      <c r="M793" s="90"/>
      <c r="N793" s="90"/>
      <c r="O793" s="90">
        <f>SUMIF('PCT data'!$E$3:$E$154,$B793,'PCT data'!$I$3:$I$154)/SUMIF('PCT data'!$E$3:$E$154,$B793,'PCT data'!$D$3:$D$154)</f>
        <v>0.93503304642982565</v>
      </c>
    </row>
  </sheetData>
  <autoFilter ref="A1:O755"/>
  <phoneticPr fontId="7" type="noConversion"/>
  <pageMargins left="0.75" right="0.75" top="1" bottom="1" header="0.5" footer="0.5"/>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autoPageBreaks="0"/>
  </sheetPr>
  <dimension ref="B1:L268"/>
  <sheetViews>
    <sheetView workbookViewId="0"/>
  </sheetViews>
  <sheetFormatPr defaultRowHeight="12.75" x14ac:dyDescent="0.2"/>
  <cols>
    <col min="1" max="2" width="11.42578125" style="19" customWidth="1"/>
    <col min="3" max="3" width="15.140625" style="19" bestFit="1" customWidth="1"/>
    <col min="4" max="5" width="11.42578125" style="19" customWidth="1"/>
    <col min="6" max="6" width="12.42578125" style="19" customWidth="1"/>
    <col min="7" max="7" width="10" style="103" customWidth="1"/>
    <col min="8" max="8" width="11.42578125" style="19" customWidth="1"/>
    <col min="9" max="9" width="23.140625" style="19" customWidth="1"/>
    <col min="10" max="10" width="16.85546875" style="19" customWidth="1"/>
    <col min="11" max="11" width="25.42578125" style="19" customWidth="1"/>
    <col min="12" max="256" width="11.42578125" style="19" customWidth="1"/>
    <col min="257" max="16384" width="9.140625" style="19"/>
  </cols>
  <sheetData>
    <row r="1" spans="2:12" x14ac:dyDescent="0.2">
      <c r="B1" s="101" t="s">
        <v>4288</v>
      </c>
      <c r="C1" s="101"/>
      <c r="D1" s="101"/>
      <c r="E1" s="101"/>
      <c r="F1" s="101"/>
    </row>
    <row r="2" spans="2:12" x14ac:dyDescent="0.2">
      <c r="B2" s="101" t="s">
        <v>4289</v>
      </c>
      <c r="D2" s="102"/>
      <c r="E2" s="102"/>
      <c r="F2" s="102"/>
      <c r="G2" s="109"/>
    </row>
    <row r="3" spans="2:12" x14ac:dyDescent="0.2">
      <c r="B3" s="101"/>
      <c r="C3" s="101"/>
      <c r="D3" s="101"/>
      <c r="E3" s="101"/>
      <c r="F3" s="101"/>
    </row>
    <row r="4" spans="2:12" ht="25.5" x14ac:dyDescent="0.2">
      <c r="B4" s="118"/>
      <c r="C4" s="118" t="s">
        <v>2742</v>
      </c>
      <c r="D4" s="118" t="s">
        <v>2743</v>
      </c>
      <c r="E4" s="118"/>
      <c r="F4" s="2"/>
      <c r="G4" s="110"/>
      <c r="H4" s="115"/>
      <c r="I4" s="116" t="s">
        <v>2736</v>
      </c>
      <c r="J4" s="116" t="s">
        <v>2737</v>
      </c>
      <c r="K4" s="116" t="s">
        <v>2738</v>
      </c>
      <c r="L4" s="117" t="s">
        <v>2739</v>
      </c>
    </row>
    <row r="5" spans="2:12" x14ac:dyDescent="0.2">
      <c r="B5" s="118" t="s">
        <v>2744</v>
      </c>
      <c r="C5" s="118">
        <v>4949528068.9343929</v>
      </c>
      <c r="D5" s="118">
        <v>32678.850999999988</v>
      </c>
      <c r="E5" s="118"/>
      <c r="F5" s="2"/>
      <c r="H5" s="118" t="s">
        <v>2740</v>
      </c>
      <c r="I5" s="2">
        <f>E10</f>
        <v>98732.846709467747</v>
      </c>
      <c r="J5" s="2">
        <v>2162</v>
      </c>
      <c r="K5" s="2">
        <f>I5-J5</f>
        <v>96570.846709467747</v>
      </c>
      <c r="L5" s="119">
        <f>I5/K5</f>
        <v>1.0223877088548716</v>
      </c>
    </row>
    <row r="6" spans="2:12" x14ac:dyDescent="0.2">
      <c r="B6" s="118" t="s">
        <v>2745</v>
      </c>
      <c r="C6" s="118">
        <v>813677825.38146996</v>
      </c>
      <c r="D6" s="118">
        <v>8455.9880000000012</v>
      </c>
      <c r="E6" s="118"/>
      <c r="F6" s="2"/>
      <c r="H6" s="118" t="s">
        <v>2741</v>
      </c>
      <c r="I6" s="2"/>
      <c r="J6" s="2">
        <v>149</v>
      </c>
      <c r="K6" s="2"/>
      <c r="L6" s="119"/>
    </row>
    <row r="7" spans="2:12" x14ac:dyDescent="0.2">
      <c r="B7" s="118" t="s">
        <v>2746</v>
      </c>
      <c r="C7" s="118">
        <v>1721636653.9123163</v>
      </c>
      <c r="D7" s="118">
        <v>34271.648999999983</v>
      </c>
      <c r="E7" s="118"/>
      <c r="F7" s="2"/>
    </row>
    <row r="8" spans="2:12" x14ac:dyDescent="0.2">
      <c r="B8" s="118" t="s">
        <v>2747</v>
      </c>
      <c r="C8" s="118">
        <v>1271947359.7424107</v>
      </c>
      <c r="D8" s="118">
        <v>14026.121000000001</v>
      </c>
      <c r="E8" s="118"/>
      <c r="F8" s="2"/>
      <c r="I8" s="662" t="s">
        <v>2750</v>
      </c>
      <c r="J8" s="662"/>
    </row>
    <row r="9" spans="2:12" x14ac:dyDescent="0.2">
      <c r="B9" s="118" t="s">
        <v>2748</v>
      </c>
      <c r="C9" s="118">
        <v>285734277.13936585</v>
      </c>
      <c r="D9" s="118">
        <v>2153.165</v>
      </c>
      <c r="E9" s="118"/>
      <c r="F9" s="2"/>
      <c r="I9" s="2" t="s">
        <v>1104</v>
      </c>
      <c r="J9" s="150">
        <f>1/E268</f>
        <v>0.99619990923086066</v>
      </c>
    </row>
    <row r="10" spans="2:12" x14ac:dyDescent="0.2">
      <c r="B10" s="118" t="s">
        <v>2749</v>
      </c>
      <c r="C10" s="118">
        <v>9042524185.1099548</v>
      </c>
      <c r="D10" s="118">
        <v>91585.773999999976</v>
      </c>
      <c r="E10" s="118">
        <f>C10/D10</f>
        <v>98732.846709467747</v>
      </c>
      <c r="F10" s="2"/>
      <c r="I10" s="2" t="s">
        <v>1105</v>
      </c>
      <c r="J10" s="150">
        <f>L5/E268</f>
        <v>1.0185025427599708</v>
      </c>
    </row>
    <row r="11" spans="2:12" ht="13.5" thickBot="1" x14ac:dyDescent="0.25"/>
    <row r="12" spans="2:12" ht="26.25" thickBot="1" x14ac:dyDescent="0.25">
      <c r="B12" s="86" t="s">
        <v>3572</v>
      </c>
      <c r="C12" s="113" t="s">
        <v>3368</v>
      </c>
      <c r="D12" s="113" t="s">
        <v>3369</v>
      </c>
      <c r="E12" s="86" t="s">
        <v>2735</v>
      </c>
      <c r="F12" s="86" t="s">
        <v>2751</v>
      </c>
      <c r="G12" s="114" t="s">
        <v>2750</v>
      </c>
    </row>
    <row r="13" spans="2:12" x14ac:dyDescent="0.2">
      <c r="B13" s="21" t="s">
        <v>3528</v>
      </c>
      <c r="C13" s="104" t="s">
        <v>3372</v>
      </c>
      <c r="D13" s="105" t="s">
        <v>3373</v>
      </c>
      <c r="E13" s="89">
        <f t="shared" ref="E13:E76" si="0">IF(B13="Q36",$L$5,1)</f>
        <v>1</v>
      </c>
      <c r="F13" s="21">
        <f>SUMIF('Staff data'!B:B,'M&amp;D data'!C13,'Staff data'!I:I)</f>
        <v>203</v>
      </c>
      <c r="G13" s="111">
        <f t="shared" ref="G13:G76" si="1">E13/E$268</f>
        <v>0.99619990923086066</v>
      </c>
    </row>
    <row r="14" spans="2:12" x14ac:dyDescent="0.2">
      <c r="B14" s="21" t="s">
        <v>2975</v>
      </c>
      <c r="C14" s="104" t="s">
        <v>3376</v>
      </c>
      <c r="D14" s="105" t="s">
        <v>3377</v>
      </c>
      <c r="E14" s="89">
        <f t="shared" si="0"/>
        <v>1</v>
      </c>
      <c r="F14" s="21">
        <f>SUMIF('Staff data'!B:B,'M&amp;D data'!C14,'Staff data'!I:I)</f>
        <v>364</v>
      </c>
      <c r="G14" s="111">
        <f t="shared" si="1"/>
        <v>0.99619990923086066</v>
      </c>
    </row>
    <row r="15" spans="2:12" x14ac:dyDescent="0.2">
      <c r="B15" s="21" t="s">
        <v>2975</v>
      </c>
      <c r="C15" s="105" t="s">
        <v>3378</v>
      </c>
      <c r="D15" s="105" t="s">
        <v>3379</v>
      </c>
      <c r="E15" s="89">
        <f t="shared" si="0"/>
        <v>1</v>
      </c>
      <c r="F15" s="21">
        <f>SUMIF('Staff data'!B:B,'M&amp;D data'!C15,'Staff data'!I:I)</f>
        <v>819</v>
      </c>
      <c r="G15" s="111">
        <f t="shared" si="1"/>
        <v>0.99619990923086066</v>
      </c>
    </row>
    <row r="16" spans="2:12" x14ac:dyDescent="0.2">
      <c r="B16" s="21" t="s">
        <v>3034</v>
      </c>
      <c r="C16" s="105" t="s">
        <v>3380</v>
      </c>
      <c r="D16" s="105" t="s">
        <v>3381</v>
      </c>
      <c r="E16" s="89">
        <f t="shared" si="0"/>
        <v>1</v>
      </c>
      <c r="F16" s="21">
        <f>SUMIF('Staff data'!B:B,'M&amp;D data'!C16,'Staff data'!I:I)</f>
        <v>411</v>
      </c>
      <c r="G16" s="111">
        <f t="shared" si="1"/>
        <v>0.99619990923086066</v>
      </c>
    </row>
    <row r="17" spans="2:7" x14ac:dyDescent="0.2">
      <c r="B17" s="21" t="s">
        <v>2975</v>
      </c>
      <c r="C17" s="105" t="s">
        <v>3382</v>
      </c>
      <c r="D17" s="105" t="s">
        <v>3383</v>
      </c>
      <c r="E17" s="89">
        <f t="shared" si="0"/>
        <v>1</v>
      </c>
      <c r="F17" s="21">
        <f>SUMIF('Staff data'!B:B,'M&amp;D data'!C17,'Staff data'!I:I)</f>
        <v>292</v>
      </c>
      <c r="G17" s="111">
        <f t="shared" si="1"/>
        <v>0.99619990923086066</v>
      </c>
    </row>
    <row r="18" spans="2:7" x14ac:dyDescent="0.2">
      <c r="B18" s="21" t="s">
        <v>3496</v>
      </c>
      <c r="C18" s="105" t="s">
        <v>3384</v>
      </c>
      <c r="D18" s="105" t="s">
        <v>3385</v>
      </c>
      <c r="E18" s="89">
        <f t="shared" si="0"/>
        <v>1</v>
      </c>
      <c r="F18" s="21">
        <f>SUMIF('Staff data'!B:B,'M&amp;D data'!C18,'Staff data'!I:I)</f>
        <v>631</v>
      </c>
      <c r="G18" s="111">
        <f t="shared" si="1"/>
        <v>0.99619990923086066</v>
      </c>
    </row>
    <row r="19" spans="2:7" x14ac:dyDescent="0.2">
      <c r="B19" s="21" t="s">
        <v>3528</v>
      </c>
      <c r="C19" s="105" t="s">
        <v>3386</v>
      </c>
      <c r="D19" s="105" t="s">
        <v>3387</v>
      </c>
      <c r="E19" s="89">
        <f t="shared" si="0"/>
        <v>1</v>
      </c>
      <c r="F19" s="21">
        <f>SUMIF('Staff data'!B:B,'M&amp;D data'!C19,'Staff data'!I:I)</f>
        <v>690</v>
      </c>
      <c r="G19" s="111">
        <f t="shared" si="1"/>
        <v>0.99619990923086066</v>
      </c>
    </row>
    <row r="20" spans="2:7" x14ac:dyDescent="0.2">
      <c r="B20" s="21" t="s">
        <v>1167</v>
      </c>
      <c r="C20" s="105" t="s">
        <v>3388</v>
      </c>
      <c r="D20" s="105" t="s">
        <v>3389</v>
      </c>
      <c r="E20" s="89">
        <f t="shared" si="0"/>
        <v>1.0223877088548716</v>
      </c>
      <c r="F20" s="21">
        <f>SUMIF('Staff data'!B:B,'M&amp;D data'!C20,'Staff data'!I:I)</f>
        <v>1222</v>
      </c>
      <c r="G20" s="111">
        <f t="shared" si="1"/>
        <v>1.0185025427599708</v>
      </c>
    </row>
    <row r="21" spans="2:7" x14ac:dyDescent="0.2">
      <c r="B21" s="21" t="s">
        <v>1167</v>
      </c>
      <c r="C21" s="105" t="s">
        <v>3224</v>
      </c>
      <c r="D21" s="105" t="s">
        <v>2262</v>
      </c>
      <c r="E21" s="89">
        <f t="shared" si="0"/>
        <v>1.0223877088548716</v>
      </c>
      <c r="F21" s="21">
        <f>SUMIF('Staff data'!B:B,'M&amp;D data'!C21,'Staff data'!I:I)</f>
        <v>887</v>
      </c>
      <c r="G21" s="111">
        <f t="shared" si="1"/>
        <v>1.0185025427599708</v>
      </c>
    </row>
    <row r="22" spans="2:7" x14ac:dyDescent="0.2">
      <c r="B22" s="21" t="s">
        <v>1167</v>
      </c>
      <c r="C22" s="105" t="s">
        <v>2263</v>
      </c>
      <c r="D22" s="105" t="s">
        <v>2264</v>
      </c>
      <c r="E22" s="89">
        <f t="shared" si="0"/>
        <v>1.0223877088548716</v>
      </c>
      <c r="F22" s="21">
        <f>SUMIF('Staff data'!B:B,'M&amp;D data'!C22,'Staff data'!I:I)</f>
        <v>651</v>
      </c>
      <c r="G22" s="111">
        <f t="shared" si="1"/>
        <v>1.0185025427599708</v>
      </c>
    </row>
    <row r="23" spans="2:7" x14ac:dyDescent="0.2">
      <c r="B23" s="21" t="s">
        <v>3034</v>
      </c>
      <c r="C23" s="105" t="s">
        <v>2265</v>
      </c>
      <c r="D23" s="105" t="s">
        <v>2266</v>
      </c>
      <c r="E23" s="89">
        <f t="shared" si="0"/>
        <v>1</v>
      </c>
      <c r="F23" s="21">
        <f>SUMIF('Staff data'!B:B,'M&amp;D data'!C23,'Staff data'!I:I)</f>
        <v>464</v>
      </c>
      <c r="G23" s="111">
        <f t="shared" si="1"/>
        <v>0.99619990923086066</v>
      </c>
    </row>
    <row r="24" spans="2:7" x14ac:dyDescent="0.2">
      <c r="B24" s="21" t="s">
        <v>1167</v>
      </c>
      <c r="C24" s="105" t="s">
        <v>2267</v>
      </c>
      <c r="D24" s="105" t="s">
        <v>2268</v>
      </c>
      <c r="E24" s="89">
        <f t="shared" si="0"/>
        <v>1.0223877088548716</v>
      </c>
      <c r="F24" s="21">
        <f>SUMIF('Staff data'!B:B,'M&amp;D data'!C24,'Staff data'!I:I)</f>
        <v>1024</v>
      </c>
      <c r="G24" s="111">
        <f t="shared" si="1"/>
        <v>1.0185025427599708</v>
      </c>
    </row>
    <row r="25" spans="2:7" x14ac:dyDescent="0.2">
      <c r="B25" s="21" t="s">
        <v>1127</v>
      </c>
      <c r="C25" s="105" t="s">
        <v>2269</v>
      </c>
      <c r="D25" s="105" t="s">
        <v>2270</v>
      </c>
      <c r="E25" s="89">
        <f t="shared" si="0"/>
        <v>1</v>
      </c>
      <c r="F25" s="21">
        <f>SUMIF('Staff data'!B:B,'M&amp;D data'!C25,'Staff data'!I:I)</f>
        <v>822</v>
      </c>
      <c r="G25" s="111">
        <f t="shared" si="1"/>
        <v>0.99619990923086066</v>
      </c>
    </row>
    <row r="26" spans="2:7" x14ac:dyDescent="0.2">
      <c r="B26" s="21" t="s">
        <v>1127</v>
      </c>
      <c r="C26" s="105" t="s">
        <v>2271</v>
      </c>
      <c r="D26" s="105" t="s">
        <v>2272</v>
      </c>
      <c r="E26" s="89">
        <f t="shared" si="0"/>
        <v>1</v>
      </c>
      <c r="F26" s="21">
        <f>SUMIF('Staff data'!B:B,'M&amp;D data'!C26,'Staff data'!I:I)</f>
        <v>427</v>
      </c>
      <c r="G26" s="111">
        <f t="shared" si="1"/>
        <v>0.99619990923086066</v>
      </c>
    </row>
    <row r="27" spans="2:7" x14ac:dyDescent="0.2">
      <c r="B27" s="21" t="s">
        <v>1127</v>
      </c>
      <c r="C27" s="105" t="s">
        <v>2273</v>
      </c>
      <c r="D27" s="105" t="s">
        <v>2274</v>
      </c>
      <c r="E27" s="89">
        <f t="shared" si="0"/>
        <v>1</v>
      </c>
      <c r="F27" s="21">
        <f>SUMIF('Staff data'!B:B,'M&amp;D data'!C27,'Staff data'!I:I)</f>
        <v>286</v>
      </c>
      <c r="G27" s="111">
        <f t="shared" si="1"/>
        <v>0.99619990923086066</v>
      </c>
    </row>
    <row r="28" spans="2:7" x14ac:dyDescent="0.2">
      <c r="B28" s="21" t="s">
        <v>191</v>
      </c>
      <c r="C28" s="105" t="s">
        <v>2275</v>
      </c>
      <c r="D28" s="105" t="s">
        <v>2276</v>
      </c>
      <c r="E28" s="89">
        <f t="shared" si="0"/>
        <v>1</v>
      </c>
      <c r="F28" s="21">
        <f>SUMIF('Staff data'!B:B,'M&amp;D data'!C28,'Staff data'!I:I)</f>
        <v>251</v>
      </c>
      <c r="G28" s="111">
        <f t="shared" si="1"/>
        <v>0.99619990923086066</v>
      </c>
    </row>
    <row r="29" spans="2:7" x14ac:dyDescent="0.2">
      <c r="B29" s="21" t="s">
        <v>2133</v>
      </c>
      <c r="C29" s="105" t="s">
        <v>2277</v>
      </c>
      <c r="D29" s="105" t="s">
        <v>2278</v>
      </c>
      <c r="E29" s="89">
        <f t="shared" si="0"/>
        <v>1</v>
      </c>
      <c r="F29" s="21">
        <f>SUMIF('Staff data'!B:B,'M&amp;D data'!C29,'Staff data'!I:I)</f>
        <v>788</v>
      </c>
      <c r="G29" s="111">
        <f t="shared" si="1"/>
        <v>0.99619990923086066</v>
      </c>
    </row>
    <row r="30" spans="2:7" x14ac:dyDescent="0.2">
      <c r="B30" s="21" t="s">
        <v>2133</v>
      </c>
      <c r="C30" s="105" t="s">
        <v>2279</v>
      </c>
      <c r="D30" s="105" t="s">
        <v>2280</v>
      </c>
      <c r="E30" s="89">
        <f t="shared" si="0"/>
        <v>1</v>
      </c>
      <c r="F30" s="21">
        <f>SUMIF('Staff data'!B:B,'M&amp;D data'!C30,'Staff data'!I:I)</f>
        <v>248</v>
      </c>
      <c r="G30" s="111">
        <f t="shared" si="1"/>
        <v>0.99619990923086066</v>
      </c>
    </row>
    <row r="31" spans="2:7" x14ac:dyDescent="0.2">
      <c r="B31" s="21" t="s">
        <v>2133</v>
      </c>
      <c r="C31" s="105" t="s">
        <v>2283</v>
      </c>
      <c r="D31" s="105" t="s">
        <v>2284</v>
      </c>
      <c r="E31" s="89">
        <f t="shared" si="0"/>
        <v>1</v>
      </c>
      <c r="F31" s="21">
        <f>SUMIF('Staff data'!B:B,'M&amp;D data'!C31,'Staff data'!I:I)</f>
        <v>181</v>
      </c>
      <c r="G31" s="111">
        <f t="shared" si="1"/>
        <v>0.99619990923086066</v>
      </c>
    </row>
    <row r="32" spans="2:7" x14ac:dyDescent="0.2">
      <c r="B32" s="21" t="s">
        <v>2975</v>
      </c>
      <c r="C32" s="105" t="s">
        <v>2285</v>
      </c>
      <c r="D32" s="105" t="s">
        <v>2286</v>
      </c>
      <c r="E32" s="89">
        <f t="shared" si="0"/>
        <v>1</v>
      </c>
      <c r="F32" s="21">
        <f>SUMIF('Staff data'!B:B,'M&amp;D data'!C32,'Staff data'!I:I)</f>
        <v>929</v>
      </c>
      <c r="G32" s="111">
        <f t="shared" si="1"/>
        <v>0.99619990923086066</v>
      </c>
    </row>
    <row r="33" spans="2:7" x14ac:dyDescent="0.2">
      <c r="B33" s="21" t="s">
        <v>3034</v>
      </c>
      <c r="C33" s="105" t="s">
        <v>2287</v>
      </c>
      <c r="D33" s="105" t="s">
        <v>2288</v>
      </c>
      <c r="E33" s="89">
        <f t="shared" si="0"/>
        <v>1</v>
      </c>
      <c r="F33" s="21">
        <f>SUMIF('Staff data'!B:B,'M&amp;D data'!C33,'Staff data'!I:I)</f>
        <v>432</v>
      </c>
      <c r="G33" s="111">
        <f t="shared" si="1"/>
        <v>0.99619990923086066</v>
      </c>
    </row>
    <row r="34" spans="2:7" x14ac:dyDescent="0.2">
      <c r="B34" s="21" t="s">
        <v>3034</v>
      </c>
      <c r="C34" s="105" t="s">
        <v>2289</v>
      </c>
      <c r="D34" s="105" t="s">
        <v>2290</v>
      </c>
      <c r="E34" s="89">
        <f t="shared" si="0"/>
        <v>1</v>
      </c>
      <c r="F34" s="21">
        <f>SUMIF('Staff data'!B:B,'M&amp;D data'!C34,'Staff data'!I:I)</f>
        <v>896</v>
      </c>
      <c r="G34" s="111">
        <f t="shared" si="1"/>
        <v>0.99619990923086066</v>
      </c>
    </row>
    <row r="35" spans="2:7" x14ac:dyDescent="0.2">
      <c r="B35" s="21" t="s">
        <v>3496</v>
      </c>
      <c r="C35" s="105" t="s">
        <v>2292</v>
      </c>
      <c r="D35" s="105" t="s">
        <v>2293</v>
      </c>
      <c r="E35" s="89">
        <f t="shared" si="0"/>
        <v>1</v>
      </c>
      <c r="F35" s="21">
        <f>SUMIF('Staff data'!B:B,'M&amp;D data'!C35,'Staff data'!I:I)</f>
        <v>789</v>
      </c>
      <c r="G35" s="111">
        <f t="shared" si="1"/>
        <v>0.99619990923086066</v>
      </c>
    </row>
    <row r="36" spans="2:7" x14ac:dyDescent="0.2">
      <c r="B36" s="21" t="s">
        <v>191</v>
      </c>
      <c r="C36" s="105" t="s">
        <v>2294</v>
      </c>
      <c r="D36" s="105" t="s">
        <v>2295</v>
      </c>
      <c r="E36" s="89">
        <f t="shared" si="0"/>
        <v>1</v>
      </c>
      <c r="F36" s="21">
        <f>SUMIF('Staff data'!B:B,'M&amp;D data'!C36,'Staff data'!I:I)</f>
        <v>726</v>
      </c>
      <c r="G36" s="111">
        <f t="shared" si="1"/>
        <v>0.99619990923086066</v>
      </c>
    </row>
    <row r="37" spans="2:7" x14ac:dyDescent="0.2">
      <c r="B37" s="21" t="s">
        <v>2133</v>
      </c>
      <c r="C37" s="105" t="s">
        <v>2296</v>
      </c>
      <c r="D37" s="105" t="s">
        <v>2297</v>
      </c>
      <c r="E37" s="89">
        <f t="shared" si="0"/>
        <v>1</v>
      </c>
      <c r="F37" s="21">
        <f>SUMIF('Staff data'!B:B,'M&amp;D data'!C37,'Staff data'!I:I)</f>
        <v>441</v>
      </c>
      <c r="G37" s="111">
        <f t="shared" si="1"/>
        <v>0.99619990923086066</v>
      </c>
    </row>
    <row r="38" spans="2:7" x14ac:dyDescent="0.2">
      <c r="B38" s="21" t="s">
        <v>3034</v>
      </c>
      <c r="C38" s="105" t="s">
        <v>2298</v>
      </c>
      <c r="D38" s="105" t="s">
        <v>2299</v>
      </c>
      <c r="E38" s="89">
        <f t="shared" si="0"/>
        <v>1</v>
      </c>
      <c r="F38" s="21">
        <f>SUMIF('Staff data'!B:B,'M&amp;D data'!C38,'Staff data'!I:I)</f>
        <v>856</v>
      </c>
      <c r="G38" s="111">
        <f t="shared" si="1"/>
        <v>0.99619990923086066</v>
      </c>
    </row>
    <row r="39" spans="2:7" x14ac:dyDescent="0.2">
      <c r="B39" s="21" t="s">
        <v>2975</v>
      </c>
      <c r="C39" s="105" t="s">
        <v>2300</v>
      </c>
      <c r="D39" s="105" t="s">
        <v>2301</v>
      </c>
      <c r="E39" s="89">
        <f t="shared" si="0"/>
        <v>1</v>
      </c>
      <c r="F39" s="21">
        <f>SUMIF('Staff data'!B:B,'M&amp;D data'!C39,'Staff data'!I:I)</f>
        <v>217</v>
      </c>
      <c r="G39" s="111">
        <f t="shared" si="1"/>
        <v>0.99619990923086066</v>
      </c>
    </row>
    <row r="40" spans="2:7" x14ac:dyDescent="0.2">
      <c r="B40" s="21" t="s">
        <v>1127</v>
      </c>
      <c r="C40" s="105" t="s">
        <v>2302</v>
      </c>
      <c r="D40" s="105" t="s">
        <v>2303</v>
      </c>
      <c r="E40" s="89">
        <f t="shared" si="0"/>
        <v>1</v>
      </c>
      <c r="F40" s="21">
        <f>SUMIF('Staff data'!B:B,'M&amp;D data'!C40,'Staff data'!I:I)</f>
        <v>1114</v>
      </c>
      <c r="G40" s="111">
        <f t="shared" si="1"/>
        <v>0.99619990923086066</v>
      </c>
    </row>
    <row r="41" spans="2:7" x14ac:dyDescent="0.2">
      <c r="B41" s="21" t="s">
        <v>1127</v>
      </c>
      <c r="C41" s="105" t="s">
        <v>2304</v>
      </c>
      <c r="D41" s="105" t="s">
        <v>2305</v>
      </c>
      <c r="E41" s="89">
        <f t="shared" si="0"/>
        <v>1</v>
      </c>
      <c r="F41" s="21">
        <f>SUMIF('Staff data'!B:B,'M&amp;D data'!C41,'Staff data'!I:I)</f>
        <v>465</v>
      </c>
      <c r="G41" s="111">
        <f t="shared" si="1"/>
        <v>0.99619990923086066</v>
      </c>
    </row>
    <row r="42" spans="2:7" x14ac:dyDescent="0.2">
      <c r="B42" s="21" t="s">
        <v>1167</v>
      </c>
      <c r="C42" s="105" t="s">
        <v>2308</v>
      </c>
      <c r="D42" s="105" t="s">
        <v>2309</v>
      </c>
      <c r="E42" s="89">
        <f t="shared" si="0"/>
        <v>1.0223877088548716</v>
      </c>
      <c r="F42" s="21">
        <f>SUMIF('Staff data'!B:B,'M&amp;D data'!C42,'Staff data'!I:I)</f>
        <v>425</v>
      </c>
      <c r="G42" s="111">
        <f t="shared" si="1"/>
        <v>1.0185025427599708</v>
      </c>
    </row>
    <row r="43" spans="2:7" x14ac:dyDescent="0.2">
      <c r="B43" s="21" t="s">
        <v>1167</v>
      </c>
      <c r="C43" s="105" t="s">
        <v>2310</v>
      </c>
      <c r="D43" s="105" t="s">
        <v>2311</v>
      </c>
      <c r="E43" s="89">
        <f t="shared" si="0"/>
        <v>1.0223877088548716</v>
      </c>
      <c r="F43" s="21">
        <f>SUMIF('Staff data'!B:B,'M&amp;D data'!C43,'Staff data'!I:I)</f>
        <v>910</v>
      </c>
      <c r="G43" s="111">
        <f t="shared" si="1"/>
        <v>1.0185025427599708</v>
      </c>
    </row>
    <row r="44" spans="2:7" x14ac:dyDescent="0.2">
      <c r="B44" s="21" t="s">
        <v>2975</v>
      </c>
      <c r="C44" s="105" t="s">
        <v>2314</v>
      </c>
      <c r="D44" s="105" t="s">
        <v>2315</v>
      </c>
      <c r="E44" s="89">
        <f t="shared" si="0"/>
        <v>1</v>
      </c>
      <c r="F44" s="21">
        <f>SUMIF('Staff data'!B:B,'M&amp;D data'!C44,'Staff data'!I:I)</f>
        <v>1537</v>
      </c>
      <c r="G44" s="111">
        <f t="shared" si="1"/>
        <v>0.99619990923086066</v>
      </c>
    </row>
    <row r="45" spans="2:7" x14ac:dyDescent="0.2">
      <c r="B45" s="21" t="s">
        <v>1167</v>
      </c>
      <c r="C45" s="105" t="s">
        <v>2316</v>
      </c>
      <c r="D45" s="105" t="s">
        <v>2317</v>
      </c>
      <c r="E45" s="89">
        <f t="shared" si="0"/>
        <v>1.0223877088548716</v>
      </c>
      <c r="F45" s="21">
        <f>SUMIF('Staff data'!B:B,'M&amp;D data'!C45,'Staff data'!I:I)</f>
        <v>429</v>
      </c>
      <c r="G45" s="111">
        <f t="shared" si="1"/>
        <v>1.0185025427599708</v>
      </c>
    </row>
    <row r="46" spans="2:7" x14ac:dyDescent="0.2">
      <c r="B46" s="21" t="s">
        <v>2975</v>
      </c>
      <c r="C46" s="105" t="s">
        <v>2318</v>
      </c>
      <c r="D46" s="105" t="s">
        <v>2319</v>
      </c>
      <c r="E46" s="89">
        <f t="shared" si="0"/>
        <v>1</v>
      </c>
      <c r="F46" s="21">
        <f>SUMIF('Staff data'!B:B,'M&amp;D data'!C46,'Staff data'!I:I)</f>
        <v>519</v>
      </c>
      <c r="G46" s="111">
        <f t="shared" si="1"/>
        <v>0.99619990923086066</v>
      </c>
    </row>
    <row r="47" spans="2:7" x14ac:dyDescent="0.2">
      <c r="B47" s="21" t="s">
        <v>3069</v>
      </c>
      <c r="C47" s="105" t="s">
        <v>2320</v>
      </c>
      <c r="D47" s="105" t="s">
        <v>2321</v>
      </c>
      <c r="E47" s="89">
        <f t="shared" si="0"/>
        <v>1</v>
      </c>
      <c r="F47" s="21">
        <f>SUMIF('Staff data'!B:B,'M&amp;D data'!C47,'Staff data'!I:I)</f>
        <v>523</v>
      </c>
      <c r="G47" s="111">
        <f t="shared" si="1"/>
        <v>0.99619990923086066</v>
      </c>
    </row>
    <row r="48" spans="2:7" x14ac:dyDescent="0.2">
      <c r="B48" s="21" t="s">
        <v>708</v>
      </c>
      <c r="C48" s="105" t="s">
        <v>2322</v>
      </c>
      <c r="D48" s="105" t="s">
        <v>2323</v>
      </c>
      <c r="E48" s="89">
        <f t="shared" si="0"/>
        <v>1</v>
      </c>
      <c r="F48" s="21">
        <f>SUMIF('Staff data'!B:B,'M&amp;D data'!C48,'Staff data'!I:I)</f>
        <v>984</v>
      </c>
      <c r="G48" s="111">
        <f t="shared" si="1"/>
        <v>0.99619990923086066</v>
      </c>
    </row>
    <row r="49" spans="2:7" x14ac:dyDescent="0.2">
      <c r="B49" s="21" t="s">
        <v>2975</v>
      </c>
      <c r="C49" s="105" t="s">
        <v>2324</v>
      </c>
      <c r="D49" s="105" t="s">
        <v>2325</v>
      </c>
      <c r="E49" s="89">
        <f t="shared" si="0"/>
        <v>1</v>
      </c>
      <c r="F49" s="21">
        <f>SUMIF('Staff data'!B:B,'M&amp;D data'!C49,'Staff data'!I:I)</f>
        <v>88</v>
      </c>
      <c r="G49" s="111">
        <f t="shared" si="1"/>
        <v>0.99619990923086066</v>
      </c>
    </row>
    <row r="50" spans="2:7" x14ac:dyDescent="0.2">
      <c r="B50" s="21" t="s">
        <v>1127</v>
      </c>
      <c r="C50" s="105" t="s">
        <v>2326</v>
      </c>
      <c r="D50" s="105" t="s">
        <v>0</v>
      </c>
      <c r="E50" s="89">
        <f t="shared" si="0"/>
        <v>1</v>
      </c>
      <c r="F50" s="21">
        <f>SUMIF('Staff data'!B:B,'M&amp;D data'!C50,'Staff data'!I:I)</f>
        <v>585</v>
      </c>
      <c r="G50" s="111">
        <f t="shared" si="1"/>
        <v>0.99619990923086066</v>
      </c>
    </row>
    <row r="51" spans="2:7" x14ac:dyDescent="0.2">
      <c r="B51" s="21" t="s">
        <v>3528</v>
      </c>
      <c r="C51" s="105" t="s">
        <v>1</v>
      </c>
      <c r="D51" s="105" t="s">
        <v>2</v>
      </c>
      <c r="E51" s="89">
        <f t="shared" si="0"/>
        <v>1</v>
      </c>
      <c r="F51" s="21">
        <f>SUMIF('Staff data'!B:B,'M&amp;D data'!C51,'Staff data'!I:I)</f>
        <v>167</v>
      </c>
      <c r="G51" s="111">
        <f t="shared" si="1"/>
        <v>0.99619990923086066</v>
      </c>
    </row>
    <row r="52" spans="2:7" x14ac:dyDescent="0.2">
      <c r="B52" s="21" t="s">
        <v>2975</v>
      </c>
      <c r="C52" s="105" t="s">
        <v>3</v>
      </c>
      <c r="D52" s="105" t="s">
        <v>4</v>
      </c>
      <c r="E52" s="89">
        <f t="shared" si="0"/>
        <v>1</v>
      </c>
      <c r="F52" s="21">
        <f>SUMIF('Staff data'!B:B,'M&amp;D data'!C52,'Staff data'!I:I)</f>
        <v>508</v>
      </c>
      <c r="G52" s="111">
        <f t="shared" si="1"/>
        <v>0.99619990923086066</v>
      </c>
    </row>
    <row r="53" spans="2:7" x14ac:dyDescent="0.2">
      <c r="B53" s="21" t="s">
        <v>708</v>
      </c>
      <c r="C53" s="105" t="s">
        <v>5</v>
      </c>
      <c r="D53" s="105" t="s">
        <v>6</v>
      </c>
      <c r="E53" s="89">
        <f t="shared" si="0"/>
        <v>1</v>
      </c>
      <c r="F53" s="21">
        <f>SUMIF('Staff data'!B:B,'M&amp;D data'!C53,'Staff data'!I:I)</f>
        <v>1064</v>
      </c>
      <c r="G53" s="111">
        <f t="shared" si="1"/>
        <v>0.99619990923086066</v>
      </c>
    </row>
    <row r="54" spans="2:7" x14ac:dyDescent="0.2">
      <c r="B54" s="21" t="s">
        <v>2133</v>
      </c>
      <c r="C54" s="105" t="s">
        <v>7</v>
      </c>
      <c r="D54" s="105" t="s">
        <v>8</v>
      </c>
      <c r="E54" s="89">
        <f t="shared" si="0"/>
        <v>1</v>
      </c>
      <c r="F54" s="21">
        <f>SUMIF('Staff data'!B:B,'M&amp;D data'!C54,'Staff data'!I:I)</f>
        <v>506</v>
      </c>
      <c r="G54" s="111">
        <f t="shared" si="1"/>
        <v>0.99619990923086066</v>
      </c>
    </row>
    <row r="55" spans="2:7" x14ac:dyDescent="0.2">
      <c r="B55" s="21" t="s">
        <v>2975</v>
      </c>
      <c r="C55" s="105" t="s">
        <v>9</v>
      </c>
      <c r="D55" s="105" t="s">
        <v>10</v>
      </c>
      <c r="E55" s="89">
        <f t="shared" si="0"/>
        <v>1</v>
      </c>
      <c r="F55" s="21">
        <f>SUMIF('Staff data'!B:B,'M&amp;D data'!C55,'Staff data'!I:I)</f>
        <v>161</v>
      </c>
      <c r="G55" s="111">
        <f t="shared" si="1"/>
        <v>0.99619990923086066</v>
      </c>
    </row>
    <row r="56" spans="2:7" x14ac:dyDescent="0.2">
      <c r="B56" s="21" t="s">
        <v>3496</v>
      </c>
      <c r="C56" s="105" t="s">
        <v>11</v>
      </c>
      <c r="D56" s="105" t="s">
        <v>2328</v>
      </c>
      <c r="E56" s="89">
        <f t="shared" si="0"/>
        <v>1</v>
      </c>
      <c r="F56" s="21">
        <f>SUMIF('Staff data'!B:B,'M&amp;D data'!C56,'Staff data'!I:I)</f>
        <v>444</v>
      </c>
      <c r="G56" s="111">
        <f t="shared" si="1"/>
        <v>0.99619990923086066</v>
      </c>
    </row>
    <row r="57" spans="2:7" x14ac:dyDescent="0.2">
      <c r="B57" s="21" t="s">
        <v>3069</v>
      </c>
      <c r="C57" s="105" t="s">
        <v>2329</v>
      </c>
      <c r="D57" s="105" t="s">
        <v>2330</v>
      </c>
      <c r="E57" s="89">
        <f t="shared" si="0"/>
        <v>1</v>
      </c>
      <c r="F57" s="21">
        <f>SUMIF('Staff data'!B:B,'M&amp;D data'!C57,'Staff data'!I:I)</f>
        <v>1082</v>
      </c>
      <c r="G57" s="111">
        <f t="shared" si="1"/>
        <v>0.99619990923086066</v>
      </c>
    </row>
    <row r="58" spans="2:7" x14ac:dyDescent="0.2">
      <c r="B58" s="21" t="s">
        <v>3069</v>
      </c>
      <c r="C58" s="105" t="s">
        <v>2333</v>
      </c>
      <c r="D58" s="105" t="s">
        <v>2334</v>
      </c>
      <c r="E58" s="89">
        <f t="shared" si="0"/>
        <v>1</v>
      </c>
      <c r="F58" s="21">
        <f>SUMIF('Staff data'!B:B,'M&amp;D data'!C58,'Staff data'!I:I)</f>
        <v>293</v>
      </c>
      <c r="G58" s="111">
        <f t="shared" si="1"/>
        <v>0.99619990923086066</v>
      </c>
    </row>
    <row r="59" spans="2:7" x14ac:dyDescent="0.2">
      <c r="B59" s="21" t="s">
        <v>3528</v>
      </c>
      <c r="C59" s="105" t="s">
        <v>2335</v>
      </c>
      <c r="D59" s="105" t="s">
        <v>2336</v>
      </c>
      <c r="E59" s="89">
        <f t="shared" si="0"/>
        <v>1</v>
      </c>
      <c r="F59" s="21">
        <f>SUMIF('Staff data'!B:B,'M&amp;D data'!C59,'Staff data'!I:I)</f>
        <v>348</v>
      </c>
      <c r="G59" s="111">
        <f t="shared" si="1"/>
        <v>0.99619990923086066</v>
      </c>
    </row>
    <row r="60" spans="2:7" x14ac:dyDescent="0.2">
      <c r="B60" s="21" t="s">
        <v>3034</v>
      </c>
      <c r="C60" s="105" t="s">
        <v>2337</v>
      </c>
      <c r="D60" s="105" t="s">
        <v>2338</v>
      </c>
      <c r="E60" s="89">
        <f t="shared" si="0"/>
        <v>1</v>
      </c>
      <c r="F60" s="21">
        <f>SUMIF('Staff data'!B:B,'M&amp;D data'!C60,'Staff data'!I:I)</f>
        <v>1199</v>
      </c>
      <c r="G60" s="111">
        <f t="shared" si="1"/>
        <v>0.99619990923086066</v>
      </c>
    </row>
    <row r="61" spans="2:7" x14ac:dyDescent="0.2">
      <c r="B61" s="21" t="s">
        <v>3528</v>
      </c>
      <c r="C61" s="105" t="s">
        <v>2339</v>
      </c>
      <c r="D61" s="105" t="s">
        <v>2340</v>
      </c>
      <c r="E61" s="89">
        <f t="shared" si="0"/>
        <v>1</v>
      </c>
      <c r="F61" s="21">
        <f>SUMIF('Staff data'!B:B,'M&amp;D data'!C61,'Staff data'!I:I)</f>
        <v>400</v>
      </c>
      <c r="G61" s="111">
        <f t="shared" si="1"/>
        <v>0.99619990923086066</v>
      </c>
    </row>
    <row r="62" spans="2:7" x14ac:dyDescent="0.2">
      <c r="B62" s="21" t="s">
        <v>3528</v>
      </c>
      <c r="C62" s="105" t="s">
        <v>2341</v>
      </c>
      <c r="D62" s="105" t="s">
        <v>2342</v>
      </c>
      <c r="E62" s="89">
        <f t="shared" si="0"/>
        <v>1</v>
      </c>
      <c r="F62" s="21">
        <f>SUMIF('Staff data'!B:B,'M&amp;D data'!C62,'Staff data'!I:I)</f>
        <v>391</v>
      </c>
      <c r="G62" s="111">
        <f t="shared" si="1"/>
        <v>0.99619990923086066</v>
      </c>
    </row>
    <row r="63" spans="2:7" x14ac:dyDescent="0.2">
      <c r="B63" s="21" t="s">
        <v>2133</v>
      </c>
      <c r="C63" s="105" t="s">
        <v>2343</v>
      </c>
      <c r="D63" s="105" t="s">
        <v>2344</v>
      </c>
      <c r="E63" s="89">
        <f t="shared" si="0"/>
        <v>1</v>
      </c>
      <c r="F63" s="21">
        <f>SUMIF('Staff data'!B:B,'M&amp;D data'!C63,'Staff data'!I:I)</f>
        <v>231</v>
      </c>
      <c r="G63" s="111">
        <f t="shared" si="1"/>
        <v>0.99619990923086066</v>
      </c>
    </row>
    <row r="64" spans="2:7" x14ac:dyDescent="0.2">
      <c r="B64" s="21" t="s">
        <v>1167</v>
      </c>
      <c r="C64" s="105" t="s">
        <v>2345</v>
      </c>
      <c r="D64" s="105" t="s">
        <v>2346</v>
      </c>
      <c r="E64" s="89">
        <f t="shared" si="0"/>
        <v>1.0223877088548716</v>
      </c>
      <c r="F64" s="21">
        <f>SUMIF('Staff data'!B:B,'M&amp;D data'!C64,'Staff data'!I:I)</f>
        <v>397</v>
      </c>
      <c r="G64" s="111">
        <f t="shared" si="1"/>
        <v>1.0185025427599708</v>
      </c>
    </row>
    <row r="65" spans="2:7" x14ac:dyDescent="0.2">
      <c r="B65" s="21" t="s">
        <v>1127</v>
      </c>
      <c r="C65" s="105" t="s">
        <v>2347</v>
      </c>
      <c r="D65" s="105" t="s">
        <v>2348</v>
      </c>
      <c r="E65" s="89">
        <f t="shared" si="0"/>
        <v>1</v>
      </c>
      <c r="F65" s="21">
        <f>SUMIF('Staff data'!B:B,'M&amp;D data'!C65,'Staff data'!I:I)</f>
        <v>849</v>
      </c>
      <c r="G65" s="111">
        <f t="shared" si="1"/>
        <v>0.99619990923086066</v>
      </c>
    </row>
    <row r="66" spans="2:7" x14ac:dyDescent="0.2">
      <c r="B66" s="21" t="s">
        <v>2975</v>
      </c>
      <c r="C66" s="105" t="s">
        <v>2349</v>
      </c>
      <c r="D66" s="105" t="s">
        <v>2350</v>
      </c>
      <c r="E66" s="89">
        <f t="shared" si="0"/>
        <v>1</v>
      </c>
      <c r="F66" s="21">
        <f>SUMIF('Staff data'!B:B,'M&amp;D data'!C66,'Staff data'!I:I)</f>
        <v>396</v>
      </c>
      <c r="G66" s="111">
        <f t="shared" si="1"/>
        <v>0.99619990923086066</v>
      </c>
    </row>
    <row r="67" spans="2:7" x14ac:dyDescent="0.2">
      <c r="B67" s="21" t="s">
        <v>3496</v>
      </c>
      <c r="C67" s="105" t="s">
        <v>2351</v>
      </c>
      <c r="D67" s="105" t="s">
        <v>2352</v>
      </c>
      <c r="E67" s="89">
        <f t="shared" si="0"/>
        <v>1</v>
      </c>
      <c r="F67" s="21">
        <f>SUMIF('Staff data'!B:B,'M&amp;D data'!C67,'Staff data'!I:I)</f>
        <v>1001</v>
      </c>
      <c r="G67" s="111">
        <f t="shared" si="1"/>
        <v>0.99619990923086066</v>
      </c>
    </row>
    <row r="68" spans="2:7" x14ac:dyDescent="0.2">
      <c r="B68" s="21" t="s">
        <v>2975</v>
      </c>
      <c r="C68" s="105" t="s">
        <v>2353</v>
      </c>
      <c r="D68" s="105" t="s">
        <v>2354</v>
      </c>
      <c r="E68" s="89">
        <f t="shared" si="0"/>
        <v>1</v>
      </c>
      <c r="F68" s="21">
        <f>SUMIF('Staff data'!B:B,'M&amp;D data'!C68,'Staff data'!I:I)</f>
        <v>967</v>
      </c>
      <c r="G68" s="111">
        <f t="shared" si="1"/>
        <v>0.99619990923086066</v>
      </c>
    </row>
    <row r="69" spans="2:7" x14ac:dyDescent="0.2">
      <c r="B69" s="21" t="s">
        <v>1167</v>
      </c>
      <c r="C69" s="105" t="s">
        <v>2355</v>
      </c>
      <c r="D69" s="105" t="s">
        <v>2356</v>
      </c>
      <c r="E69" s="89">
        <f t="shared" si="0"/>
        <v>1.0223877088548716</v>
      </c>
      <c r="F69" s="21">
        <f>SUMIF('Staff data'!B:B,'M&amp;D data'!C69,'Staff data'!I:I)</f>
        <v>656</v>
      </c>
      <c r="G69" s="111">
        <f t="shared" si="1"/>
        <v>1.0185025427599708</v>
      </c>
    </row>
    <row r="70" spans="2:7" x14ac:dyDescent="0.2">
      <c r="B70" s="21" t="s">
        <v>3496</v>
      </c>
      <c r="C70" s="105" t="s">
        <v>2361</v>
      </c>
      <c r="D70" s="105" t="s">
        <v>2362</v>
      </c>
      <c r="E70" s="89">
        <f t="shared" si="0"/>
        <v>1</v>
      </c>
      <c r="F70" s="21">
        <f>SUMIF('Staff data'!B:B,'M&amp;D data'!C70,'Staff data'!I:I)</f>
        <v>986</v>
      </c>
      <c r="G70" s="111">
        <f t="shared" si="1"/>
        <v>0.99619990923086066</v>
      </c>
    </row>
    <row r="71" spans="2:7" x14ac:dyDescent="0.2">
      <c r="B71" s="21" t="s">
        <v>1167</v>
      </c>
      <c r="C71" s="105" t="s">
        <v>2363</v>
      </c>
      <c r="D71" s="105" t="s">
        <v>2364</v>
      </c>
      <c r="E71" s="89">
        <f t="shared" si="0"/>
        <v>1.0223877088548716</v>
      </c>
      <c r="F71" s="21">
        <f>SUMIF('Staff data'!B:B,'M&amp;D data'!C71,'Staff data'!I:I)</f>
        <v>824</v>
      </c>
      <c r="G71" s="111">
        <f t="shared" si="1"/>
        <v>1.0185025427599708</v>
      </c>
    </row>
    <row r="72" spans="2:7" x14ac:dyDescent="0.2">
      <c r="B72" s="21" t="s">
        <v>3496</v>
      </c>
      <c r="C72" s="105" t="s">
        <v>2365</v>
      </c>
      <c r="D72" s="105" t="s">
        <v>2366</v>
      </c>
      <c r="E72" s="89">
        <f t="shared" si="0"/>
        <v>1</v>
      </c>
      <c r="F72" s="21">
        <f>SUMIF('Staff data'!B:B,'M&amp;D data'!C72,'Staff data'!I:I)</f>
        <v>636</v>
      </c>
      <c r="G72" s="111">
        <f t="shared" si="1"/>
        <v>0.99619990923086066</v>
      </c>
    </row>
    <row r="73" spans="2:7" x14ac:dyDescent="0.2">
      <c r="B73" s="21" t="s">
        <v>708</v>
      </c>
      <c r="C73" s="105" t="s">
        <v>2367</v>
      </c>
      <c r="D73" s="105" t="s">
        <v>2368</v>
      </c>
      <c r="E73" s="89">
        <f t="shared" si="0"/>
        <v>1</v>
      </c>
      <c r="F73" s="21">
        <f>SUMIF('Staff data'!B:B,'M&amp;D data'!C73,'Staff data'!I:I)</f>
        <v>756</v>
      </c>
      <c r="G73" s="111">
        <f t="shared" si="1"/>
        <v>0.99619990923086066</v>
      </c>
    </row>
    <row r="74" spans="2:7" x14ac:dyDescent="0.2">
      <c r="B74" s="21" t="s">
        <v>2133</v>
      </c>
      <c r="C74" s="105" t="s">
        <v>2369</v>
      </c>
      <c r="D74" s="105" t="s">
        <v>2370</v>
      </c>
      <c r="E74" s="89">
        <f t="shared" si="0"/>
        <v>1</v>
      </c>
      <c r="F74" s="21">
        <f>SUMIF('Staff data'!B:B,'M&amp;D data'!C74,'Staff data'!I:I)</f>
        <v>320</v>
      </c>
      <c r="G74" s="111">
        <f t="shared" si="1"/>
        <v>0.99619990923086066</v>
      </c>
    </row>
    <row r="75" spans="2:7" x14ac:dyDescent="0.2">
      <c r="B75" s="21" t="s">
        <v>3528</v>
      </c>
      <c r="C75" s="105" t="s">
        <v>2371</v>
      </c>
      <c r="D75" s="105" t="s">
        <v>2372</v>
      </c>
      <c r="E75" s="89">
        <f t="shared" si="0"/>
        <v>1</v>
      </c>
      <c r="F75" s="21">
        <f>SUMIF('Staff data'!B:B,'M&amp;D data'!C75,'Staff data'!I:I)</f>
        <v>1206</v>
      </c>
      <c r="G75" s="111">
        <f t="shared" si="1"/>
        <v>0.99619990923086066</v>
      </c>
    </row>
    <row r="76" spans="2:7" x14ac:dyDescent="0.2">
      <c r="B76" s="21" t="s">
        <v>1167</v>
      </c>
      <c r="C76" s="105" t="s">
        <v>2373</v>
      </c>
      <c r="D76" s="105" t="s">
        <v>2374</v>
      </c>
      <c r="E76" s="89">
        <f t="shared" si="0"/>
        <v>1.0223877088548716</v>
      </c>
      <c r="F76" s="21">
        <f>SUMIF('Staff data'!B:B,'M&amp;D data'!C76,'Staff data'!I:I)</f>
        <v>283</v>
      </c>
      <c r="G76" s="111">
        <f t="shared" si="1"/>
        <v>1.0185025427599708</v>
      </c>
    </row>
    <row r="77" spans="2:7" x14ac:dyDescent="0.2">
      <c r="B77" s="21" t="s">
        <v>3528</v>
      </c>
      <c r="C77" s="105" t="s">
        <v>2377</v>
      </c>
      <c r="D77" s="105" t="s">
        <v>2378</v>
      </c>
      <c r="E77" s="89">
        <f t="shared" ref="E77:E140" si="2">IF(B77="Q36",$L$5,1)</f>
        <v>1</v>
      </c>
      <c r="F77" s="21">
        <f>SUMIF('Staff data'!B:B,'M&amp;D data'!C77,'Staff data'!I:I)</f>
        <v>540</v>
      </c>
      <c r="G77" s="111">
        <f t="shared" ref="G77:G140" si="3">E77/E$268</f>
        <v>0.99619990923086066</v>
      </c>
    </row>
    <row r="78" spans="2:7" x14ac:dyDescent="0.2">
      <c r="B78" s="21" t="s">
        <v>2975</v>
      </c>
      <c r="C78" s="105" t="s">
        <v>2379</v>
      </c>
      <c r="D78" s="105" t="s">
        <v>2380</v>
      </c>
      <c r="E78" s="89">
        <f t="shared" si="2"/>
        <v>1</v>
      </c>
      <c r="F78" s="21">
        <f>SUMIF('Staff data'!B:B,'M&amp;D data'!C78,'Staff data'!I:I)</f>
        <v>644</v>
      </c>
      <c r="G78" s="111">
        <f t="shared" si="3"/>
        <v>0.99619990923086066</v>
      </c>
    </row>
    <row r="79" spans="2:7" x14ac:dyDescent="0.2">
      <c r="B79" s="21" t="s">
        <v>1167</v>
      </c>
      <c r="C79" s="105" t="s">
        <v>2381</v>
      </c>
      <c r="D79" s="105" t="s">
        <v>2382</v>
      </c>
      <c r="E79" s="89">
        <f t="shared" si="2"/>
        <v>1.0223877088548716</v>
      </c>
      <c r="F79" s="21">
        <f>SUMIF('Staff data'!B:B,'M&amp;D data'!C79,'Staff data'!I:I)</f>
        <v>1111</v>
      </c>
      <c r="G79" s="111">
        <f t="shared" si="3"/>
        <v>1.0185025427599708</v>
      </c>
    </row>
    <row r="80" spans="2:7" x14ac:dyDescent="0.2">
      <c r="B80" s="21" t="s">
        <v>191</v>
      </c>
      <c r="C80" s="105" t="s">
        <v>2383</v>
      </c>
      <c r="D80" s="105" t="s">
        <v>2384</v>
      </c>
      <c r="E80" s="89">
        <f t="shared" si="2"/>
        <v>1</v>
      </c>
      <c r="F80" s="21">
        <f>SUMIF('Staff data'!B:B,'M&amp;D data'!C80,'Staff data'!I:I)</f>
        <v>874</v>
      </c>
      <c r="G80" s="111">
        <f t="shared" si="3"/>
        <v>0.99619990923086066</v>
      </c>
    </row>
    <row r="81" spans="2:7" x14ac:dyDescent="0.2">
      <c r="B81" s="21" t="s">
        <v>191</v>
      </c>
      <c r="C81" s="105" t="s">
        <v>2385</v>
      </c>
      <c r="D81" s="105" t="s">
        <v>2386</v>
      </c>
      <c r="E81" s="89">
        <f t="shared" si="2"/>
        <v>1</v>
      </c>
      <c r="F81" s="21">
        <f>SUMIF('Staff data'!B:B,'M&amp;D data'!C81,'Staff data'!I:I)</f>
        <v>791</v>
      </c>
      <c r="G81" s="111">
        <f t="shared" si="3"/>
        <v>0.99619990923086066</v>
      </c>
    </row>
    <row r="82" spans="2:7" x14ac:dyDescent="0.2">
      <c r="B82" s="21" t="s">
        <v>3034</v>
      </c>
      <c r="C82" s="105" t="s">
        <v>2387</v>
      </c>
      <c r="D82" s="105" t="s">
        <v>2388</v>
      </c>
      <c r="E82" s="89">
        <f t="shared" si="2"/>
        <v>1</v>
      </c>
      <c r="F82" s="21">
        <f>SUMIF('Staff data'!B:B,'M&amp;D data'!C82,'Staff data'!I:I)</f>
        <v>474</v>
      </c>
      <c r="G82" s="111">
        <f t="shared" si="3"/>
        <v>0.99619990923086066</v>
      </c>
    </row>
    <row r="83" spans="2:7" x14ac:dyDescent="0.2">
      <c r="B83" s="21" t="s">
        <v>2133</v>
      </c>
      <c r="C83" s="105" t="s">
        <v>2389</v>
      </c>
      <c r="D83" s="105" t="s">
        <v>2390</v>
      </c>
      <c r="E83" s="89">
        <f t="shared" si="2"/>
        <v>1</v>
      </c>
      <c r="F83" s="21">
        <f>SUMIF('Staff data'!B:B,'M&amp;D data'!C83,'Staff data'!I:I)</f>
        <v>1734</v>
      </c>
      <c r="G83" s="111">
        <f t="shared" si="3"/>
        <v>0.99619990923086066</v>
      </c>
    </row>
    <row r="84" spans="2:7" x14ac:dyDescent="0.2">
      <c r="B84" s="21" t="s">
        <v>191</v>
      </c>
      <c r="C84" s="105" t="s">
        <v>2391</v>
      </c>
      <c r="D84" s="105" t="s">
        <v>2392</v>
      </c>
      <c r="E84" s="89">
        <f t="shared" si="2"/>
        <v>1</v>
      </c>
      <c r="F84" s="21">
        <f>SUMIF('Staff data'!B:B,'M&amp;D data'!C84,'Staff data'!I:I)</f>
        <v>626</v>
      </c>
      <c r="G84" s="111">
        <f t="shared" si="3"/>
        <v>0.99619990923086066</v>
      </c>
    </row>
    <row r="85" spans="2:7" x14ac:dyDescent="0.2">
      <c r="B85" s="21" t="s">
        <v>2133</v>
      </c>
      <c r="C85" s="105" t="s">
        <v>2393</v>
      </c>
      <c r="D85" s="105" t="s">
        <v>1317</v>
      </c>
      <c r="E85" s="89">
        <f t="shared" si="2"/>
        <v>1</v>
      </c>
      <c r="F85" s="21">
        <f>SUMIF('Staff data'!B:B,'M&amp;D data'!C85,'Staff data'!I:I)</f>
        <v>301</v>
      </c>
      <c r="G85" s="111">
        <f t="shared" si="3"/>
        <v>0.99619990923086066</v>
      </c>
    </row>
    <row r="86" spans="2:7" x14ac:dyDescent="0.2">
      <c r="B86" s="21" t="s">
        <v>1127</v>
      </c>
      <c r="C86" s="105" t="s">
        <v>1320</v>
      </c>
      <c r="D86" s="105" t="s">
        <v>1321</v>
      </c>
      <c r="E86" s="89">
        <f t="shared" si="2"/>
        <v>1</v>
      </c>
      <c r="F86" s="21">
        <f>SUMIF('Staff data'!B:B,'M&amp;D data'!C86,'Staff data'!I:I)</f>
        <v>636</v>
      </c>
      <c r="G86" s="111">
        <f t="shared" si="3"/>
        <v>0.99619990923086066</v>
      </c>
    </row>
    <row r="87" spans="2:7" x14ac:dyDescent="0.2">
      <c r="B87" s="21" t="s">
        <v>1127</v>
      </c>
      <c r="C87" s="105" t="s">
        <v>1322</v>
      </c>
      <c r="D87" s="105" t="s">
        <v>1323</v>
      </c>
      <c r="E87" s="89">
        <f t="shared" si="2"/>
        <v>1</v>
      </c>
      <c r="F87" s="21">
        <f>SUMIF('Staff data'!B:B,'M&amp;D data'!C87,'Staff data'!I:I)</f>
        <v>266</v>
      </c>
      <c r="G87" s="111">
        <f t="shared" si="3"/>
        <v>0.99619990923086066</v>
      </c>
    </row>
    <row r="88" spans="2:7" x14ac:dyDescent="0.2">
      <c r="B88" s="21" t="s">
        <v>1167</v>
      </c>
      <c r="C88" s="105" t="s">
        <v>1324</v>
      </c>
      <c r="D88" s="105" t="s">
        <v>1325</v>
      </c>
      <c r="E88" s="89">
        <f t="shared" si="2"/>
        <v>1.0223877088548716</v>
      </c>
      <c r="F88" s="21">
        <f>SUMIF('Staff data'!B:B,'M&amp;D data'!C88,'Staff data'!I:I)</f>
        <v>446</v>
      </c>
      <c r="G88" s="111">
        <f t="shared" si="3"/>
        <v>1.0185025427599708</v>
      </c>
    </row>
    <row r="89" spans="2:7" x14ac:dyDescent="0.2">
      <c r="B89" s="21" t="s">
        <v>3034</v>
      </c>
      <c r="C89" s="105" t="s">
        <v>1328</v>
      </c>
      <c r="D89" s="105" t="s">
        <v>1329</v>
      </c>
      <c r="E89" s="89">
        <f t="shared" si="2"/>
        <v>1</v>
      </c>
      <c r="F89" s="21">
        <f>SUMIF('Staff data'!B:B,'M&amp;D data'!C89,'Staff data'!I:I)</f>
        <v>1450</v>
      </c>
      <c r="G89" s="111">
        <f t="shared" si="3"/>
        <v>0.99619990923086066</v>
      </c>
    </row>
    <row r="90" spans="2:7" x14ac:dyDescent="0.2">
      <c r="B90" s="21" t="s">
        <v>3034</v>
      </c>
      <c r="C90" s="105" t="s">
        <v>1330</v>
      </c>
      <c r="D90" s="105" t="s">
        <v>1331</v>
      </c>
      <c r="E90" s="89">
        <f t="shared" si="2"/>
        <v>1</v>
      </c>
      <c r="F90" s="21">
        <f>SUMIF('Staff data'!B:B,'M&amp;D data'!C90,'Staff data'!I:I)</f>
        <v>232</v>
      </c>
      <c r="G90" s="111">
        <f t="shared" si="3"/>
        <v>0.99619990923086066</v>
      </c>
    </row>
    <row r="91" spans="2:7" x14ac:dyDescent="0.2">
      <c r="B91" s="21" t="s">
        <v>1167</v>
      </c>
      <c r="C91" s="105" t="s">
        <v>1332</v>
      </c>
      <c r="D91" s="105" t="s">
        <v>1333</v>
      </c>
      <c r="E91" s="89">
        <f t="shared" si="2"/>
        <v>1.0223877088548716</v>
      </c>
      <c r="F91" s="21">
        <f>SUMIF('Staff data'!B:B,'M&amp;D data'!C91,'Staff data'!I:I)</f>
        <v>1465</v>
      </c>
      <c r="G91" s="111">
        <f t="shared" si="3"/>
        <v>1.0185025427599708</v>
      </c>
    </row>
    <row r="92" spans="2:7" x14ac:dyDescent="0.2">
      <c r="B92" s="21" t="s">
        <v>1127</v>
      </c>
      <c r="C92" s="105" t="s">
        <v>1334</v>
      </c>
      <c r="D92" s="105" t="s">
        <v>1335</v>
      </c>
      <c r="E92" s="89">
        <f t="shared" si="2"/>
        <v>1</v>
      </c>
      <c r="F92" s="21">
        <f>SUMIF('Staff data'!B:B,'M&amp;D data'!C92,'Staff data'!I:I)</f>
        <v>610</v>
      </c>
      <c r="G92" s="111">
        <f t="shared" si="3"/>
        <v>0.99619990923086066</v>
      </c>
    </row>
    <row r="93" spans="2:7" x14ac:dyDescent="0.2">
      <c r="B93" s="21" t="s">
        <v>1127</v>
      </c>
      <c r="C93" s="105" t="s">
        <v>1336</v>
      </c>
      <c r="D93" s="105" t="s">
        <v>1337</v>
      </c>
      <c r="E93" s="89">
        <f t="shared" si="2"/>
        <v>1</v>
      </c>
      <c r="F93" s="21">
        <f>SUMIF('Staff data'!B:B,'M&amp;D data'!C93,'Staff data'!I:I)</f>
        <v>500</v>
      </c>
      <c r="G93" s="111">
        <f t="shared" si="3"/>
        <v>0.99619990923086066</v>
      </c>
    </row>
    <row r="94" spans="2:7" x14ac:dyDescent="0.2">
      <c r="B94" s="21" t="s">
        <v>3496</v>
      </c>
      <c r="C94" s="105" t="s">
        <v>1338</v>
      </c>
      <c r="D94" s="105" t="s">
        <v>1339</v>
      </c>
      <c r="E94" s="89">
        <f t="shared" si="2"/>
        <v>1</v>
      </c>
      <c r="F94" s="21">
        <f>SUMIF('Staff data'!B:B,'M&amp;D data'!C94,'Staff data'!I:I)</f>
        <v>663</v>
      </c>
      <c r="G94" s="111">
        <f t="shared" si="3"/>
        <v>0.99619990923086066</v>
      </c>
    </row>
    <row r="95" spans="2:7" x14ac:dyDescent="0.2">
      <c r="B95" s="21" t="s">
        <v>3069</v>
      </c>
      <c r="C95" s="105" t="s">
        <v>1341</v>
      </c>
      <c r="D95" s="105" t="s">
        <v>352</v>
      </c>
      <c r="E95" s="89">
        <f t="shared" si="2"/>
        <v>1</v>
      </c>
      <c r="F95" s="21">
        <f>SUMIF('Staff data'!B:B,'M&amp;D data'!C95,'Staff data'!I:I)</f>
        <v>574</v>
      </c>
      <c r="G95" s="111">
        <f t="shared" si="3"/>
        <v>0.99619990923086066</v>
      </c>
    </row>
    <row r="96" spans="2:7" x14ac:dyDescent="0.2">
      <c r="B96" s="21" t="s">
        <v>1167</v>
      </c>
      <c r="C96" s="105" t="s">
        <v>353</v>
      </c>
      <c r="D96" s="105" t="s">
        <v>354</v>
      </c>
      <c r="E96" s="89">
        <f t="shared" si="2"/>
        <v>1.0223877088548716</v>
      </c>
      <c r="F96" s="21">
        <f>SUMIF('Staff data'!B:B,'M&amp;D data'!C96,'Staff data'!I:I)</f>
        <v>953</v>
      </c>
      <c r="G96" s="111">
        <f t="shared" si="3"/>
        <v>1.0185025427599708</v>
      </c>
    </row>
    <row r="97" spans="2:7" x14ac:dyDescent="0.2">
      <c r="B97" s="21" t="s">
        <v>1167</v>
      </c>
      <c r="C97" s="105" t="s">
        <v>355</v>
      </c>
      <c r="D97" s="105" t="s">
        <v>356</v>
      </c>
      <c r="E97" s="89">
        <f t="shared" si="2"/>
        <v>1.0223877088548716</v>
      </c>
      <c r="F97" s="21">
        <f>SUMIF('Staff data'!B:B,'M&amp;D data'!C97,'Staff data'!I:I)</f>
        <v>524</v>
      </c>
      <c r="G97" s="111">
        <f t="shared" si="3"/>
        <v>1.0185025427599708</v>
      </c>
    </row>
    <row r="98" spans="2:7" x14ac:dyDescent="0.2">
      <c r="B98" s="21" t="s">
        <v>2975</v>
      </c>
      <c r="C98" s="105" t="s">
        <v>357</v>
      </c>
      <c r="D98" s="105" t="s">
        <v>358</v>
      </c>
      <c r="E98" s="89">
        <f t="shared" si="2"/>
        <v>1</v>
      </c>
      <c r="F98" s="21">
        <f>SUMIF('Staff data'!B:B,'M&amp;D data'!C98,'Staff data'!I:I)</f>
        <v>794</v>
      </c>
      <c r="G98" s="111">
        <f t="shared" si="3"/>
        <v>0.99619990923086066</v>
      </c>
    </row>
    <row r="99" spans="2:7" x14ac:dyDescent="0.2">
      <c r="B99" s="21" t="s">
        <v>2975</v>
      </c>
      <c r="C99" s="105" t="s">
        <v>359</v>
      </c>
      <c r="D99" s="105" t="s">
        <v>360</v>
      </c>
      <c r="E99" s="89">
        <f t="shared" si="2"/>
        <v>1</v>
      </c>
      <c r="F99" s="21">
        <f>SUMIF('Staff data'!B:B,'M&amp;D data'!C99,'Staff data'!I:I)</f>
        <v>1058</v>
      </c>
      <c r="G99" s="111">
        <f t="shared" si="3"/>
        <v>0.99619990923086066</v>
      </c>
    </row>
    <row r="100" spans="2:7" x14ac:dyDescent="0.2">
      <c r="B100" s="21" t="s">
        <v>3034</v>
      </c>
      <c r="C100" s="105" t="s">
        <v>361</v>
      </c>
      <c r="D100" s="105" t="s">
        <v>362</v>
      </c>
      <c r="E100" s="89">
        <f t="shared" si="2"/>
        <v>1</v>
      </c>
      <c r="F100" s="21">
        <f>SUMIF('Staff data'!B:B,'M&amp;D data'!C100,'Staff data'!I:I)</f>
        <v>438</v>
      </c>
      <c r="G100" s="111">
        <f t="shared" si="3"/>
        <v>0.99619990923086066</v>
      </c>
    </row>
    <row r="101" spans="2:7" x14ac:dyDescent="0.2">
      <c r="B101" s="21" t="s">
        <v>3034</v>
      </c>
      <c r="C101" s="105" t="s">
        <v>363</v>
      </c>
      <c r="D101" s="105" t="s">
        <v>364</v>
      </c>
      <c r="E101" s="89">
        <f t="shared" si="2"/>
        <v>1</v>
      </c>
      <c r="F101" s="21">
        <f>SUMIF('Staff data'!B:B,'M&amp;D data'!C101,'Staff data'!I:I)</f>
        <v>2109</v>
      </c>
      <c r="G101" s="111">
        <f t="shared" si="3"/>
        <v>0.99619990923086066</v>
      </c>
    </row>
    <row r="102" spans="2:7" x14ac:dyDescent="0.2">
      <c r="B102" s="21" t="s">
        <v>3069</v>
      </c>
      <c r="C102" s="105" t="s">
        <v>365</v>
      </c>
      <c r="D102" s="105" t="s">
        <v>366</v>
      </c>
      <c r="E102" s="89">
        <f t="shared" si="2"/>
        <v>1</v>
      </c>
      <c r="F102" s="21">
        <f>SUMIF('Staff data'!B:B,'M&amp;D data'!C102,'Staff data'!I:I)</f>
        <v>541</v>
      </c>
      <c r="G102" s="111">
        <f t="shared" si="3"/>
        <v>0.99619990923086066</v>
      </c>
    </row>
    <row r="103" spans="2:7" x14ac:dyDescent="0.2">
      <c r="B103" s="21" t="s">
        <v>3069</v>
      </c>
      <c r="C103" s="105" t="s">
        <v>369</v>
      </c>
      <c r="D103" s="105" t="s">
        <v>370</v>
      </c>
      <c r="E103" s="89">
        <f t="shared" si="2"/>
        <v>1</v>
      </c>
      <c r="F103" s="21">
        <f>SUMIF('Staff data'!B:B,'M&amp;D data'!C103,'Staff data'!I:I)</f>
        <v>244</v>
      </c>
      <c r="G103" s="111">
        <f t="shared" si="3"/>
        <v>0.99619990923086066</v>
      </c>
    </row>
    <row r="104" spans="2:7" x14ac:dyDescent="0.2">
      <c r="B104" s="21" t="s">
        <v>2975</v>
      </c>
      <c r="C104" s="105" t="s">
        <v>373</v>
      </c>
      <c r="D104" s="105" t="s">
        <v>374</v>
      </c>
      <c r="E104" s="89">
        <f t="shared" si="2"/>
        <v>1</v>
      </c>
      <c r="F104" s="21">
        <f>SUMIF('Staff data'!B:B,'M&amp;D data'!C104,'Staff data'!I:I)</f>
        <v>185</v>
      </c>
      <c r="G104" s="111">
        <f t="shared" si="3"/>
        <v>0.99619990923086066</v>
      </c>
    </row>
    <row r="105" spans="2:7" x14ac:dyDescent="0.2">
      <c r="B105" s="21" t="s">
        <v>2975</v>
      </c>
      <c r="C105" s="105" t="s">
        <v>375</v>
      </c>
      <c r="D105" s="105" t="s">
        <v>376</v>
      </c>
      <c r="E105" s="89">
        <f t="shared" si="2"/>
        <v>1</v>
      </c>
      <c r="F105" s="21">
        <f>SUMIF('Staff data'!B:B,'M&amp;D data'!C105,'Staff data'!I:I)</f>
        <v>285</v>
      </c>
      <c r="G105" s="111">
        <f t="shared" si="3"/>
        <v>0.99619990923086066</v>
      </c>
    </row>
    <row r="106" spans="2:7" x14ac:dyDescent="0.2">
      <c r="B106" s="21" t="s">
        <v>1127</v>
      </c>
      <c r="C106" s="105" t="s">
        <v>379</v>
      </c>
      <c r="D106" s="105" t="s">
        <v>380</v>
      </c>
      <c r="E106" s="89">
        <f t="shared" si="2"/>
        <v>1</v>
      </c>
      <c r="F106" s="21">
        <f>SUMIF('Staff data'!B:B,'M&amp;D data'!C106,'Staff data'!I:I)</f>
        <v>601</v>
      </c>
      <c r="G106" s="111">
        <f t="shared" si="3"/>
        <v>0.99619990923086066</v>
      </c>
    </row>
    <row r="107" spans="2:7" x14ac:dyDescent="0.2">
      <c r="B107" s="21" t="s">
        <v>3496</v>
      </c>
      <c r="C107" s="105" t="s">
        <v>381</v>
      </c>
      <c r="D107" s="105" t="s">
        <v>382</v>
      </c>
      <c r="E107" s="89">
        <f t="shared" si="2"/>
        <v>1</v>
      </c>
      <c r="F107" s="21">
        <f>SUMIF('Staff data'!B:B,'M&amp;D data'!C107,'Staff data'!I:I)</f>
        <v>781</v>
      </c>
      <c r="G107" s="111">
        <f t="shared" si="3"/>
        <v>0.99619990923086066</v>
      </c>
    </row>
    <row r="108" spans="2:7" x14ac:dyDescent="0.2">
      <c r="B108" s="21" t="s">
        <v>2975</v>
      </c>
      <c r="C108" s="105" t="s">
        <v>383</v>
      </c>
      <c r="D108" s="105" t="s">
        <v>384</v>
      </c>
      <c r="E108" s="89">
        <f t="shared" si="2"/>
        <v>1</v>
      </c>
      <c r="F108" s="21">
        <f>SUMIF('Staff data'!B:B,'M&amp;D data'!C108,'Staff data'!I:I)</f>
        <v>246</v>
      </c>
      <c r="G108" s="111">
        <f t="shared" si="3"/>
        <v>0.99619990923086066</v>
      </c>
    </row>
    <row r="109" spans="2:7" x14ac:dyDescent="0.2">
      <c r="B109" s="21" t="s">
        <v>1167</v>
      </c>
      <c r="C109" s="105" t="s">
        <v>385</v>
      </c>
      <c r="D109" s="105" t="s">
        <v>386</v>
      </c>
      <c r="E109" s="89">
        <f t="shared" si="2"/>
        <v>1.0223877088548716</v>
      </c>
      <c r="F109" s="21">
        <f>SUMIF('Staff data'!B:B,'M&amp;D data'!C109,'Staff data'!I:I)</f>
        <v>633</v>
      </c>
      <c r="G109" s="111">
        <f t="shared" si="3"/>
        <v>1.0185025427599708</v>
      </c>
    </row>
    <row r="110" spans="2:7" x14ac:dyDescent="0.2">
      <c r="B110" s="21" t="s">
        <v>3496</v>
      </c>
      <c r="C110" s="105" t="s">
        <v>387</v>
      </c>
      <c r="D110" s="105" t="s">
        <v>388</v>
      </c>
      <c r="E110" s="89">
        <f t="shared" si="2"/>
        <v>1</v>
      </c>
      <c r="F110" s="21">
        <f>SUMIF('Staff data'!B:B,'M&amp;D data'!C110,'Staff data'!I:I)</f>
        <v>625</v>
      </c>
      <c r="G110" s="111">
        <f t="shared" si="3"/>
        <v>0.99619990923086066</v>
      </c>
    </row>
    <row r="111" spans="2:7" x14ac:dyDescent="0.2">
      <c r="B111" s="21" t="s">
        <v>2975</v>
      </c>
      <c r="C111" s="105" t="s">
        <v>389</v>
      </c>
      <c r="D111" s="105" t="s">
        <v>390</v>
      </c>
      <c r="E111" s="89">
        <f t="shared" si="2"/>
        <v>1</v>
      </c>
      <c r="F111" s="21">
        <f>SUMIF('Staff data'!B:B,'M&amp;D data'!C111,'Staff data'!I:I)</f>
        <v>718</v>
      </c>
      <c r="G111" s="111">
        <f t="shared" si="3"/>
        <v>0.99619990923086066</v>
      </c>
    </row>
    <row r="112" spans="2:7" x14ac:dyDescent="0.2">
      <c r="B112" s="21" t="s">
        <v>2975</v>
      </c>
      <c r="C112" s="105" t="s">
        <v>391</v>
      </c>
      <c r="D112" s="105" t="s">
        <v>392</v>
      </c>
      <c r="E112" s="89">
        <f t="shared" si="2"/>
        <v>1</v>
      </c>
      <c r="F112" s="21">
        <f>SUMIF('Staff data'!B:B,'M&amp;D data'!C112,'Staff data'!I:I)</f>
        <v>565</v>
      </c>
      <c r="G112" s="111">
        <f t="shared" si="3"/>
        <v>0.99619990923086066</v>
      </c>
    </row>
    <row r="113" spans="2:7" x14ac:dyDescent="0.2">
      <c r="B113" s="21" t="s">
        <v>1127</v>
      </c>
      <c r="C113" s="105" t="s">
        <v>393</v>
      </c>
      <c r="D113" s="105" t="s">
        <v>394</v>
      </c>
      <c r="E113" s="89">
        <f t="shared" si="2"/>
        <v>1</v>
      </c>
      <c r="F113" s="21">
        <f>SUMIF('Staff data'!B:B,'M&amp;D data'!C113,'Staff data'!I:I)</f>
        <v>776</v>
      </c>
      <c r="G113" s="111">
        <f t="shared" si="3"/>
        <v>0.99619990923086066</v>
      </c>
    </row>
    <row r="114" spans="2:7" x14ac:dyDescent="0.2">
      <c r="B114" s="21" t="s">
        <v>2133</v>
      </c>
      <c r="C114" s="105" t="s">
        <v>395</v>
      </c>
      <c r="D114" s="105" t="s">
        <v>396</v>
      </c>
      <c r="E114" s="89">
        <f t="shared" si="2"/>
        <v>1</v>
      </c>
      <c r="F114" s="21">
        <f>SUMIF('Staff data'!B:B,'M&amp;D data'!C114,'Staff data'!I:I)</f>
        <v>427</v>
      </c>
      <c r="G114" s="111">
        <f t="shared" si="3"/>
        <v>0.99619990923086066</v>
      </c>
    </row>
    <row r="115" spans="2:7" x14ac:dyDescent="0.2">
      <c r="B115" s="21" t="s">
        <v>3034</v>
      </c>
      <c r="C115" s="105" t="s">
        <v>397</v>
      </c>
      <c r="D115" s="105" t="s">
        <v>398</v>
      </c>
      <c r="E115" s="89">
        <f t="shared" si="2"/>
        <v>1</v>
      </c>
      <c r="F115" s="21">
        <f>SUMIF('Staff data'!B:B,'M&amp;D data'!C115,'Staff data'!I:I)</f>
        <v>1342</v>
      </c>
      <c r="G115" s="111">
        <f t="shared" si="3"/>
        <v>0.99619990923086066</v>
      </c>
    </row>
    <row r="116" spans="2:7" x14ac:dyDescent="0.2">
      <c r="B116" s="21" t="s">
        <v>191</v>
      </c>
      <c r="C116" s="105" t="s">
        <v>399</v>
      </c>
      <c r="D116" s="105" t="s">
        <v>400</v>
      </c>
      <c r="E116" s="89">
        <f t="shared" si="2"/>
        <v>1</v>
      </c>
      <c r="F116" s="21">
        <f>SUMIF('Staff data'!B:B,'M&amp;D data'!C116,'Staff data'!I:I)</f>
        <v>458</v>
      </c>
      <c r="G116" s="111">
        <f t="shared" si="3"/>
        <v>0.99619990923086066</v>
      </c>
    </row>
    <row r="117" spans="2:7" x14ac:dyDescent="0.2">
      <c r="B117" s="21" t="s">
        <v>1167</v>
      </c>
      <c r="C117" s="105" t="s">
        <v>401</v>
      </c>
      <c r="D117" s="105" t="s">
        <v>402</v>
      </c>
      <c r="E117" s="89">
        <f t="shared" si="2"/>
        <v>1.0223877088548716</v>
      </c>
      <c r="F117" s="21">
        <f>SUMIF('Staff data'!B:B,'M&amp;D data'!C117,'Staff data'!I:I)</f>
        <v>53</v>
      </c>
      <c r="G117" s="111">
        <f t="shared" si="3"/>
        <v>1.0185025427599708</v>
      </c>
    </row>
    <row r="118" spans="2:7" x14ac:dyDescent="0.2">
      <c r="B118" s="21" t="s">
        <v>1167</v>
      </c>
      <c r="C118" s="105" t="s">
        <v>403</v>
      </c>
      <c r="D118" s="105" t="s">
        <v>404</v>
      </c>
      <c r="E118" s="89">
        <f t="shared" si="2"/>
        <v>1.0223877088548716</v>
      </c>
      <c r="F118" s="21">
        <f>SUMIF('Staff data'!B:B,'M&amp;D data'!C118,'Staff data'!I:I)</f>
        <v>392</v>
      </c>
      <c r="G118" s="111">
        <f t="shared" si="3"/>
        <v>1.0185025427599708</v>
      </c>
    </row>
    <row r="119" spans="2:7" x14ac:dyDescent="0.2">
      <c r="B119" s="21" t="s">
        <v>1127</v>
      </c>
      <c r="C119" s="105" t="s">
        <v>405</v>
      </c>
      <c r="D119" s="105" t="s">
        <v>406</v>
      </c>
      <c r="E119" s="89">
        <f t="shared" si="2"/>
        <v>1</v>
      </c>
      <c r="F119" s="21">
        <f>SUMIF('Staff data'!B:B,'M&amp;D data'!C119,'Staff data'!I:I)</f>
        <v>985</v>
      </c>
      <c r="G119" s="111">
        <f t="shared" si="3"/>
        <v>0.99619990923086066</v>
      </c>
    </row>
    <row r="120" spans="2:7" x14ac:dyDescent="0.2">
      <c r="B120" s="21" t="s">
        <v>1127</v>
      </c>
      <c r="C120" s="105" t="s">
        <v>407</v>
      </c>
      <c r="D120" s="105" t="s">
        <v>408</v>
      </c>
      <c r="E120" s="89">
        <f t="shared" si="2"/>
        <v>1</v>
      </c>
      <c r="F120" s="21">
        <f>SUMIF('Staff data'!B:B,'M&amp;D data'!C120,'Staff data'!I:I)</f>
        <v>595</v>
      </c>
      <c r="G120" s="111">
        <f t="shared" si="3"/>
        <v>0.99619990923086066</v>
      </c>
    </row>
    <row r="121" spans="2:7" x14ac:dyDescent="0.2">
      <c r="B121" s="21" t="s">
        <v>3528</v>
      </c>
      <c r="C121" s="105" t="s">
        <v>411</v>
      </c>
      <c r="D121" s="105" t="s">
        <v>412</v>
      </c>
      <c r="E121" s="89">
        <f t="shared" si="2"/>
        <v>1</v>
      </c>
      <c r="F121" s="21">
        <f>SUMIF('Staff data'!B:B,'M&amp;D data'!C121,'Staff data'!I:I)</f>
        <v>1227</v>
      </c>
      <c r="G121" s="111">
        <f t="shared" si="3"/>
        <v>0.99619990923086066</v>
      </c>
    </row>
    <row r="122" spans="2:7" x14ac:dyDescent="0.2">
      <c r="B122" s="21" t="s">
        <v>2975</v>
      </c>
      <c r="C122" s="105" t="s">
        <v>413</v>
      </c>
      <c r="D122" s="105" t="s">
        <v>414</v>
      </c>
      <c r="E122" s="89">
        <f t="shared" si="2"/>
        <v>1</v>
      </c>
      <c r="F122" s="21">
        <f>SUMIF('Staff data'!B:B,'M&amp;D data'!C122,'Staff data'!I:I)</f>
        <v>642</v>
      </c>
      <c r="G122" s="111">
        <f t="shared" si="3"/>
        <v>0.99619990923086066</v>
      </c>
    </row>
    <row r="123" spans="2:7" x14ac:dyDescent="0.2">
      <c r="B123" s="21" t="s">
        <v>1167</v>
      </c>
      <c r="C123" s="105" t="s">
        <v>416</v>
      </c>
      <c r="D123" s="105" t="s">
        <v>417</v>
      </c>
      <c r="E123" s="89">
        <f t="shared" si="2"/>
        <v>1.0223877088548716</v>
      </c>
      <c r="F123" s="21">
        <f>SUMIF('Staff data'!B:B,'M&amp;D data'!C123,'Staff data'!I:I)</f>
        <v>445</v>
      </c>
      <c r="G123" s="111">
        <f t="shared" si="3"/>
        <v>1.0185025427599708</v>
      </c>
    </row>
    <row r="124" spans="2:7" x14ac:dyDescent="0.2">
      <c r="B124" s="21" t="s">
        <v>1127</v>
      </c>
      <c r="C124" s="105" t="s">
        <v>418</v>
      </c>
      <c r="D124" s="105" t="s">
        <v>3655</v>
      </c>
      <c r="E124" s="89">
        <f t="shared" si="2"/>
        <v>1</v>
      </c>
      <c r="F124" s="21">
        <f>SUMIF('Staff data'!B:B,'M&amp;D data'!C124,'Staff data'!I:I)</f>
        <v>365</v>
      </c>
      <c r="G124" s="111">
        <f t="shared" si="3"/>
        <v>0.99619990923086066</v>
      </c>
    </row>
    <row r="125" spans="2:7" x14ac:dyDescent="0.2">
      <c r="B125" s="21" t="s">
        <v>1167</v>
      </c>
      <c r="C125" s="105" t="s">
        <v>3656</v>
      </c>
      <c r="D125" s="105" t="s">
        <v>3657</v>
      </c>
      <c r="E125" s="89">
        <f t="shared" si="2"/>
        <v>1.0223877088548716</v>
      </c>
      <c r="F125" s="21">
        <f>SUMIF('Staff data'!B:B,'M&amp;D data'!C125,'Staff data'!I:I)</f>
        <v>368</v>
      </c>
      <c r="G125" s="111">
        <f t="shared" si="3"/>
        <v>1.0185025427599708</v>
      </c>
    </row>
    <row r="126" spans="2:7" x14ac:dyDescent="0.2">
      <c r="B126" s="21" t="s">
        <v>2133</v>
      </c>
      <c r="C126" s="105" t="s">
        <v>3658</v>
      </c>
      <c r="D126" s="105" t="s">
        <v>3659</v>
      </c>
      <c r="E126" s="89">
        <f t="shared" si="2"/>
        <v>1</v>
      </c>
      <c r="F126" s="21">
        <f>SUMIF('Staff data'!B:B,'M&amp;D data'!C126,'Staff data'!I:I)</f>
        <v>358</v>
      </c>
      <c r="G126" s="111">
        <f t="shared" si="3"/>
        <v>0.99619990923086066</v>
      </c>
    </row>
    <row r="127" spans="2:7" x14ac:dyDescent="0.2">
      <c r="B127" s="21" t="s">
        <v>708</v>
      </c>
      <c r="C127" s="105" t="s">
        <v>3660</v>
      </c>
      <c r="D127" s="105" t="s">
        <v>3661</v>
      </c>
      <c r="E127" s="89">
        <f t="shared" si="2"/>
        <v>1</v>
      </c>
      <c r="F127" s="21">
        <f>SUMIF('Staff data'!B:B,'M&amp;D data'!C127,'Staff data'!I:I)</f>
        <v>742</v>
      </c>
      <c r="G127" s="111">
        <f t="shared" si="3"/>
        <v>0.99619990923086066</v>
      </c>
    </row>
    <row r="128" spans="2:7" x14ac:dyDescent="0.2">
      <c r="B128" s="21" t="s">
        <v>1167</v>
      </c>
      <c r="C128" s="105" t="s">
        <v>3664</v>
      </c>
      <c r="D128" s="105" t="s">
        <v>3665</v>
      </c>
      <c r="E128" s="89">
        <f t="shared" si="2"/>
        <v>1.0223877088548716</v>
      </c>
      <c r="F128" s="21">
        <f>SUMIF('Staff data'!B:B,'M&amp;D data'!C128,'Staff data'!I:I)</f>
        <v>694</v>
      </c>
      <c r="G128" s="111">
        <f t="shared" si="3"/>
        <v>1.0185025427599708</v>
      </c>
    </row>
    <row r="129" spans="2:7" x14ac:dyDescent="0.2">
      <c r="B129" s="21" t="s">
        <v>3069</v>
      </c>
      <c r="C129" s="105" t="s">
        <v>3666</v>
      </c>
      <c r="D129" s="105" t="s">
        <v>3667</v>
      </c>
      <c r="E129" s="89">
        <f t="shared" si="2"/>
        <v>1</v>
      </c>
      <c r="F129" s="21">
        <f>SUMIF('Staff data'!B:B,'M&amp;D data'!C129,'Staff data'!I:I)</f>
        <v>655</v>
      </c>
      <c r="G129" s="111">
        <f t="shared" si="3"/>
        <v>0.99619990923086066</v>
      </c>
    </row>
    <row r="130" spans="2:7" x14ac:dyDescent="0.2">
      <c r="B130" s="21" t="s">
        <v>3069</v>
      </c>
      <c r="C130" s="105" t="s">
        <v>3668</v>
      </c>
      <c r="D130" s="105" t="s">
        <v>3669</v>
      </c>
      <c r="E130" s="89">
        <f t="shared" si="2"/>
        <v>1</v>
      </c>
      <c r="F130" s="21">
        <f>SUMIF('Staff data'!B:B,'M&amp;D data'!C130,'Staff data'!I:I)</f>
        <v>356</v>
      </c>
      <c r="G130" s="111">
        <f t="shared" si="3"/>
        <v>0.99619990923086066</v>
      </c>
    </row>
    <row r="131" spans="2:7" x14ac:dyDescent="0.2">
      <c r="B131" s="21" t="s">
        <v>3528</v>
      </c>
      <c r="C131" s="105" t="s">
        <v>3670</v>
      </c>
      <c r="D131" s="105" t="s">
        <v>3671</v>
      </c>
      <c r="E131" s="89">
        <f t="shared" si="2"/>
        <v>1</v>
      </c>
      <c r="F131" s="21">
        <f>SUMIF('Staff data'!B:B,'M&amp;D data'!C131,'Staff data'!I:I)</f>
        <v>406</v>
      </c>
      <c r="G131" s="111">
        <f t="shared" si="3"/>
        <v>0.99619990923086066</v>
      </c>
    </row>
    <row r="132" spans="2:7" x14ac:dyDescent="0.2">
      <c r="B132" s="21" t="s">
        <v>3034</v>
      </c>
      <c r="C132" s="105" t="s">
        <v>3672</v>
      </c>
      <c r="D132" s="105" t="s">
        <v>3673</v>
      </c>
      <c r="E132" s="89">
        <f t="shared" si="2"/>
        <v>1</v>
      </c>
      <c r="F132" s="21">
        <f>SUMIF('Staff data'!B:B,'M&amp;D data'!C132,'Staff data'!I:I)</f>
        <v>951</v>
      </c>
      <c r="G132" s="111">
        <f t="shared" si="3"/>
        <v>0.99619990923086066</v>
      </c>
    </row>
    <row r="133" spans="2:7" x14ac:dyDescent="0.2">
      <c r="B133" s="21" t="s">
        <v>708</v>
      </c>
      <c r="C133" s="105" t="s">
        <v>3674</v>
      </c>
      <c r="D133" s="105" t="s">
        <v>3675</v>
      </c>
      <c r="E133" s="89">
        <f t="shared" si="2"/>
        <v>1</v>
      </c>
      <c r="F133" s="21">
        <f>SUMIF('Staff data'!B:B,'M&amp;D data'!C133,'Staff data'!I:I)</f>
        <v>1604</v>
      </c>
      <c r="G133" s="111">
        <f t="shared" si="3"/>
        <v>0.99619990923086066</v>
      </c>
    </row>
    <row r="134" spans="2:7" x14ac:dyDescent="0.2">
      <c r="B134" s="21" t="s">
        <v>708</v>
      </c>
      <c r="C134" s="105" t="s">
        <v>3676</v>
      </c>
      <c r="D134" s="105" t="s">
        <v>3677</v>
      </c>
      <c r="E134" s="89">
        <f t="shared" si="2"/>
        <v>1</v>
      </c>
      <c r="F134" s="21">
        <f>SUMIF('Staff data'!B:B,'M&amp;D data'!C134,'Staff data'!I:I)</f>
        <v>1301</v>
      </c>
      <c r="G134" s="111">
        <f t="shared" si="3"/>
        <v>0.99619990923086066</v>
      </c>
    </row>
    <row r="135" spans="2:7" x14ac:dyDescent="0.2">
      <c r="B135" s="21" t="s">
        <v>3069</v>
      </c>
      <c r="C135" s="105" t="s">
        <v>3678</v>
      </c>
      <c r="D135" s="105" t="s">
        <v>3679</v>
      </c>
      <c r="E135" s="89">
        <f t="shared" si="2"/>
        <v>1</v>
      </c>
      <c r="F135" s="21">
        <f>SUMIF('Staff data'!B:B,'M&amp;D data'!C135,'Staff data'!I:I)</f>
        <v>1736</v>
      </c>
      <c r="G135" s="111">
        <f t="shared" si="3"/>
        <v>0.99619990923086066</v>
      </c>
    </row>
    <row r="136" spans="2:7" x14ac:dyDescent="0.2">
      <c r="B136" s="21" t="s">
        <v>3069</v>
      </c>
      <c r="C136" s="105" t="s">
        <v>3680</v>
      </c>
      <c r="D136" s="105" t="s">
        <v>3681</v>
      </c>
      <c r="E136" s="89">
        <f t="shared" si="2"/>
        <v>1</v>
      </c>
      <c r="F136" s="21">
        <f>SUMIF('Staff data'!B:B,'M&amp;D data'!C136,'Staff data'!I:I)</f>
        <v>1200</v>
      </c>
      <c r="G136" s="111">
        <f t="shared" si="3"/>
        <v>0.99619990923086066</v>
      </c>
    </row>
    <row r="137" spans="2:7" x14ac:dyDescent="0.2">
      <c r="B137" s="21" t="s">
        <v>191</v>
      </c>
      <c r="C137" s="105" t="s">
        <v>3682</v>
      </c>
      <c r="D137" s="105" t="s">
        <v>3683</v>
      </c>
      <c r="E137" s="89">
        <f t="shared" si="2"/>
        <v>1</v>
      </c>
      <c r="F137" s="21">
        <f>SUMIF('Staff data'!B:B,'M&amp;D data'!C137,'Staff data'!I:I)</f>
        <v>1375</v>
      </c>
      <c r="G137" s="111">
        <f t="shared" si="3"/>
        <v>0.99619990923086066</v>
      </c>
    </row>
    <row r="138" spans="2:7" x14ac:dyDescent="0.2">
      <c r="B138" s="21" t="s">
        <v>191</v>
      </c>
      <c r="C138" s="105" t="s">
        <v>3684</v>
      </c>
      <c r="D138" s="105" t="s">
        <v>3685</v>
      </c>
      <c r="E138" s="89">
        <f t="shared" si="2"/>
        <v>1</v>
      </c>
      <c r="F138" s="21">
        <f>SUMIF('Staff data'!B:B,'M&amp;D data'!C138,'Staff data'!I:I)</f>
        <v>374</v>
      </c>
      <c r="G138" s="111">
        <f t="shared" si="3"/>
        <v>0.99619990923086066</v>
      </c>
    </row>
    <row r="139" spans="2:7" x14ac:dyDescent="0.2">
      <c r="B139" s="21" t="s">
        <v>191</v>
      </c>
      <c r="C139" s="105" t="s">
        <v>3686</v>
      </c>
      <c r="D139" s="105" t="s">
        <v>3687</v>
      </c>
      <c r="E139" s="89">
        <f t="shared" si="2"/>
        <v>1</v>
      </c>
      <c r="F139" s="21">
        <f>SUMIF('Staff data'!B:B,'M&amp;D data'!C139,'Staff data'!I:I)</f>
        <v>60</v>
      </c>
      <c r="G139" s="111">
        <f t="shared" si="3"/>
        <v>0.99619990923086066</v>
      </c>
    </row>
    <row r="140" spans="2:7" x14ac:dyDescent="0.2">
      <c r="B140" s="21" t="s">
        <v>1167</v>
      </c>
      <c r="C140" s="105" t="s">
        <v>3688</v>
      </c>
      <c r="D140" s="105" t="s">
        <v>3689</v>
      </c>
      <c r="E140" s="89">
        <f t="shared" si="2"/>
        <v>1.0223877088548716</v>
      </c>
      <c r="F140" s="21">
        <f>SUMIF('Staff data'!B:B,'M&amp;D data'!C140,'Staff data'!I:I)</f>
        <v>496</v>
      </c>
      <c r="G140" s="111">
        <f t="shared" si="3"/>
        <v>1.0185025427599708</v>
      </c>
    </row>
    <row r="141" spans="2:7" x14ac:dyDescent="0.2">
      <c r="B141" s="21" t="s">
        <v>1127</v>
      </c>
      <c r="C141" s="105" t="s">
        <v>3690</v>
      </c>
      <c r="D141" s="105" t="s">
        <v>3691</v>
      </c>
      <c r="E141" s="89">
        <f t="shared" ref="E141:E204" si="4">IF(B141="Q36",$L$5,1)</f>
        <v>1</v>
      </c>
      <c r="F141" s="21">
        <f>SUMIF('Staff data'!B:B,'M&amp;D data'!C141,'Staff data'!I:I)</f>
        <v>235</v>
      </c>
      <c r="G141" s="111">
        <f t="shared" ref="G141:G204" si="5">E141/E$268</f>
        <v>0.99619990923086066</v>
      </c>
    </row>
    <row r="142" spans="2:7" x14ac:dyDescent="0.2">
      <c r="B142" s="21" t="s">
        <v>2975</v>
      </c>
      <c r="C142" s="105" t="s">
        <v>3692</v>
      </c>
      <c r="D142" s="105" t="s">
        <v>3693</v>
      </c>
      <c r="E142" s="89">
        <f t="shared" si="4"/>
        <v>1</v>
      </c>
      <c r="F142" s="21">
        <f>SUMIF('Staff data'!B:B,'M&amp;D data'!C142,'Staff data'!I:I)</f>
        <v>1958</v>
      </c>
      <c r="G142" s="111">
        <f t="shared" si="5"/>
        <v>0.99619990923086066</v>
      </c>
    </row>
    <row r="143" spans="2:7" x14ac:dyDescent="0.2">
      <c r="B143" s="21" t="s">
        <v>2975</v>
      </c>
      <c r="C143" s="105" t="s">
        <v>3694</v>
      </c>
      <c r="D143" s="105" t="s">
        <v>3695</v>
      </c>
      <c r="E143" s="89">
        <f t="shared" si="4"/>
        <v>1</v>
      </c>
      <c r="F143" s="21">
        <f>SUMIF('Staff data'!B:B,'M&amp;D data'!C143,'Staff data'!I:I)</f>
        <v>489</v>
      </c>
      <c r="G143" s="111">
        <f t="shared" si="5"/>
        <v>0.99619990923086066</v>
      </c>
    </row>
    <row r="144" spans="2:7" x14ac:dyDescent="0.2">
      <c r="B144" s="21" t="s">
        <v>1127</v>
      </c>
      <c r="C144" s="105" t="s">
        <v>3696</v>
      </c>
      <c r="D144" s="105" t="s">
        <v>3697</v>
      </c>
      <c r="E144" s="89">
        <f t="shared" si="4"/>
        <v>1</v>
      </c>
      <c r="F144" s="21">
        <f>SUMIF('Staff data'!B:B,'M&amp;D data'!C144,'Staff data'!I:I)</f>
        <v>649</v>
      </c>
      <c r="G144" s="111">
        <f t="shared" si="5"/>
        <v>0.99619990923086066</v>
      </c>
    </row>
    <row r="145" spans="2:7" x14ac:dyDescent="0.2">
      <c r="B145" s="21" t="s">
        <v>3528</v>
      </c>
      <c r="C145" s="105" t="s">
        <v>3698</v>
      </c>
      <c r="D145" s="105" t="s">
        <v>3699</v>
      </c>
      <c r="E145" s="89">
        <f t="shared" si="4"/>
        <v>1</v>
      </c>
      <c r="F145" s="21">
        <f>SUMIF('Staff data'!B:B,'M&amp;D data'!C145,'Staff data'!I:I)</f>
        <v>1013</v>
      </c>
      <c r="G145" s="111">
        <f t="shared" si="5"/>
        <v>0.99619990923086066</v>
      </c>
    </row>
    <row r="146" spans="2:7" x14ac:dyDescent="0.2">
      <c r="B146" s="21" t="s">
        <v>3528</v>
      </c>
      <c r="C146" s="105" t="s">
        <v>3700</v>
      </c>
      <c r="D146" s="105" t="s">
        <v>3701</v>
      </c>
      <c r="E146" s="89">
        <f t="shared" si="4"/>
        <v>1</v>
      </c>
      <c r="F146" s="21">
        <f>SUMIF('Staff data'!B:B,'M&amp;D data'!C146,'Staff data'!I:I)</f>
        <v>697</v>
      </c>
      <c r="G146" s="111">
        <f t="shared" si="5"/>
        <v>0.99619990923086066</v>
      </c>
    </row>
    <row r="147" spans="2:7" x14ac:dyDescent="0.2">
      <c r="B147" s="21" t="s">
        <v>191</v>
      </c>
      <c r="C147" s="105" t="s">
        <v>3702</v>
      </c>
      <c r="D147" s="105" t="s">
        <v>3703</v>
      </c>
      <c r="E147" s="89">
        <f t="shared" si="4"/>
        <v>1</v>
      </c>
      <c r="F147" s="21">
        <f>SUMIF('Staff data'!B:B,'M&amp;D data'!C147,'Staff data'!I:I)</f>
        <v>1050</v>
      </c>
      <c r="G147" s="111">
        <f t="shared" si="5"/>
        <v>0.99619990923086066</v>
      </c>
    </row>
    <row r="148" spans="2:7" x14ac:dyDescent="0.2">
      <c r="B148" s="21" t="s">
        <v>3496</v>
      </c>
      <c r="C148" s="105" t="s">
        <v>3704</v>
      </c>
      <c r="D148" s="105" t="s">
        <v>3705</v>
      </c>
      <c r="E148" s="89">
        <f t="shared" si="4"/>
        <v>1</v>
      </c>
      <c r="F148" s="21">
        <f>SUMIF('Staff data'!B:B,'M&amp;D data'!C148,'Staff data'!I:I)</f>
        <v>80</v>
      </c>
      <c r="G148" s="111">
        <f t="shared" si="5"/>
        <v>0.99619990923086066</v>
      </c>
    </row>
    <row r="149" spans="2:7" x14ac:dyDescent="0.2">
      <c r="B149" s="21" t="s">
        <v>2133</v>
      </c>
      <c r="C149" s="105" t="s">
        <v>3706</v>
      </c>
      <c r="D149" s="105" t="s">
        <v>3707</v>
      </c>
      <c r="E149" s="89">
        <f t="shared" si="4"/>
        <v>1</v>
      </c>
      <c r="F149" s="21">
        <f>SUMIF('Staff data'!B:B,'M&amp;D data'!C149,'Staff data'!I:I)</f>
        <v>179</v>
      </c>
      <c r="G149" s="111">
        <f t="shared" si="5"/>
        <v>0.99619990923086066</v>
      </c>
    </row>
    <row r="150" spans="2:7" x14ac:dyDescent="0.2">
      <c r="B150" s="21" t="s">
        <v>3034</v>
      </c>
      <c r="C150" s="105" t="s">
        <v>3708</v>
      </c>
      <c r="D150" s="105" t="s">
        <v>3709</v>
      </c>
      <c r="E150" s="89">
        <f t="shared" si="4"/>
        <v>1</v>
      </c>
      <c r="F150" s="21">
        <f>SUMIF('Staff data'!B:B,'M&amp;D data'!C150,'Staff data'!I:I)</f>
        <v>351</v>
      </c>
      <c r="G150" s="111">
        <f t="shared" si="5"/>
        <v>0.99619990923086066</v>
      </c>
    </row>
    <row r="151" spans="2:7" x14ac:dyDescent="0.2">
      <c r="B151" s="21" t="s">
        <v>191</v>
      </c>
      <c r="C151" s="105" t="s">
        <v>3710</v>
      </c>
      <c r="D151" s="105" t="s">
        <v>3711</v>
      </c>
      <c r="E151" s="89">
        <f t="shared" si="4"/>
        <v>1</v>
      </c>
      <c r="F151" s="21">
        <f>SUMIF('Staff data'!B:B,'M&amp;D data'!C151,'Staff data'!I:I)</f>
        <v>547</v>
      </c>
      <c r="G151" s="111">
        <f t="shared" si="5"/>
        <v>0.99619990923086066</v>
      </c>
    </row>
    <row r="152" spans="2:7" x14ac:dyDescent="0.2">
      <c r="B152" s="21" t="s">
        <v>2975</v>
      </c>
      <c r="C152" s="105" t="s">
        <v>3712</v>
      </c>
      <c r="D152" s="105" t="s">
        <v>3713</v>
      </c>
      <c r="E152" s="89">
        <f t="shared" si="4"/>
        <v>1</v>
      </c>
      <c r="F152" s="21">
        <f>SUMIF('Staff data'!B:B,'M&amp;D data'!C152,'Staff data'!I:I)</f>
        <v>647</v>
      </c>
      <c r="G152" s="111">
        <f t="shared" si="5"/>
        <v>0.99619990923086066</v>
      </c>
    </row>
    <row r="153" spans="2:7" x14ac:dyDescent="0.2">
      <c r="B153" s="21" t="s">
        <v>1167</v>
      </c>
      <c r="C153" s="105" t="s">
        <v>3714</v>
      </c>
      <c r="D153" s="105" t="s">
        <v>3715</v>
      </c>
      <c r="E153" s="89">
        <f t="shared" si="4"/>
        <v>1.0223877088548716</v>
      </c>
      <c r="F153" s="21">
        <f>SUMIF('Staff data'!B:B,'M&amp;D data'!C153,'Staff data'!I:I)</f>
        <v>414</v>
      </c>
      <c r="G153" s="111">
        <f t="shared" si="5"/>
        <v>1.0185025427599708</v>
      </c>
    </row>
    <row r="154" spans="2:7" x14ac:dyDescent="0.2">
      <c r="B154" s="21" t="s">
        <v>3528</v>
      </c>
      <c r="C154" s="105" t="s">
        <v>3716</v>
      </c>
      <c r="D154" s="105" t="s">
        <v>3717</v>
      </c>
      <c r="E154" s="89">
        <f t="shared" si="4"/>
        <v>1</v>
      </c>
      <c r="F154" s="21">
        <f>SUMIF('Staff data'!B:B,'M&amp;D data'!C154,'Staff data'!I:I)</f>
        <v>805</v>
      </c>
      <c r="G154" s="111">
        <f t="shared" si="5"/>
        <v>0.99619990923086066</v>
      </c>
    </row>
    <row r="155" spans="2:7" x14ac:dyDescent="0.2">
      <c r="B155" s="21" t="s">
        <v>3528</v>
      </c>
      <c r="C155" s="105" t="s">
        <v>3718</v>
      </c>
      <c r="D155" s="105" t="s">
        <v>3719</v>
      </c>
      <c r="E155" s="89">
        <f t="shared" si="4"/>
        <v>1</v>
      </c>
      <c r="F155" s="21">
        <f>SUMIF('Staff data'!B:B,'M&amp;D data'!C155,'Staff data'!I:I)</f>
        <v>807</v>
      </c>
      <c r="G155" s="111">
        <f t="shared" si="5"/>
        <v>0.99619990923086066</v>
      </c>
    </row>
    <row r="156" spans="2:7" x14ac:dyDescent="0.2">
      <c r="B156" s="21" t="s">
        <v>1167</v>
      </c>
      <c r="C156" s="105" t="s">
        <v>3720</v>
      </c>
      <c r="D156" s="105" t="s">
        <v>3721</v>
      </c>
      <c r="E156" s="89">
        <f t="shared" si="4"/>
        <v>1.0223877088548716</v>
      </c>
      <c r="F156" s="21">
        <f>SUMIF('Staff data'!B:B,'M&amp;D data'!C156,'Staff data'!I:I)</f>
        <v>738</v>
      </c>
      <c r="G156" s="111">
        <f t="shared" si="5"/>
        <v>1.0185025427599708</v>
      </c>
    </row>
    <row r="157" spans="2:7" x14ac:dyDescent="0.2">
      <c r="B157" s="21" t="s">
        <v>2975</v>
      </c>
      <c r="C157" s="105" t="s">
        <v>3722</v>
      </c>
      <c r="D157" s="105" t="s">
        <v>3723</v>
      </c>
      <c r="E157" s="89">
        <f t="shared" si="4"/>
        <v>1</v>
      </c>
      <c r="F157" s="21">
        <f>SUMIF('Staff data'!B:B,'M&amp;D data'!C157,'Staff data'!I:I)</f>
        <v>997</v>
      </c>
      <c r="G157" s="111">
        <f t="shared" si="5"/>
        <v>0.99619990923086066</v>
      </c>
    </row>
    <row r="158" spans="2:7" x14ac:dyDescent="0.2">
      <c r="B158" s="21" t="s">
        <v>3528</v>
      </c>
      <c r="C158" s="105" t="s">
        <v>3724</v>
      </c>
      <c r="D158" s="105" t="s">
        <v>3725</v>
      </c>
      <c r="E158" s="89">
        <f t="shared" si="4"/>
        <v>1</v>
      </c>
      <c r="F158" s="21">
        <f>SUMIF('Staff data'!B:B,'M&amp;D data'!C158,'Staff data'!I:I)</f>
        <v>63</v>
      </c>
      <c r="G158" s="111">
        <f t="shared" si="5"/>
        <v>0.99619990923086066</v>
      </c>
    </row>
    <row r="159" spans="2:7" x14ac:dyDescent="0.2">
      <c r="B159" s="21" t="s">
        <v>1167</v>
      </c>
      <c r="C159" s="105" t="s">
        <v>3726</v>
      </c>
      <c r="D159" s="105" t="s">
        <v>3727</v>
      </c>
      <c r="E159" s="89">
        <f t="shared" si="4"/>
        <v>1.0223877088548716</v>
      </c>
      <c r="F159" s="21">
        <f>SUMIF('Staff data'!B:B,'M&amp;D data'!C159,'Staff data'!I:I)</f>
        <v>167</v>
      </c>
      <c r="G159" s="111">
        <f t="shared" si="5"/>
        <v>1.0185025427599708</v>
      </c>
    </row>
    <row r="160" spans="2:7" x14ac:dyDescent="0.2">
      <c r="B160" s="21" t="s">
        <v>3496</v>
      </c>
      <c r="C160" s="105" t="s">
        <v>3728</v>
      </c>
      <c r="D160" s="105" t="s">
        <v>3729</v>
      </c>
      <c r="E160" s="89">
        <f t="shared" si="4"/>
        <v>1</v>
      </c>
      <c r="F160" s="21">
        <f>SUMIF('Staff data'!B:B,'M&amp;D data'!C160,'Staff data'!I:I)</f>
        <v>512</v>
      </c>
      <c r="G160" s="111">
        <f t="shared" si="5"/>
        <v>0.99619990923086066</v>
      </c>
    </row>
    <row r="161" spans="2:7" x14ac:dyDescent="0.2">
      <c r="B161" s="21" t="s">
        <v>3528</v>
      </c>
      <c r="C161" s="105" t="s">
        <v>3730</v>
      </c>
      <c r="D161" s="105" t="s">
        <v>3731</v>
      </c>
      <c r="E161" s="89">
        <f t="shared" si="4"/>
        <v>1</v>
      </c>
      <c r="F161" s="21">
        <f>SUMIF('Staff data'!B:B,'M&amp;D data'!C161,'Staff data'!I:I)</f>
        <v>675</v>
      </c>
      <c r="G161" s="111">
        <f t="shared" si="5"/>
        <v>0.99619990923086066</v>
      </c>
    </row>
    <row r="162" spans="2:7" x14ac:dyDescent="0.2">
      <c r="B162" s="21" t="s">
        <v>2975</v>
      </c>
      <c r="C162" s="105" t="s">
        <v>3732</v>
      </c>
      <c r="D162" s="105" t="s">
        <v>3733</v>
      </c>
      <c r="E162" s="89">
        <f t="shared" si="4"/>
        <v>1</v>
      </c>
      <c r="F162" s="21">
        <f>SUMIF('Staff data'!B:B,'M&amp;D data'!C162,'Staff data'!I:I)</f>
        <v>824</v>
      </c>
      <c r="G162" s="111">
        <f t="shared" si="5"/>
        <v>0.99619990923086066</v>
      </c>
    </row>
    <row r="163" spans="2:7" x14ac:dyDescent="0.2">
      <c r="B163" s="21" t="s">
        <v>3528</v>
      </c>
      <c r="C163" s="105" t="s">
        <v>3734</v>
      </c>
      <c r="D163" s="105" t="s">
        <v>3735</v>
      </c>
      <c r="E163" s="89">
        <f t="shared" si="4"/>
        <v>1</v>
      </c>
      <c r="F163" s="21">
        <f>SUMIF('Staff data'!B:B,'M&amp;D data'!C163,'Staff data'!I:I)</f>
        <v>570</v>
      </c>
      <c r="G163" s="111">
        <f t="shared" si="5"/>
        <v>0.99619990923086066</v>
      </c>
    </row>
    <row r="164" spans="2:7" x14ac:dyDescent="0.2">
      <c r="B164" s="21" t="s">
        <v>2133</v>
      </c>
      <c r="C164" s="105" t="s">
        <v>3736</v>
      </c>
      <c r="D164" s="105" t="s">
        <v>2769</v>
      </c>
      <c r="E164" s="89">
        <f t="shared" si="4"/>
        <v>1</v>
      </c>
      <c r="F164" s="21">
        <f>SUMIF('Staff data'!B:B,'M&amp;D data'!C164,'Staff data'!I:I)</f>
        <v>1027</v>
      </c>
      <c r="G164" s="111">
        <f t="shared" si="5"/>
        <v>0.99619990923086066</v>
      </c>
    </row>
    <row r="165" spans="2:7" x14ac:dyDescent="0.2">
      <c r="B165" s="21" t="s">
        <v>2133</v>
      </c>
      <c r="C165" s="105" t="s">
        <v>2770</v>
      </c>
      <c r="D165" s="105" t="s">
        <v>2771</v>
      </c>
      <c r="E165" s="89">
        <f t="shared" si="4"/>
        <v>1</v>
      </c>
      <c r="F165" s="21">
        <f>SUMIF('Staff data'!B:B,'M&amp;D data'!C165,'Staff data'!I:I)</f>
        <v>210</v>
      </c>
      <c r="G165" s="111">
        <f t="shared" si="5"/>
        <v>0.99619990923086066</v>
      </c>
    </row>
    <row r="166" spans="2:7" x14ac:dyDescent="0.2">
      <c r="B166" s="21" t="s">
        <v>3034</v>
      </c>
      <c r="C166" s="105" t="s">
        <v>2772</v>
      </c>
      <c r="D166" s="105" t="s">
        <v>2773</v>
      </c>
      <c r="E166" s="89">
        <f t="shared" si="4"/>
        <v>1</v>
      </c>
      <c r="F166" s="21">
        <f>SUMIF('Staff data'!B:B,'M&amp;D data'!C166,'Staff data'!I:I)</f>
        <v>425</v>
      </c>
      <c r="G166" s="111">
        <f t="shared" si="5"/>
        <v>0.99619990923086066</v>
      </c>
    </row>
    <row r="167" spans="2:7" x14ac:dyDescent="0.2">
      <c r="B167" s="21" t="s">
        <v>3034</v>
      </c>
      <c r="C167" s="105" t="s">
        <v>2774</v>
      </c>
      <c r="D167" s="105" t="s">
        <v>2775</v>
      </c>
      <c r="E167" s="89">
        <f t="shared" si="4"/>
        <v>1</v>
      </c>
      <c r="F167" s="21">
        <f>SUMIF('Staff data'!B:B,'M&amp;D data'!C167,'Staff data'!I:I)</f>
        <v>298</v>
      </c>
      <c r="G167" s="111">
        <f t="shared" si="5"/>
        <v>0.99619990923086066</v>
      </c>
    </row>
    <row r="168" spans="2:7" x14ac:dyDescent="0.2">
      <c r="B168" s="21" t="s">
        <v>3034</v>
      </c>
      <c r="C168" s="105" t="s">
        <v>2776</v>
      </c>
      <c r="D168" s="105" t="s">
        <v>2777</v>
      </c>
      <c r="E168" s="89">
        <f t="shared" si="4"/>
        <v>1</v>
      </c>
      <c r="F168" s="21">
        <f>SUMIF('Staff data'!B:B,'M&amp;D data'!C168,'Staff data'!I:I)</f>
        <v>155</v>
      </c>
      <c r="G168" s="111">
        <f t="shared" si="5"/>
        <v>0.99619990923086066</v>
      </c>
    </row>
    <row r="169" spans="2:7" x14ac:dyDescent="0.2">
      <c r="B169" s="21" t="s">
        <v>3034</v>
      </c>
      <c r="C169" s="105" t="s">
        <v>2778</v>
      </c>
      <c r="D169" s="105" t="s">
        <v>2779</v>
      </c>
      <c r="E169" s="89">
        <f t="shared" si="4"/>
        <v>1</v>
      </c>
      <c r="F169" s="21">
        <f>SUMIF('Staff data'!B:B,'M&amp;D data'!C169,'Staff data'!I:I)</f>
        <v>2000</v>
      </c>
      <c r="G169" s="111">
        <f t="shared" si="5"/>
        <v>0.99619990923086066</v>
      </c>
    </row>
    <row r="170" spans="2:7" x14ac:dyDescent="0.2">
      <c r="B170" s="21" t="s">
        <v>3069</v>
      </c>
      <c r="C170" s="105" t="s">
        <v>2780</v>
      </c>
      <c r="D170" s="105" t="s">
        <v>2781</v>
      </c>
      <c r="E170" s="89">
        <f t="shared" si="4"/>
        <v>1</v>
      </c>
      <c r="F170" s="21">
        <f>SUMIF('Staff data'!B:B,'M&amp;D data'!C170,'Staff data'!I:I)</f>
        <v>627</v>
      </c>
      <c r="G170" s="111">
        <f t="shared" si="5"/>
        <v>0.99619990923086066</v>
      </c>
    </row>
    <row r="171" spans="2:7" x14ac:dyDescent="0.2">
      <c r="B171" s="21" t="s">
        <v>2133</v>
      </c>
      <c r="C171" s="105" t="s">
        <v>2782</v>
      </c>
      <c r="D171" s="105" t="s">
        <v>2783</v>
      </c>
      <c r="E171" s="89">
        <f t="shared" si="4"/>
        <v>1</v>
      </c>
      <c r="F171" s="21">
        <f>SUMIF('Staff data'!B:B,'M&amp;D data'!C171,'Staff data'!I:I)</f>
        <v>797</v>
      </c>
      <c r="G171" s="111">
        <f t="shared" si="5"/>
        <v>0.99619990923086066</v>
      </c>
    </row>
    <row r="172" spans="2:7" x14ac:dyDescent="0.2">
      <c r="B172" s="21" t="s">
        <v>3528</v>
      </c>
      <c r="C172" s="105" t="s">
        <v>2787</v>
      </c>
      <c r="D172" s="105" t="s">
        <v>2788</v>
      </c>
      <c r="E172" s="89">
        <f t="shared" si="4"/>
        <v>1</v>
      </c>
      <c r="F172" s="21">
        <f>SUMIF('Staff data'!B:B,'M&amp;D data'!C172,'Staff data'!I:I)</f>
        <v>219</v>
      </c>
      <c r="G172" s="111">
        <f t="shared" si="5"/>
        <v>0.99619990923086066</v>
      </c>
    </row>
    <row r="173" spans="2:7" x14ac:dyDescent="0.2">
      <c r="B173" s="21" t="s">
        <v>3528</v>
      </c>
      <c r="C173" s="105" t="s">
        <v>2790</v>
      </c>
      <c r="D173" s="105" t="s">
        <v>2791</v>
      </c>
      <c r="E173" s="89">
        <f t="shared" si="4"/>
        <v>1</v>
      </c>
      <c r="F173" s="21">
        <f>SUMIF('Staff data'!B:B,'M&amp;D data'!C173,'Staff data'!I:I)</f>
        <v>455</v>
      </c>
      <c r="G173" s="111">
        <f t="shared" si="5"/>
        <v>0.99619990923086066</v>
      </c>
    </row>
    <row r="174" spans="2:7" x14ac:dyDescent="0.2">
      <c r="B174" s="21" t="s">
        <v>3496</v>
      </c>
      <c r="C174" s="105" t="s">
        <v>545</v>
      </c>
      <c r="D174" s="105" t="s">
        <v>546</v>
      </c>
      <c r="E174" s="89">
        <f t="shared" si="4"/>
        <v>1</v>
      </c>
      <c r="F174" s="21">
        <f>SUMIF('Staff data'!B:B,'M&amp;D data'!C174,'Staff data'!I:I)</f>
        <v>62</v>
      </c>
      <c r="G174" s="111">
        <f t="shared" si="5"/>
        <v>0.99619990923086066</v>
      </c>
    </row>
    <row r="175" spans="2:7" x14ac:dyDescent="0.2">
      <c r="B175" s="21" t="s">
        <v>1127</v>
      </c>
      <c r="C175" s="105" t="s">
        <v>548</v>
      </c>
      <c r="D175" s="105" t="s">
        <v>549</v>
      </c>
      <c r="E175" s="89">
        <f t="shared" si="4"/>
        <v>1</v>
      </c>
      <c r="F175" s="21">
        <f>SUMIF('Staff data'!B:B,'M&amp;D data'!C175,'Staff data'!I:I)</f>
        <v>527</v>
      </c>
      <c r="G175" s="111">
        <f t="shared" si="5"/>
        <v>0.99619990923086066</v>
      </c>
    </row>
    <row r="176" spans="2:7" x14ac:dyDescent="0.2">
      <c r="B176" s="21" t="s">
        <v>1167</v>
      </c>
      <c r="C176" s="105" t="s">
        <v>550</v>
      </c>
      <c r="D176" s="105" t="s">
        <v>551</v>
      </c>
      <c r="E176" s="89">
        <f t="shared" si="4"/>
        <v>1.0223877088548716</v>
      </c>
      <c r="F176" s="21">
        <f>SUMIF('Staff data'!B:B,'M&amp;D data'!C176,'Staff data'!I:I)</f>
        <v>886</v>
      </c>
      <c r="G176" s="111">
        <f t="shared" si="5"/>
        <v>1.0185025427599708</v>
      </c>
    </row>
    <row r="177" spans="2:7" x14ac:dyDescent="0.2">
      <c r="B177" s="21" t="s">
        <v>1167</v>
      </c>
      <c r="C177" s="105" t="s">
        <v>552</v>
      </c>
      <c r="D177" s="105" t="s">
        <v>553</v>
      </c>
      <c r="E177" s="89">
        <f t="shared" si="4"/>
        <v>1.0223877088548716</v>
      </c>
      <c r="F177" s="21">
        <f>SUMIF('Staff data'!B:B,'M&amp;D data'!C177,'Staff data'!I:I)</f>
        <v>1454</v>
      </c>
      <c r="G177" s="111">
        <f t="shared" si="5"/>
        <v>1.0185025427599708</v>
      </c>
    </row>
    <row r="178" spans="2:7" x14ac:dyDescent="0.2">
      <c r="B178" s="21" t="s">
        <v>2133</v>
      </c>
      <c r="C178" s="105" t="s">
        <v>554</v>
      </c>
      <c r="D178" s="105" t="s">
        <v>555</v>
      </c>
      <c r="E178" s="89">
        <f t="shared" si="4"/>
        <v>1</v>
      </c>
      <c r="F178" s="21">
        <f>SUMIF('Staff data'!B:B,'M&amp;D data'!C178,'Staff data'!I:I)</f>
        <v>491</v>
      </c>
      <c r="G178" s="111">
        <f t="shared" si="5"/>
        <v>0.99619990923086066</v>
      </c>
    </row>
    <row r="179" spans="2:7" x14ac:dyDescent="0.2">
      <c r="B179" s="21" t="s">
        <v>708</v>
      </c>
      <c r="C179" s="105" t="s">
        <v>556</v>
      </c>
      <c r="D179" s="105" t="s">
        <v>557</v>
      </c>
      <c r="E179" s="89">
        <f t="shared" si="4"/>
        <v>1</v>
      </c>
      <c r="F179" s="21">
        <f>SUMIF('Staff data'!B:B,'M&amp;D data'!C179,'Staff data'!I:I)</f>
        <v>1189</v>
      </c>
      <c r="G179" s="111">
        <f t="shared" si="5"/>
        <v>0.99619990923086066</v>
      </c>
    </row>
    <row r="180" spans="2:7" x14ac:dyDescent="0.2">
      <c r="B180" s="21" t="s">
        <v>708</v>
      </c>
      <c r="C180" s="105" t="s">
        <v>558</v>
      </c>
      <c r="D180" s="105" t="s">
        <v>559</v>
      </c>
      <c r="E180" s="89">
        <f t="shared" si="4"/>
        <v>1</v>
      </c>
      <c r="F180" s="21">
        <f>SUMIF('Staff data'!B:B,'M&amp;D data'!C180,'Staff data'!I:I)</f>
        <v>426</v>
      </c>
      <c r="G180" s="111">
        <f t="shared" si="5"/>
        <v>0.99619990923086066</v>
      </c>
    </row>
    <row r="181" spans="2:7" x14ac:dyDescent="0.2">
      <c r="B181" s="21" t="s">
        <v>2133</v>
      </c>
      <c r="C181" s="105" t="s">
        <v>560</v>
      </c>
      <c r="D181" s="105" t="s">
        <v>561</v>
      </c>
      <c r="E181" s="89">
        <f t="shared" si="4"/>
        <v>1</v>
      </c>
      <c r="F181" s="21">
        <f>SUMIF('Staff data'!B:B,'M&amp;D data'!C181,'Staff data'!I:I)</f>
        <v>424</v>
      </c>
      <c r="G181" s="111">
        <f t="shared" si="5"/>
        <v>0.99619990923086066</v>
      </c>
    </row>
    <row r="182" spans="2:7" x14ac:dyDescent="0.2">
      <c r="B182" s="21" t="s">
        <v>1167</v>
      </c>
      <c r="C182" s="105" t="s">
        <v>562</v>
      </c>
      <c r="D182" s="105" t="s">
        <v>563</v>
      </c>
      <c r="E182" s="89">
        <f t="shared" si="4"/>
        <v>1.0223877088548716</v>
      </c>
      <c r="F182" s="21">
        <f>SUMIF('Staff data'!B:B,'M&amp;D data'!C182,'Staff data'!I:I)</f>
        <v>715</v>
      </c>
      <c r="G182" s="111">
        <f t="shared" si="5"/>
        <v>1.0185025427599708</v>
      </c>
    </row>
    <row r="183" spans="2:7" x14ac:dyDescent="0.2">
      <c r="B183" s="21" t="s">
        <v>3034</v>
      </c>
      <c r="C183" s="105" t="s">
        <v>564</v>
      </c>
      <c r="D183" s="105" t="s">
        <v>565</v>
      </c>
      <c r="E183" s="89">
        <f t="shared" si="4"/>
        <v>1</v>
      </c>
      <c r="F183" s="21">
        <f>SUMIF('Staff data'!B:B,'M&amp;D data'!C183,'Staff data'!I:I)</f>
        <v>444</v>
      </c>
      <c r="G183" s="111">
        <f t="shared" si="5"/>
        <v>0.99619990923086066</v>
      </c>
    </row>
    <row r="184" spans="2:7" x14ac:dyDescent="0.2">
      <c r="B184" s="21" t="s">
        <v>191</v>
      </c>
      <c r="C184" s="105" t="s">
        <v>567</v>
      </c>
      <c r="D184" s="105" t="s">
        <v>568</v>
      </c>
      <c r="E184" s="89">
        <f t="shared" si="4"/>
        <v>1</v>
      </c>
      <c r="F184" s="21">
        <f>SUMIF('Staff data'!B:B,'M&amp;D data'!C184,'Staff data'!I:I)</f>
        <v>1037</v>
      </c>
      <c r="G184" s="111">
        <f t="shared" si="5"/>
        <v>0.99619990923086066</v>
      </c>
    </row>
    <row r="185" spans="2:7" x14ac:dyDescent="0.2">
      <c r="B185" s="21" t="s">
        <v>1127</v>
      </c>
      <c r="C185" s="105" t="s">
        <v>569</v>
      </c>
      <c r="D185" s="105" t="s">
        <v>570</v>
      </c>
      <c r="E185" s="89">
        <f t="shared" si="4"/>
        <v>1</v>
      </c>
      <c r="F185" s="21">
        <f>SUMIF('Staff data'!B:B,'M&amp;D data'!C185,'Staff data'!I:I)</f>
        <v>766</v>
      </c>
      <c r="G185" s="111">
        <f t="shared" si="5"/>
        <v>0.99619990923086066</v>
      </c>
    </row>
    <row r="186" spans="2:7" x14ac:dyDescent="0.2">
      <c r="B186" s="21" t="s">
        <v>2975</v>
      </c>
      <c r="C186" s="105" t="s">
        <v>571</v>
      </c>
      <c r="D186" s="105" t="s">
        <v>572</v>
      </c>
      <c r="E186" s="89">
        <f t="shared" si="4"/>
        <v>1</v>
      </c>
      <c r="F186" s="21">
        <f>SUMIF('Staff data'!B:B,'M&amp;D data'!C186,'Staff data'!I:I)</f>
        <v>521</v>
      </c>
      <c r="G186" s="111">
        <f t="shared" si="5"/>
        <v>0.99619990923086066</v>
      </c>
    </row>
    <row r="187" spans="2:7" x14ac:dyDescent="0.2">
      <c r="B187" s="21" t="s">
        <v>1167</v>
      </c>
      <c r="C187" s="105" t="s">
        <v>573</v>
      </c>
      <c r="D187" s="105" t="s">
        <v>574</v>
      </c>
      <c r="E187" s="89">
        <f t="shared" si="4"/>
        <v>1.0223877088548716</v>
      </c>
      <c r="F187" s="21">
        <f>SUMIF('Staff data'!B:B,'M&amp;D data'!C187,'Staff data'!I:I)</f>
        <v>972</v>
      </c>
      <c r="G187" s="111">
        <f t="shared" si="5"/>
        <v>1.0185025427599708</v>
      </c>
    </row>
    <row r="188" spans="2:7" x14ac:dyDescent="0.2">
      <c r="B188" s="21" t="s">
        <v>2975</v>
      </c>
      <c r="C188" s="105" t="s">
        <v>575</v>
      </c>
      <c r="D188" s="105" t="s">
        <v>576</v>
      </c>
      <c r="E188" s="89">
        <f t="shared" si="4"/>
        <v>1</v>
      </c>
      <c r="F188" s="21">
        <f>SUMIF('Staff data'!B:B,'M&amp;D data'!C188,'Staff data'!I:I)</f>
        <v>812</v>
      </c>
      <c r="G188" s="111">
        <f t="shared" si="5"/>
        <v>0.99619990923086066</v>
      </c>
    </row>
    <row r="189" spans="2:7" x14ac:dyDescent="0.2">
      <c r="B189" s="21" t="s">
        <v>2975</v>
      </c>
      <c r="C189" s="105" t="s">
        <v>578</v>
      </c>
      <c r="D189" s="105" t="s">
        <v>579</v>
      </c>
      <c r="E189" s="89">
        <f t="shared" si="4"/>
        <v>1</v>
      </c>
      <c r="F189" s="21">
        <f>SUMIF('Staff data'!B:B,'M&amp;D data'!C189,'Staff data'!I:I)</f>
        <v>803</v>
      </c>
      <c r="G189" s="111">
        <f t="shared" si="5"/>
        <v>0.99619990923086066</v>
      </c>
    </row>
    <row r="190" spans="2:7" x14ac:dyDescent="0.2">
      <c r="B190" s="21" t="s">
        <v>3496</v>
      </c>
      <c r="C190" s="105" t="s">
        <v>580</v>
      </c>
      <c r="D190" s="105" t="s">
        <v>581</v>
      </c>
      <c r="E190" s="89">
        <f t="shared" si="4"/>
        <v>1</v>
      </c>
      <c r="F190" s="21">
        <f>SUMIF('Staff data'!B:B,'M&amp;D data'!C190,'Staff data'!I:I)</f>
        <v>1038</v>
      </c>
      <c r="G190" s="111">
        <f t="shared" si="5"/>
        <v>0.99619990923086066</v>
      </c>
    </row>
    <row r="191" spans="2:7" x14ac:dyDescent="0.2">
      <c r="B191" s="21" t="s">
        <v>3496</v>
      </c>
      <c r="C191" s="105" t="s">
        <v>582</v>
      </c>
      <c r="D191" s="105" t="s">
        <v>583</v>
      </c>
      <c r="E191" s="89">
        <f t="shared" si="4"/>
        <v>1</v>
      </c>
      <c r="F191" s="21">
        <f>SUMIF('Staff data'!B:B,'M&amp;D data'!C191,'Staff data'!I:I)</f>
        <v>493</v>
      </c>
      <c r="G191" s="111">
        <f t="shared" si="5"/>
        <v>0.99619990923086066</v>
      </c>
    </row>
    <row r="192" spans="2:7" x14ac:dyDescent="0.2">
      <c r="B192" s="21" t="s">
        <v>3496</v>
      </c>
      <c r="C192" s="105" t="s">
        <v>584</v>
      </c>
      <c r="D192" s="105" t="s">
        <v>585</v>
      </c>
      <c r="E192" s="89">
        <f t="shared" si="4"/>
        <v>1</v>
      </c>
      <c r="F192" s="21">
        <f>SUMIF('Staff data'!B:B,'M&amp;D data'!C192,'Staff data'!I:I)</f>
        <v>784</v>
      </c>
      <c r="G192" s="111">
        <f t="shared" si="5"/>
        <v>0.99619990923086066</v>
      </c>
    </row>
    <row r="193" spans="2:7" x14ac:dyDescent="0.2">
      <c r="B193" s="21" t="s">
        <v>2975</v>
      </c>
      <c r="C193" s="105" t="s">
        <v>586</v>
      </c>
      <c r="D193" s="105" t="s">
        <v>587</v>
      </c>
      <c r="E193" s="89">
        <f t="shared" si="4"/>
        <v>1</v>
      </c>
      <c r="F193" s="21">
        <f>SUMIF('Staff data'!B:B,'M&amp;D data'!C193,'Staff data'!I:I)</f>
        <v>475</v>
      </c>
      <c r="G193" s="111">
        <f t="shared" si="5"/>
        <v>0.99619990923086066</v>
      </c>
    </row>
    <row r="194" spans="2:7" x14ac:dyDescent="0.2">
      <c r="B194" s="21" t="s">
        <v>3528</v>
      </c>
      <c r="C194" s="105" t="s">
        <v>588</v>
      </c>
      <c r="D194" s="105" t="s">
        <v>589</v>
      </c>
      <c r="E194" s="89">
        <f t="shared" si="4"/>
        <v>1</v>
      </c>
      <c r="F194" s="21">
        <f>SUMIF('Staff data'!B:B,'M&amp;D data'!C194,'Staff data'!I:I)</f>
        <v>620</v>
      </c>
      <c r="G194" s="111">
        <f t="shared" si="5"/>
        <v>0.99619990923086066</v>
      </c>
    </row>
    <row r="195" spans="2:7" x14ac:dyDescent="0.2">
      <c r="B195" s="21" t="s">
        <v>1167</v>
      </c>
      <c r="C195" s="105" t="s">
        <v>590</v>
      </c>
      <c r="D195" s="105" t="s">
        <v>591</v>
      </c>
      <c r="E195" s="89">
        <f t="shared" si="4"/>
        <v>1.0223877088548716</v>
      </c>
      <c r="F195" s="21">
        <f>SUMIF('Staff data'!B:B,'M&amp;D data'!C195,'Staff data'!I:I)</f>
        <v>0</v>
      </c>
      <c r="G195" s="111">
        <f t="shared" si="5"/>
        <v>1.0185025427599708</v>
      </c>
    </row>
    <row r="196" spans="2:7" x14ac:dyDescent="0.2">
      <c r="B196" s="21" t="s">
        <v>708</v>
      </c>
      <c r="C196" s="105" t="s">
        <v>592</v>
      </c>
      <c r="D196" s="105" t="s">
        <v>593</v>
      </c>
      <c r="E196" s="89">
        <f t="shared" si="4"/>
        <v>1</v>
      </c>
      <c r="F196" s="21">
        <f>SUMIF('Staff data'!B:B,'M&amp;D data'!C196,'Staff data'!I:I)</f>
        <v>935</v>
      </c>
      <c r="G196" s="111">
        <f t="shared" si="5"/>
        <v>0.99619990923086066</v>
      </c>
    </row>
    <row r="197" spans="2:7" x14ac:dyDescent="0.2">
      <c r="B197" s="21" t="s">
        <v>2975</v>
      </c>
      <c r="C197" s="105" t="s">
        <v>594</v>
      </c>
      <c r="D197" s="105" t="s">
        <v>595</v>
      </c>
      <c r="E197" s="89">
        <f t="shared" si="4"/>
        <v>1</v>
      </c>
      <c r="F197" s="21">
        <f>SUMIF('Staff data'!B:B,'M&amp;D data'!C197,'Staff data'!I:I)</f>
        <v>167</v>
      </c>
      <c r="G197" s="111">
        <f t="shared" si="5"/>
        <v>0.99619990923086066</v>
      </c>
    </row>
    <row r="198" spans="2:7" x14ac:dyDescent="0.2">
      <c r="B198" s="21" t="s">
        <v>2133</v>
      </c>
      <c r="C198" s="105" t="s">
        <v>596</v>
      </c>
      <c r="D198" s="105" t="s">
        <v>597</v>
      </c>
      <c r="E198" s="89">
        <f t="shared" si="4"/>
        <v>1</v>
      </c>
      <c r="F198" s="21">
        <f>SUMIF('Staff data'!B:B,'M&amp;D data'!C198,'Staff data'!I:I)</f>
        <v>794</v>
      </c>
      <c r="G198" s="111">
        <f t="shared" si="5"/>
        <v>0.99619990923086066</v>
      </c>
    </row>
    <row r="199" spans="2:7" x14ac:dyDescent="0.2">
      <c r="B199" s="21" t="s">
        <v>1167</v>
      </c>
      <c r="C199" s="105" t="s">
        <v>598</v>
      </c>
      <c r="D199" s="105" t="s">
        <v>599</v>
      </c>
      <c r="E199" s="89">
        <f t="shared" si="4"/>
        <v>1.0223877088548716</v>
      </c>
      <c r="F199" s="21">
        <f>SUMIF('Staff data'!B:B,'M&amp;D data'!C199,'Staff data'!I:I)</f>
        <v>460</v>
      </c>
      <c r="G199" s="111">
        <f t="shared" si="5"/>
        <v>1.0185025427599708</v>
      </c>
    </row>
    <row r="200" spans="2:7" x14ac:dyDescent="0.2">
      <c r="B200" s="21" t="s">
        <v>1167</v>
      </c>
      <c r="C200" s="105" t="s">
        <v>600</v>
      </c>
      <c r="D200" s="105" t="s">
        <v>601</v>
      </c>
      <c r="E200" s="89">
        <f t="shared" si="4"/>
        <v>1.0223877088548716</v>
      </c>
      <c r="F200" s="21">
        <f>SUMIF('Staff data'!B:B,'M&amp;D data'!C200,'Staff data'!I:I)</f>
        <v>459</v>
      </c>
      <c r="G200" s="111">
        <f t="shared" si="5"/>
        <v>1.0185025427599708</v>
      </c>
    </row>
    <row r="201" spans="2:7" x14ac:dyDescent="0.2">
      <c r="B201" s="21" t="s">
        <v>708</v>
      </c>
      <c r="C201" s="105" t="s">
        <v>602</v>
      </c>
      <c r="D201" s="105" t="s">
        <v>603</v>
      </c>
      <c r="E201" s="89">
        <f t="shared" si="4"/>
        <v>1</v>
      </c>
      <c r="F201" s="21">
        <f>SUMIF('Staff data'!B:B,'M&amp;D data'!C201,'Staff data'!I:I)</f>
        <v>1728</v>
      </c>
      <c r="G201" s="111">
        <f t="shared" si="5"/>
        <v>0.99619990923086066</v>
      </c>
    </row>
    <row r="202" spans="2:7" x14ac:dyDescent="0.2">
      <c r="B202" s="21" t="s">
        <v>1127</v>
      </c>
      <c r="C202" s="105" t="s">
        <v>604</v>
      </c>
      <c r="D202" s="105" t="s">
        <v>605</v>
      </c>
      <c r="E202" s="89">
        <f t="shared" si="4"/>
        <v>1</v>
      </c>
      <c r="F202" s="21">
        <f>SUMIF('Staff data'!B:B,'M&amp;D data'!C202,'Staff data'!I:I)</f>
        <v>511</v>
      </c>
      <c r="G202" s="111">
        <f t="shared" si="5"/>
        <v>0.99619990923086066</v>
      </c>
    </row>
    <row r="203" spans="2:7" x14ac:dyDescent="0.2">
      <c r="B203" s="21" t="s">
        <v>1127</v>
      </c>
      <c r="C203" s="105" t="s">
        <v>606</v>
      </c>
      <c r="D203" s="105" t="s">
        <v>607</v>
      </c>
      <c r="E203" s="89">
        <f t="shared" si="4"/>
        <v>1</v>
      </c>
      <c r="F203" s="21">
        <f>SUMIF('Staff data'!B:B,'M&amp;D data'!C203,'Staff data'!I:I)</f>
        <v>504</v>
      </c>
      <c r="G203" s="111">
        <f t="shared" si="5"/>
        <v>0.99619990923086066</v>
      </c>
    </row>
    <row r="204" spans="2:7" x14ac:dyDescent="0.2">
      <c r="B204" s="21" t="s">
        <v>3034</v>
      </c>
      <c r="C204" s="105" t="s">
        <v>608</v>
      </c>
      <c r="D204" s="105" t="s">
        <v>609</v>
      </c>
      <c r="E204" s="89">
        <f t="shared" si="4"/>
        <v>1</v>
      </c>
      <c r="F204" s="21">
        <f>SUMIF('Staff data'!B:B,'M&amp;D data'!C204,'Staff data'!I:I)</f>
        <v>546</v>
      </c>
      <c r="G204" s="111">
        <f t="shared" si="5"/>
        <v>0.99619990923086066</v>
      </c>
    </row>
    <row r="205" spans="2:7" x14ac:dyDescent="0.2">
      <c r="B205" s="21" t="s">
        <v>3528</v>
      </c>
      <c r="C205" s="105" t="s">
        <v>610</v>
      </c>
      <c r="D205" s="105" t="s">
        <v>611</v>
      </c>
      <c r="E205" s="89">
        <f t="shared" ref="E205:E234" si="6">IF(B205="Q36",$L$5,1)</f>
        <v>1</v>
      </c>
      <c r="F205" s="21">
        <f>SUMIF('Staff data'!B:B,'M&amp;D data'!C205,'Staff data'!I:I)</f>
        <v>858</v>
      </c>
      <c r="G205" s="111">
        <f t="shared" ref="G205:G234" si="7">E205/E$268</f>
        <v>0.99619990923086066</v>
      </c>
    </row>
    <row r="206" spans="2:7" x14ac:dyDescent="0.2">
      <c r="B206" s="21" t="s">
        <v>1167</v>
      </c>
      <c r="C206" s="105" t="s">
        <v>612</v>
      </c>
      <c r="D206" s="105" t="s">
        <v>613</v>
      </c>
      <c r="E206" s="89">
        <f t="shared" si="6"/>
        <v>1.0223877088548716</v>
      </c>
      <c r="F206" s="21">
        <f>SUMIF('Staff data'!B:B,'M&amp;D data'!C206,'Staff data'!I:I)</f>
        <v>204</v>
      </c>
      <c r="G206" s="111">
        <f t="shared" si="7"/>
        <v>1.0185025427599708</v>
      </c>
    </row>
    <row r="207" spans="2:7" x14ac:dyDescent="0.2">
      <c r="B207" s="21" t="s">
        <v>2133</v>
      </c>
      <c r="C207" s="105" t="s">
        <v>614</v>
      </c>
      <c r="D207" s="105" t="s">
        <v>3869</v>
      </c>
      <c r="E207" s="89">
        <f t="shared" si="6"/>
        <v>1</v>
      </c>
      <c r="F207" s="21">
        <f>SUMIF('Staff data'!B:B,'M&amp;D data'!C207,'Staff data'!I:I)</f>
        <v>137</v>
      </c>
      <c r="G207" s="111">
        <f t="shared" si="7"/>
        <v>0.99619990923086066</v>
      </c>
    </row>
    <row r="208" spans="2:7" x14ac:dyDescent="0.2">
      <c r="B208" s="21" t="s">
        <v>2133</v>
      </c>
      <c r="C208" s="105" t="s">
        <v>3870</v>
      </c>
      <c r="D208" s="105" t="s">
        <v>3871</v>
      </c>
      <c r="E208" s="89">
        <f t="shared" si="6"/>
        <v>1</v>
      </c>
      <c r="F208" s="21">
        <f>SUMIF('Staff data'!B:B,'M&amp;D data'!C208,'Staff data'!I:I)</f>
        <v>704</v>
      </c>
      <c r="G208" s="111">
        <f t="shared" si="7"/>
        <v>0.99619990923086066</v>
      </c>
    </row>
    <row r="209" spans="2:7" x14ac:dyDescent="0.2">
      <c r="B209" s="21" t="s">
        <v>2975</v>
      </c>
      <c r="C209" s="105" t="s">
        <v>3872</v>
      </c>
      <c r="D209" s="105" t="s">
        <v>3873</v>
      </c>
      <c r="E209" s="89">
        <f t="shared" si="6"/>
        <v>1</v>
      </c>
      <c r="F209" s="21">
        <f>SUMIF('Staff data'!B:B,'M&amp;D data'!C209,'Staff data'!I:I)</f>
        <v>142</v>
      </c>
      <c r="G209" s="111">
        <f t="shared" si="7"/>
        <v>0.99619990923086066</v>
      </c>
    </row>
    <row r="210" spans="2:7" x14ac:dyDescent="0.2">
      <c r="B210" s="21" t="s">
        <v>1167</v>
      </c>
      <c r="C210" s="105" t="s">
        <v>3874</v>
      </c>
      <c r="D210" s="105" t="s">
        <v>3875</v>
      </c>
      <c r="E210" s="89">
        <f t="shared" si="6"/>
        <v>1.0223877088548716</v>
      </c>
      <c r="F210" s="21">
        <f>SUMIF('Staff data'!B:B,'M&amp;D data'!C210,'Staff data'!I:I)</f>
        <v>558</v>
      </c>
      <c r="G210" s="111">
        <f t="shared" si="7"/>
        <v>1.0185025427599708</v>
      </c>
    </row>
    <row r="211" spans="2:7" x14ac:dyDescent="0.2">
      <c r="B211" s="21" t="s">
        <v>3069</v>
      </c>
      <c r="C211" s="105" t="s">
        <v>3876</v>
      </c>
      <c r="D211" s="105" t="s">
        <v>3877</v>
      </c>
      <c r="E211" s="89">
        <f t="shared" si="6"/>
        <v>1</v>
      </c>
      <c r="F211" s="21">
        <f>SUMIF('Staff data'!B:B,'M&amp;D data'!C211,'Staff data'!I:I)</f>
        <v>1326</v>
      </c>
      <c r="G211" s="111">
        <f t="shared" si="7"/>
        <v>0.99619990923086066</v>
      </c>
    </row>
    <row r="212" spans="2:7" x14ac:dyDescent="0.2">
      <c r="B212" s="21" t="s">
        <v>1167</v>
      </c>
      <c r="C212" s="105" t="s">
        <v>3878</v>
      </c>
      <c r="D212" s="105" t="s">
        <v>3879</v>
      </c>
      <c r="E212" s="89">
        <f t="shared" si="6"/>
        <v>1.0223877088548716</v>
      </c>
      <c r="F212" s="21">
        <f>SUMIF('Staff data'!B:B,'M&amp;D data'!C212,'Staff data'!I:I)</f>
        <v>1000</v>
      </c>
      <c r="G212" s="111">
        <f t="shared" si="7"/>
        <v>1.0185025427599708</v>
      </c>
    </row>
    <row r="213" spans="2:7" x14ac:dyDescent="0.2">
      <c r="B213" s="21" t="s">
        <v>2133</v>
      </c>
      <c r="C213" s="105" t="s">
        <v>3880</v>
      </c>
      <c r="D213" s="105" t="s">
        <v>3881</v>
      </c>
      <c r="E213" s="89">
        <f t="shared" si="6"/>
        <v>1</v>
      </c>
      <c r="F213" s="21">
        <f>SUMIF('Staff data'!B:B,'M&amp;D data'!C213,'Staff data'!I:I)</f>
        <v>1039</v>
      </c>
      <c r="G213" s="111">
        <f t="shared" si="7"/>
        <v>0.99619990923086066</v>
      </c>
    </row>
    <row r="214" spans="2:7" x14ac:dyDescent="0.2">
      <c r="B214" s="21" t="s">
        <v>2133</v>
      </c>
      <c r="C214" s="105" t="s">
        <v>3882</v>
      </c>
      <c r="D214" s="105" t="s">
        <v>661</v>
      </c>
      <c r="E214" s="89">
        <f t="shared" si="6"/>
        <v>1</v>
      </c>
      <c r="F214" s="21">
        <f>SUMIF('Staff data'!B:B,'M&amp;D data'!C214,'Staff data'!I:I)</f>
        <v>1125</v>
      </c>
      <c r="G214" s="111">
        <f t="shared" si="7"/>
        <v>0.99619990923086066</v>
      </c>
    </row>
    <row r="215" spans="2:7" x14ac:dyDescent="0.2">
      <c r="B215" s="21" t="s">
        <v>2975</v>
      </c>
      <c r="C215" s="105" t="s">
        <v>662</v>
      </c>
      <c r="D215" s="105" t="s">
        <v>663</v>
      </c>
      <c r="E215" s="89">
        <f t="shared" si="6"/>
        <v>1</v>
      </c>
      <c r="F215" s="21">
        <f>SUMIF('Staff data'!B:B,'M&amp;D data'!C215,'Staff data'!I:I)</f>
        <v>846</v>
      </c>
      <c r="G215" s="111">
        <f t="shared" si="7"/>
        <v>0.99619990923086066</v>
      </c>
    </row>
    <row r="216" spans="2:7" x14ac:dyDescent="0.2">
      <c r="B216" s="21" t="s">
        <v>3528</v>
      </c>
      <c r="C216" s="105" t="s">
        <v>664</v>
      </c>
      <c r="D216" s="105" t="s">
        <v>665</v>
      </c>
      <c r="E216" s="89">
        <f t="shared" si="6"/>
        <v>1</v>
      </c>
      <c r="F216" s="21">
        <f>SUMIF('Staff data'!B:B,'M&amp;D data'!C216,'Staff data'!I:I)</f>
        <v>949</v>
      </c>
      <c r="G216" s="111">
        <f t="shared" si="7"/>
        <v>0.99619990923086066</v>
      </c>
    </row>
    <row r="217" spans="2:7" x14ac:dyDescent="0.2">
      <c r="B217" s="21" t="s">
        <v>2133</v>
      </c>
      <c r="C217" s="105" t="s">
        <v>666</v>
      </c>
      <c r="D217" s="105" t="s">
        <v>667</v>
      </c>
      <c r="E217" s="89">
        <f t="shared" si="6"/>
        <v>1</v>
      </c>
      <c r="F217" s="21">
        <f>SUMIF('Staff data'!B:B,'M&amp;D data'!C217,'Staff data'!I:I)</f>
        <v>1225</v>
      </c>
      <c r="G217" s="111">
        <f t="shared" si="7"/>
        <v>0.99619990923086066</v>
      </c>
    </row>
    <row r="218" spans="2:7" x14ac:dyDescent="0.2">
      <c r="B218" s="21" t="s">
        <v>3069</v>
      </c>
      <c r="C218" s="105" t="s">
        <v>668</v>
      </c>
      <c r="D218" s="105" t="s">
        <v>669</v>
      </c>
      <c r="E218" s="89">
        <f t="shared" si="6"/>
        <v>1</v>
      </c>
      <c r="F218" s="21">
        <f>SUMIF('Staff data'!B:B,'M&amp;D data'!C218,'Staff data'!I:I)</f>
        <v>1974</v>
      </c>
      <c r="G218" s="111">
        <f t="shared" si="7"/>
        <v>0.99619990923086066</v>
      </c>
    </row>
    <row r="219" spans="2:7" x14ac:dyDescent="0.2">
      <c r="B219" s="21" t="s">
        <v>2975</v>
      </c>
      <c r="C219" s="105" t="s">
        <v>670</v>
      </c>
      <c r="D219" s="105" t="s">
        <v>671</v>
      </c>
      <c r="E219" s="89">
        <f t="shared" si="6"/>
        <v>1</v>
      </c>
      <c r="F219" s="21">
        <f>SUMIF('Staff data'!B:B,'M&amp;D data'!C219,'Staff data'!I:I)</f>
        <v>895</v>
      </c>
      <c r="G219" s="111">
        <f t="shared" si="7"/>
        <v>0.99619990923086066</v>
      </c>
    </row>
    <row r="220" spans="2:7" x14ac:dyDescent="0.2">
      <c r="B220" s="21" t="s">
        <v>2133</v>
      </c>
      <c r="C220" s="105" t="s">
        <v>672</v>
      </c>
      <c r="D220" s="105" t="s">
        <v>673</v>
      </c>
      <c r="E220" s="89">
        <f t="shared" si="6"/>
        <v>1</v>
      </c>
      <c r="F220" s="21">
        <f>SUMIF('Staff data'!B:B,'M&amp;D data'!C220,'Staff data'!I:I)</f>
        <v>550</v>
      </c>
      <c r="G220" s="111">
        <f t="shared" si="7"/>
        <v>0.99619990923086066</v>
      </c>
    </row>
    <row r="221" spans="2:7" x14ac:dyDescent="0.2">
      <c r="B221" s="21" t="s">
        <v>2975</v>
      </c>
      <c r="C221" s="105" t="s">
        <v>674</v>
      </c>
      <c r="D221" s="105" t="s">
        <v>675</v>
      </c>
      <c r="E221" s="89">
        <f t="shared" si="6"/>
        <v>1</v>
      </c>
      <c r="F221" s="21">
        <f>SUMIF('Staff data'!B:B,'M&amp;D data'!C221,'Staff data'!I:I)</f>
        <v>612</v>
      </c>
      <c r="G221" s="111">
        <f t="shared" si="7"/>
        <v>0.99619990923086066</v>
      </c>
    </row>
    <row r="222" spans="2:7" x14ac:dyDescent="0.2">
      <c r="B222" s="21" t="s">
        <v>1127</v>
      </c>
      <c r="C222" s="105" t="s">
        <v>676</v>
      </c>
      <c r="D222" s="105" t="s">
        <v>677</v>
      </c>
      <c r="E222" s="89">
        <f t="shared" si="6"/>
        <v>1</v>
      </c>
      <c r="F222" s="21">
        <f>SUMIF('Staff data'!B:B,'M&amp;D data'!C222,'Staff data'!I:I)</f>
        <v>734</v>
      </c>
      <c r="G222" s="111">
        <f t="shared" si="7"/>
        <v>0.99619990923086066</v>
      </c>
    </row>
    <row r="223" spans="2:7" x14ac:dyDescent="0.2">
      <c r="B223" s="21" t="s">
        <v>1167</v>
      </c>
      <c r="C223" s="105" t="s">
        <v>678</v>
      </c>
      <c r="D223" s="105" t="s">
        <v>679</v>
      </c>
      <c r="E223" s="89">
        <f t="shared" si="6"/>
        <v>1.0223877088548716</v>
      </c>
      <c r="F223" s="21">
        <f>SUMIF('Staff data'!B:B,'M&amp;D data'!C223,'Staff data'!I:I)</f>
        <v>1150</v>
      </c>
      <c r="G223" s="111">
        <f t="shared" si="7"/>
        <v>1.0185025427599708</v>
      </c>
    </row>
    <row r="224" spans="2:7" x14ac:dyDescent="0.2">
      <c r="B224" s="21" t="s">
        <v>1167</v>
      </c>
      <c r="C224" s="105" t="s">
        <v>680</v>
      </c>
      <c r="D224" s="105" t="s">
        <v>681</v>
      </c>
      <c r="E224" s="89">
        <f t="shared" si="6"/>
        <v>1.0223877088548716</v>
      </c>
      <c r="F224" s="21">
        <f>SUMIF('Staff data'!B:B,'M&amp;D data'!C224,'Staff data'!I:I)</f>
        <v>428</v>
      </c>
      <c r="G224" s="111">
        <f t="shared" si="7"/>
        <v>1.0185025427599708</v>
      </c>
    </row>
    <row r="225" spans="2:7" x14ac:dyDescent="0.2">
      <c r="B225" s="21" t="s">
        <v>1127</v>
      </c>
      <c r="C225" s="105" t="s">
        <v>683</v>
      </c>
      <c r="D225" s="105" t="s">
        <v>684</v>
      </c>
      <c r="E225" s="89">
        <f t="shared" si="6"/>
        <v>1</v>
      </c>
      <c r="F225" s="21">
        <f>SUMIF('Staff data'!B:B,'M&amp;D data'!C225,'Staff data'!I:I)</f>
        <v>484</v>
      </c>
      <c r="G225" s="111">
        <f t="shared" si="7"/>
        <v>0.99619990923086066</v>
      </c>
    </row>
    <row r="226" spans="2:7" x14ac:dyDescent="0.2">
      <c r="B226" s="21" t="s">
        <v>3496</v>
      </c>
      <c r="C226" s="105" t="s">
        <v>685</v>
      </c>
      <c r="D226" s="105" t="s">
        <v>686</v>
      </c>
      <c r="E226" s="89">
        <f t="shared" si="6"/>
        <v>1</v>
      </c>
      <c r="F226" s="21">
        <f>SUMIF('Staff data'!B:B,'M&amp;D data'!C226,'Staff data'!I:I)</f>
        <v>975</v>
      </c>
      <c r="G226" s="111">
        <f t="shared" si="7"/>
        <v>0.99619990923086066</v>
      </c>
    </row>
    <row r="227" spans="2:7" x14ac:dyDescent="0.2">
      <c r="B227" s="21" t="s">
        <v>3528</v>
      </c>
      <c r="C227" s="105" t="s">
        <v>687</v>
      </c>
      <c r="D227" s="105" t="s">
        <v>688</v>
      </c>
      <c r="E227" s="89">
        <f t="shared" si="6"/>
        <v>1</v>
      </c>
      <c r="F227" s="21">
        <f>SUMIF('Staff data'!B:B,'M&amp;D data'!C227,'Staff data'!I:I)</f>
        <v>325</v>
      </c>
      <c r="G227" s="111">
        <f t="shared" si="7"/>
        <v>0.99619990923086066</v>
      </c>
    </row>
    <row r="228" spans="2:7" x14ac:dyDescent="0.2">
      <c r="B228" s="21" t="s">
        <v>1167</v>
      </c>
      <c r="C228" s="105" t="s">
        <v>689</v>
      </c>
      <c r="D228" s="105" t="s">
        <v>690</v>
      </c>
      <c r="E228" s="89">
        <f t="shared" si="6"/>
        <v>1.0223877088548716</v>
      </c>
      <c r="F228" s="21">
        <f>SUMIF('Staff data'!B:B,'M&amp;D data'!C228,'Staff data'!I:I)</f>
        <v>621</v>
      </c>
      <c r="G228" s="111">
        <f t="shared" si="7"/>
        <v>1.0185025427599708</v>
      </c>
    </row>
    <row r="229" spans="2:7" x14ac:dyDescent="0.2">
      <c r="B229" s="21" t="s">
        <v>2975</v>
      </c>
      <c r="C229" s="105" t="s">
        <v>693</v>
      </c>
      <c r="D229" s="105" t="s">
        <v>694</v>
      </c>
      <c r="E229" s="89">
        <f t="shared" si="6"/>
        <v>1</v>
      </c>
      <c r="F229" s="21">
        <f>SUMIF('Staff data'!B:B,'M&amp;D data'!C229,'Staff data'!I:I)</f>
        <v>932</v>
      </c>
      <c r="G229" s="111">
        <f t="shared" si="7"/>
        <v>0.99619990923086066</v>
      </c>
    </row>
    <row r="230" spans="2:7" x14ac:dyDescent="0.2">
      <c r="B230" s="21" t="s">
        <v>2133</v>
      </c>
      <c r="C230" s="105" t="s">
        <v>695</v>
      </c>
      <c r="D230" s="105" t="s">
        <v>696</v>
      </c>
      <c r="E230" s="89">
        <f t="shared" si="6"/>
        <v>1</v>
      </c>
      <c r="F230" s="21">
        <f>SUMIF('Staff data'!B:B,'M&amp;D data'!C230,'Staff data'!I:I)</f>
        <v>1022</v>
      </c>
      <c r="G230" s="111">
        <f t="shared" si="7"/>
        <v>0.99619990923086066</v>
      </c>
    </row>
    <row r="231" spans="2:7" x14ac:dyDescent="0.2">
      <c r="B231" s="21" t="s">
        <v>2133</v>
      </c>
      <c r="C231" s="105" t="s">
        <v>697</v>
      </c>
      <c r="D231" s="105" t="s">
        <v>698</v>
      </c>
      <c r="E231" s="89">
        <f t="shared" si="6"/>
        <v>1</v>
      </c>
      <c r="F231" s="21">
        <f>SUMIF('Staff data'!B:B,'M&amp;D data'!C231,'Staff data'!I:I)</f>
        <v>219</v>
      </c>
      <c r="G231" s="111">
        <f t="shared" si="7"/>
        <v>0.99619990923086066</v>
      </c>
    </row>
    <row r="232" spans="2:7" x14ac:dyDescent="0.2">
      <c r="B232" s="21" t="s">
        <v>2975</v>
      </c>
      <c r="C232" s="105" t="s">
        <v>699</v>
      </c>
      <c r="D232" s="105" t="s">
        <v>700</v>
      </c>
      <c r="E232" s="89">
        <f t="shared" si="6"/>
        <v>1</v>
      </c>
      <c r="F232" s="21">
        <f>SUMIF('Staff data'!B:B,'M&amp;D data'!C232,'Staff data'!I:I)</f>
        <v>720</v>
      </c>
      <c r="G232" s="111">
        <f t="shared" si="7"/>
        <v>0.99619990923086066</v>
      </c>
    </row>
    <row r="233" spans="2:7" x14ac:dyDescent="0.2">
      <c r="B233" s="21" t="s">
        <v>3528</v>
      </c>
      <c r="C233" s="105" t="s">
        <v>701</v>
      </c>
      <c r="D233" s="105" t="s">
        <v>702</v>
      </c>
      <c r="E233" s="89">
        <f t="shared" si="6"/>
        <v>1</v>
      </c>
      <c r="F233" s="21">
        <f>SUMIF('Staff data'!B:B,'M&amp;D data'!C233,'Staff data'!I:I)</f>
        <v>370</v>
      </c>
      <c r="G233" s="111">
        <f t="shared" si="7"/>
        <v>0.99619990923086066</v>
      </c>
    </row>
    <row r="234" spans="2:7" ht="13.5" thickBot="1" x14ac:dyDescent="0.25">
      <c r="B234" s="49" t="s">
        <v>3034</v>
      </c>
      <c r="C234" s="106" t="s">
        <v>703</v>
      </c>
      <c r="D234" s="106" t="s">
        <v>704</v>
      </c>
      <c r="E234" s="90">
        <f t="shared" si="6"/>
        <v>1</v>
      </c>
      <c r="F234" s="49">
        <f>SUMIF('Staff data'!B:B,'M&amp;D data'!C234,'Staff data'!I:I)</f>
        <v>677</v>
      </c>
      <c r="G234" s="112">
        <f t="shared" si="7"/>
        <v>0.99619990923086066</v>
      </c>
    </row>
    <row r="235" spans="2:7" ht="13.5" thickBot="1" x14ac:dyDescent="0.25">
      <c r="B235" s="375"/>
      <c r="C235" s="376"/>
      <c r="D235" s="376"/>
      <c r="E235" s="375"/>
      <c r="F235" s="375"/>
      <c r="G235" s="377"/>
    </row>
    <row r="236" spans="2:7" x14ac:dyDescent="0.2">
      <c r="B236" s="21"/>
      <c r="C236" s="104" t="s">
        <v>2281</v>
      </c>
      <c r="D236" s="105" t="s">
        <v>2282</v>
      </c>
      <c r="E236" s="378" t="s">
        <v>1176</v>
      </c>
      <c r="F236" s="21" t="s">
        <v>1176</v>
      </c>
      <c r="G236" s="111">
        <f>$J$9</f>
        <v>0.99619990923086066</v>
      </c>
    </row>
    <row r="237" spans="2:7" x14ac:dyDescent="0.2">
      <c r="B237" s="21"/>
      <c r="C237" s="104" t="s">
        <v>2291</v>
      </c>
      <c r="D237" s="105" t="s">
        <v>654</v>
      </c>
      <c r="E237" s="89" t="s">
        <v>1176</v>
      </c>
      <c r="F237" s="21" t="s">
        <v>1176</v>
      </c>
      <c r="G237" s="111">
        <f t="shared" ref="G237:G254" si="8">$J$9</f>
        <v>0.99619990923086066</v>
      </c>
    </row>
    <row r="238" spans="2:7" x14ac:dyDescent="0.2">
      <c r="B238" s="21"/>
      <c r="C238" s="105" t="s">
        <v>2306</v>
      </c>
      <c r="D238" s="105" t="s">
        <v>2307</v>
      </c>
      <c r="E238" s="89" t="s">
        <v>1176</v>
      </c>
      <c r="F238" s="21" t="s">
        <v>1176</v>
      </c>
      <c r="G238" s="111">
        <f t="shared" si="8"/>
        <v>0.99619990923086066</v>
      </c>
    </row>
    <row r="239" spans="2:7" x14ac:dyDescent="0.2">
      <c r="B239" s="21"/>
      <c r="C239" s="105" t="s">
        <v>2312</v>
      </c>
      <c r="D239" s="105" t="s">
        <v>2313</v>
      </c>
      <c r="E239" s="89" t="s">
        <v>1176</v>
      </c>
      <c r="F239" s="21" t="s">
        <v>1176</v>
      </c>
      <c r="G239" s="111">
        <f t="shared" si="8"/>
        <v>0.99619990923086066</v>
      </c>
    </row>
    <row r="240" spans="2:7" x14ac:dyDescent="0.2">
      <c r="B240" s="21"/>
      <c r="C240" s="105" t="s">
        <v>2331</v>
      </c>
      <c r="D240" s="105" t="s">
        <v>2332</v>
      </c>
      <c r="E240" s="89" t="s">
        <v>1176</v>
      </c>
      <c r="F240" s="21" t="s">
        <v>1176</v>
      </c>
      <c r="G240" s="111">
        <f t="shared" si="8"/>
        <v>0.99619990923086066</v>
      </c>
    </row>
    <row r="241" spans="2:7" x14ac:dyDescent="0.2">
      <c r="B241" s="21"/>
      <c r="C241" s="105" t="s">
        <v>1318</v>
      </c>
      <c r="D241" s="105" t="s">
        <v>1319</v>
      </c>
      <c r="E241" s="89" t="s">
        <v>1176</v>
      </c>
      <c r="F241" s="21" t="s">
        <v>1176</v>
      </c>
      <c r="G241" s="111">
        <f t="shared" si="8"/>
        <v>0.99619990923086066</v>
      </c>
    </row>
    <row r="242" spans="2:7" x14ac:dyDescent="0.2">
      <c r="B242" s="21"/>
      <c r="C242" s="105" t="s">
        <v>1326</v>
      </c>
      <c r="D242" s="105" t="s">
        <v>1327</v>
      </c>
      <c r="E242" s="89" t="s">
        <v>1176</v>
      </c>
      <c r="F242" s="21" t="s">
        <v>1176</v>
      </c>
      <c r="G242" s="111">
        <f t="shared" si="8"/>
        <v>0.99619990923086066</v>
      </c>
    </row>
    <row r="243" spans="2:7" x14ac:dyDescent="0.2">
      <c r="B243" s="21"/>
      <c r="C243" s="105" t="s">
        <v>3374</v>
      </c>
      <c r="D243" s="105" t="s">
        <v>3375</v>
      </c>
      <c r="E243" s="89" t="s">
        <v>1176</v>
      </c>
      <c r="F243" s="21" t="s">
        <v>1176</v>
      </c>
      <c r="G243" s="111">
        <f t="shared" si="8"/>
        <v>0.99619990923086066</v>
      </c>
    </row>
    <row r="244" spans="2:7" x14ac:dyDescent="0.2">
      <c r="B244" s="21"/>
      <c r="C244" s="105" t="s">
        <v>1340</v>
      </c>
      <c r="D244" s="105" t="s">
        <v>657</v>
      </c>
      <c r="E244" s="89" t="s">
        <v>1176</v>
      </c>
      <c r="F244" s="21" t="s">
        <v>1176</v>
      </c>
      <c r="G244" s="111">
        <f t="shared" si="8"/>
        <v>0.99619990923086066</v>
      </c>
    </row>
    <row r="245" spans="2:7" x14ac:dyDescent="0.2">
      <c r="B245" s="21"/>
      <c r="C245" s="105" t="s">
        <v>367</v>
      </c>
      <c r="D245" s="105" t="s">
        <v>368</v>
      </c>
      <c r="E245" s="89" t="s">
        <v>1176</v>
      </c>
      <c r="F245" s="21" t="s">
        <v>1176</v>
      </c>
      <c r="G245" s="111">
        <f t="shared" si="8"/>
        <v>0.99619990923086066</v>
      </c>
    </row>
    <row r="246" spans="2:7" x14ac:dyDescent="0.2">
      <c r="B246" s="21"/>
      <c r="C246" s="105" t="s">
        <v>371</v>
      </c>
      <c r="D246" s="105" t="s">
        <v>372</v>
      </c>
      <c r="E246" s="89" t="s">
        <v>1176</v>
      </c>
      <c r="F246" s="21" t="s">
        <v>1176</v>
      </c>
      <c r="G246" s="111">
        <f t="shared" si="8"/>
        <v>0.99619990923086066</v>
      </c>
    </row>
    <row r="247" spans="2:7" x14ac:dyDescent="0.2">
      <c r="B247" s="21"/>
      <c r="C247" s="105" t="s">
        <v>409</v>
      </c>
      <c r="D247" s="105" t="s">
        <v>410</v>
      </c>
      <c r="E247" s="89" t="s">
        <v>1176</v>
      </c>
      <c r="F247" s="21" t="s">
        <v>1176</v>
      </c>
      <c r="G247" s="111">
        <f t="shared" si="8"/>
        <v>0.99619990923086066</v>
      </c>
    </row>
    <row r="248" spans="2:7" x14ac:dyDescent="0.2">
      <c r="B248" s="21"/>
      <c r="C248" s="105" t="s">
        <v>2784</v>
      </c>
      <c r="D248" s="105" t="s">
        <v>650</v>
      </c>
      <c r="E248" s="89" t="s">
        <v>1176</v>
      </c>
      <c r="F248" s="21" t="s">
        <v>1176</v>
      </c>
      <c r="G248" s="111">
        <f t="shared" si="8"/>
        <v>0.99619990923086066</v>
      </c>
    </row>
    <row r="249" spans="2:7" x14ac:dyDescent="0.2">
      <c r="B249" s="21"/>
      <c r="C249" s="105" t="s">
        <v>2785</v>
      </c>
      <c r="D249" s="105" t="s">
        <v>2786</v>
      </c>
      <c r="E249" s="89" t="s">
        <v>1176</v>
      </c>
      <c r="F249" s="21" t="s">
        <v>1176</v>
      </c>
      <c r="G249" s="111">
        <f t="shared" si="8"/>
        <v>0.99619990923086066</v>
      </c>
    </row>
    <row r="250" spans="2:7" x14ac:dyDescent="0.2">
      <c r="B250" s="21"/>
      <c r="C250" s="105" t="s">
        <v>577</v>
      </c>
      <c r="D250" s="105" t="s">
        <v>651</v>
      </c>
      <c r="E250" s="89" t="s">
        <v>1176</v>
      </c>
      <c r="F250" s="21" t="s">
        <v>1176</v>
      </c>
      <c r="G250" s="111">
        <f t="shared" si="8"/>
        <v>0.99619990923086066</v>
      </c>
    </row>
    <row r="251" spans="2:7" x14ac:dyDescent="0.2">
      <c r="B251" s="21"/>
      <c r="C251" s="105" t="s">
        <v>691</v>
      </c>
      <c r="D251" s="105" t="s">
        <v>692</v>
      </c>
      <c r="E251" s="89" t="s">
        <v>1176</v>
      </c>
      <c r="F251" s="21" t="s">
        <v>1176</v>
      </c>
      <c r="G251" s="111">
        <f t="shared" si="8"/>
        <v>0.99619990923086066</v>
      </c>
    </row>
    <row r="252" spans="2:7" x14ac:dyDescent="0.2">
      <c r="B252" s="21"/>
      <c r="C252" s="105" t="s">
        <v>3513</v>
      </c>
      <c r="D252" s="105" t="s">
        <v>3515</v>
      </c>
      <c r="E252" s="89" t="s">
        <v>1176</v>
      </c>
      <c r="F252" s="21" t="s">
        <v>1176</v>
      </c>
      <c r="G252" s="111">
        <f t="shared" si="8"/>
        <v>0.99619990923086066</v>
      </c>
    </row>
    <row r="253" spans="2:7" x14ac:dyDescent="0.2">
      <c r="B253" s="21"/>
      <c r="C253" s="105" t="s">
        <v>3514</v>
      </c>
      <c r="D253" s="105" t="s">
        <v>1177</v>
      </c>
      <c r="E253" s="89" t="s">
        <v>1176</v>
      </c>
      <c r="F253" s="21" t="s">
        <v>1176</v>
      </c>
      <c r="G253" s="111">
        <f t="shared" si="8"/>
        <v>0.99619990923086066</v>
      </c>
    </row>
    <row r="254" spans="2:7" ht="13.5" thickBot="1" x14ac:dyDescent="0.25">
      <c r="B254" s="49"/>
      <c r="C254" s="106" t="s">
        <v>659</v>
      </c>
      <c r="D254" s="106" t="s">
        <v>660</v>
      </c>
      <c r="E254" s="90" t="s">
        <v>1176</v>
      </c>
      <c r="F254" s="49" t="s">
        <v>1176</v>
      </c>
      <c r="G254" s="112">
        <f t="shared" si="8"/>
        <v>0.99619990923086066</v>
      </c>
    </row>
    <row r="255" spans="2:7" ht="13.5" thickBot="1" x14ac:dyDescent="0.25">
      <c r="B255" s="375"/>
      <c r="C255" s="376"/>
      <c r="D255" s="376"/>
      <c r="E255" s="375"/>
      <c r="F255" s="375"/>
      <c r="G255" s="377"/>
    </row>
    <row r="256" spans="2:7" x14ac:dyDescent="0.2">
      <c r="B256" s="21"/>
      <c r="C256" s="104" t="s">
        <v>2357</v>
      </c>
      <c r="D256" s="105" t="s">
        <v>2358</v>
      </c>
      <c r="E256" s="89" t="s">
        <v>1176</v>
      </c>
      <c r="F256" s="21" t="s">
        <v>1176</v>
      </c>
      <c r="G256" s="111">
        <f t="shared" ref="G256:G266" si="9">$J$9</f>
        <v>0.99619990923086066</v>
      </c>
    </row>
    <row r="257" spans="2:7" x14ac:dyDescent="0.2">
      <c r="B257" s="21"/>
      <c r="C257" s="105" t="s">
        <v>2359</v>
      </c>
      <c r="D257" s="105" t="s">
        <v>2360</v>
      </c>
      <c r="E257" s="89" t="s">
        <v>1176</v>
      </c>
      <c r="F257" s="21" t="s">
        <v>1176</v>
      </c>
      <c r="G257" s="111">
        <f t="shared" si="9"/>
        <v>0.99619990923086066</v>
      </c>
    </row>
    <row r="258" spans="2:7" x14ac:dyDescent="0.2">
      <c r="B258" s="21"/>
      <c r="C258" s="105" t="s">
        <v>2375</v>
      </c>
      <c r="D258" s="105" t="s">
        <v>2376</v>
      </c>
      <c r="E258" s="89" t="s">
        <v>1176</v>
      </c>
      <c r="F258" s="21" t="s">
        <v>1176</v>
      </c>
      <c r="G258" s="111">
        <f t="shared" si="9"/>
        <v>0.99619990923086066</v>
      </c>
    </row>
    <row r="259" spans="2:7" x14ac:dyDescent="0.2">
      <c r="B259" s="21"/>
      <c r="C259" s="105" t="s">
        <v>377</v>
      </c>
      <c r="D259" s="105" t="s">
        <v>378</v>
      </c>
      <c r="E259" s="89" t="s">
        <v>1176</v>
      </c>
      <c r="F259" s="21" t="s">
        <v>1176</v>
      </c>
      <c r="G259" s="111">
        <f t="shared" si="9"/>
        <v>0.99619990923086066</v>
      </c>
    </row>
    <row r="260" spans="2:7" x14ac:dyDescent="0.2">
      <c r="B260" s="21"/>
      <c r="C260" s="105" t="s">
        <v>415</v>
      </c>
      <c r="D260" s="105" t="s">
        <v>653</v>
      </c>
      <c r="E260" s="89" t="s">
        <v>1176</v>
      </c>
      <c r="F260" s="21" t="s">
        <v>1176</v>
      </c>
      <c r="G260" s="111">
        <f t="shared" si="9"/>
        <v>0.99619990923086066</v>
      </c>
    </row>
    <row r="261" spans="2:7" x14ac:dyDescent="0.2">
      <c r="B261" s="21"/>
      <c r="C261" s="105" t="s">
        <v>3662</v>
      </c>
      <c r="D261" s="105" t="s">
        <v>3663</v>
      </c>
      <c r="E261" s="89" t="s">
        <v>1176</v>
      </c>
      <c r="F261" s="21" t="s">
        <v>1176</v>
      </c>
      <c r="G261" s="111">
        <f t="shared" si="9"/>
        <v>0.99619990923086066</v>
      </c>
    </row>
    <row r="262" spans="2:7" x14ac:dyDescent="0.2">
      <c r="B262" s="21"/>
      <c r="C262" s="105" t="s">
        <v>2789</v>
      </c>
      <c r="D262" s="105" t="s">
        <v>655</v>
      </c>
      <c r="E262" s="89" t="s">
        <v>1176</v>
      </c>
      <c r="F262" s="21" t="s">
        <v>1176</v>
      </c>
      <c r="G262" s="111">
        <f t="shared" si="9"/>
        <v>0.99619990923086066</v>
      </c>
    </row>
    <row r="263" spans="2:7" x14ac:dyDescent="0.2">
      <c r="B263" s="21"/>
      <c r="C263" s="105" t="s">
        <v>547</v>
      </c>
      <c r="D263" s="105" t="s">
        <v>656</v>
      </c>
      <c r="E263" s="89" t="s">
        <v>1176</v>
      </c>
      <c r="F263" s="21" t="s">
        <v>1176</v>
      </c>
      <c r="G263" s="111">
        <f t="shared" si="9"/>
        <v>0.99619990923086066</v>
      </c>
    </row>
    <row r="264" spans="2:7" x14ac:dyDescent="0.2">
      <c r="B264" s="21"/>
      <c r="C264" s="105" t="s">
        <v>566</v>
      </c>
      <c r="D264" s="105" t="s">
        <v>649</v>
      </c>
      <c r="E264" s="89" t="s">
        <v>1176</v>
      </c>
      <c r="F264" s="21" t="s">
        <v>1176</v>
      </c>
      <c r="G264" s="111">
        <f t="shared" si="9"/>
        <v>0.99619990923086066</v>
      </c>
    </row>
    <row r="265" spans="2:7" x14ac:dyDescent="0.2">
      <c r="B265" s="21"/>
      <c r="C265" s="105" t="s">
        <v>682</v>
      </c>
      <c r="D265" s="105" t="s">
        <v>648</v>
      </c>
      <c r="E265" s="89" t="s">
        <v>1176</v>
      </c>
      <c r="F265" s="21" t="s">
        <v>1176</v>
      </c>
      <c r="G265" s="111">
        <f t="shared" si="9"/>
        <v>0.99619990923086066</v>
      </c>
    </row>
    <row r="266" spans="2:7" ht="13.5" thickBot="1" x14ac:dyDescent="0.25">
      <c r="B266" s="49"/>
      <c r="C266" s="106" t="s">
        <v>705</v>
      </c>
      <c r="D266" s="106" t="s">
        <v>706</v>
      </c>
      <c r="E266" s="90" t="s">
        <v>1176</v>
      </c>
      <c r="F266" s="49" t="s">
        <v>1176</v>
      </c>
      <c r="G266" s="112">
        <f t="shared" si="9"/>
        <v>0.99619990923086066</v>
      </c>
    </row>
    <row r="267" spans="2:7" ht="13.5" thickBot="1" x14ac:dyDescent="0.25"/>
    <row r="268" spans="2:7" ht="13.5" thickBot="1" x14ac:dyDescent="0.25">
      <c r="C268" s="68"/>
      <c r="D268" s="107" t="s">
        <v>2732</v>
      </c>
      <c r="E268" s="108">
        <f>SUMPRODUCT(E13:E266,F13:F266)/SUM(F13:F266)</f>
        <v>1.0038145865442543</v>
      </c>
      <c r="F268" s="19">
        <v>1.0038145865442543</v>
      </c>
      <c r="G268" s="103">
        <f>E268-F268</f>
        <v>0</v>
      </c>
    </row>
  </sheetData>
  <autoFilter ref="B12:G234"/>
  <mergeCells count="1">
    <mergeCell ref="I8:J8"/>
  </mergeCells>
  <phoneticPr fontId="7" type="noConversion"/>
  <pageMargins left="0.75" right="0.75" top="1" bottom="1" header="0.5" footer="0.5"/>
  <headerFooter alignWithMargins="0"/>
  <legacy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autoPageBreaks="0"/>
  </sheetPr>
  <dimension ref="A1:L793"/>
  <sheetViews>
    <sheetView workbookViewId="0"/>
  </sheetViews>
  <sheetFormatPr defaultRowHeight="12.75" x14ac:dyDescent="0.2"/>
  <cols>
    <col min="1" max="1" width="10" style="19" customWidth="1"/>
    <col min="2" max="2" width="11.42578125" style="19" customWidth="1"/>
    <col min="3" max="3" width="12.28515625" style="19" customWidth="1"/>
    <col min="4" max="4" width="9.85546875" style="19" customWidth="1"/>
    <col min="5" max="5" width="10.140625" style="19" customWidth="1"/>
    <col min="6" max="6" width="9.7109375" style="19" customWidth="1"/>
    <col min="7" max="7" width="10" style="19" customWidth="1"/>
    <col min="8" max="8" width="11.42578125" style="19" customWidth="1"/>
    <col min="9" max="9" width="10.42578125" style="19" customWidth="1"/>
    <col min="10" max="10" width="13.140625" style="19" customWidth="1"/>
    <col min="11" max="11" width="14.42578125" style="96" customWidth="1"/>
    <col min="12" max="12" width="19.28515625" style="96" customWidth="1"/>
    <col min="13" max="255" width="11.42578125" style="19" customWidth="1"/>
    <col min="256" max="16384" width="9.140625" style="19"/>
  </cols>
  <sheetData>
    <row r="1" spans="1:12" s="97" customFormat="1" ht="27.75" customHeight="1" thickBot="1" x14ac:dyDescent="0.25">
      <c r="A1" s="85" t="s">
        <v>2754</v>
      </c>
      <c r="B1" s="85" t="s">
        <v>3573</v>
      </c>
      <c r="C1" s="85" t="s">
        <v>2755</v>
      </c>
      <c r="D1" s="85" t="s">
        <v>2756</v>
      </c>
      <c r="E1" s="85" t="s">
        <v>2757</v>
      </c>
      <c r="F1" s="85" t="s">
        <v>2758</v>
      </c>
      <c r="G1" s="85" t="s">
        <v>2759</v>
      </c>
      <c r="H1" s="85" t="s">
        <v>2760</v>
      </c>
      <c r="I1" s="85" t="s">
        <v>2761</v>
      </c>
      <c r="J1" s="85" t="s">
        <v>2762</v>
      </c>
      <c r="K1" s="85" t="s">
        <v>527</v>
      </c>
      <c r="L1" s="85" t="s">
        <v>2768</v>
      </c>
    </row>
    <row r="2" spans="1:12" x14ac:dyDescent="0.2">
      <c r="A2" s="39" t="s">
        <v>3528</v>
      </c>
      <c r="B2" s="39" t="s">
        <v>3561</v>
      </c>
      <c r="C2" s="39" t="s">
        <v>3846</v>
      </c>
      <c r="D2" s="39" t="s">
        <v>3847</v>
      </c>
      <c r="E2" s="39" t="s">
        <v>3848</v>
      </c>
      <c r="F2" s="39" t="s">
        <v>2074</v>
      </c>
      <c r="G2" s="39" t="s">
        <v>2075</v>
      </c>
      <c r="H2" s="39" t="s">
        <v>3561</v>
      </c>
      <c r="I2" s="39">
        <v>20</v>
      </c>
      <c r="J2" s="88">
        <f>I2/SUMIF(B:B,B2,I:I)</f>
        <v>0.37037037037037035</v>
      </c>
      <c r="K2" s="93">
        <f>VLOOKUP(H2,'PCT data'!B:K,10,FALSE)</f>
        <v>0.97520705353611448</v>
      </c>
      <c r="L2" s="93">
        <f>K2*J2</f>
        <v>0.36118779760596831</v>
      </c>
    </row>
    <row r="3" spans="1:12" x14ac:dyDescent="0.2">
      <c r="A3" s="21" t="s">
        <v>3528</v>
      </c>
      <c r="B3" s="21" t="s">
        <v>3561</v>
      </c>
      <c r="C3" s="21" t="s">
        <v>3846</v>
      </c>
      <c r="D3" s="21" t="s">
        <v>3849</v>
      </c>
      <c r="E3" s="21" t="s">
        <v>3850</v>
      </c>
      <c r="F3" s="21" t="s">
        <v>2076</v>
      </c>
      <c r="G3" s="21" t="s">
        <v>2077</v>
      </c>
      <c r="H3" s="21" t="s">
        <v>3561</v>
      </c>
      <c r="I3" s="21">
        <v>34</v>
      </c>
      <c r="J3" s="89">
        <f t="shared" ref="J3:J66" si="0">I3/SUMIF(B:B,B3,I:I)</f>
        <v>0.62962962962962965</v>
      </c>
      <c r="K3" s="94">
        <f>VLOOKUP(H3,'PCT data'!B:K,10,FALSE)</f>
        <v>0.97520705353611448</v>
      </c>
      <c r="L3" s="94">
        <f t="shared" ref="L3:L66" si="1">K3*J3</f>
        <v>0.61401925593014617</v>
      </c>
    </row>
    <row r="4" spans="1:12" x14ac:dyDescent="0.2">
      <c r="A4" s="21" t="s">
        <v>3496</v>
      </c>
      <c r="B4" s="21" t="s">
        <v>3728</v>
      </c>
      <c r="C4" s="21" t="s">
        <v>3851</v>
      </c>
      <c r="D4" s="21" t="s">
        <v>3852</v>
      </c>
      <c r="E4" s="21" t="s">
        <v>3851</v>
      </c>
      <c r="F4" s="21" t="s">
        <v>2078</v>
      </c>
      <c r="G4" s="21" t="s">
        <v>2079</v>
      </c>
      <c r="H4" s="21" t="s">
        <v>3498</v>
      </c>
      <c r="I4" s="21">
        <v>512</v>
      </c>
      <c r="J4" s="89">
        <f t="shared" si="0"/>
        <v>1</v>
      </c>
      <c r="K4" s="94">
        <f>VLOOKUP(H4,'PCT data'!B:K,10,FALSE)</f>
        <v>1.1045712545153963</v>
      </c>
      <c r="L4" s="94">
        <f t="shared" si="1"/>
        <v>1.1045712545153963</v>
      </c>
    </row>
    <row r="5" spans="1:12" x14ac:dyDescent="0.2">
      <c r="A5" s="21" t="s">
        <v>3528</v>
      </c>
      <c r="B5" s="21" t="s">
        <v>687</v>
      </c>
      <c r="C5" s="21" t="s">
        <v>688</v>
      </c>
      <c r="D5" s="21" t="s">
        <v>3853</v>
      </c>
      <c r="E5" s="21" t="s">
        <v>3854</v>
      </c>
      <c r="F5" s="21" t="s">
        <v>2080</v>
      </c>
      <c r="G5" s="21" t="s">
        <v>2081</v>
      </c>
      <c r="H5" s="21" t="s">
        <v>3567</v>
      </c>
      <c r="I5" s="21">
        <v>325</v>
      </c>
      <c r="J5" s="89">
        <f t="shared" si="0"/>
        <v>1</v>
      </c>
      <c r="K5" s="94">
        <f>VLOOKUP(H5,'PCT data'!B:K,10,FALSE)</f>
        <v>0.99510923830215869</v>
      </c>
      <c r="L5" s="94">
        <f t="shared" si="1"/>
        <v>0.99510923830215869</v>
      </c>
    </row>
    <row r="6" spans="1:12" x14ac:dyDescent="0.2">
      <c r="A6" s="21" t="s">
        <v>3528</v>
      </c>
      <c r="B6" s="21" t="s">
        <v>701</v>
      </c>
      <c r="C6" s="21" t="s">
        <v>702</v>
      </c>
      <c r="D6" s="21" t="s">
        <v>3855</v>
      </c>
      <c r="E6" s="21" t="s">
        <v>3856</v>
      </c>
      <c r="F6" s="21" t="s">
        <v>2082</v>
      </c>
      <c r="G6" s="21" t="s">
        <v>2083</v>
      </c>
      <c r="H6" s="21" t="s">
        <v>3559</v>
      </c>
      <c r="I6" s="21">
        <v>370</v>
      </c>
      <c r="J6" s="89">
        <f t="shared" si="0"/>
        <v>1</v>
      </c>
      <c r="K6" s="94">
        <f>VLOOKUP(H6,'PCT data'!B:K,10,FALSE)</f>
        <v>0.96525596115309287</v>
      </c>
      <c r="L6" s="94">
        <f t="shared" si="1"/>
        <v>0.96525596115309287</v>
      </c>
    </row>
    <row r="7" spans="1:12" x14ac:dyDescent="0.2">
      <c r="A7" s="21" t="s">
        <v>3528</v>
      </c>
      <c r="B7" s="21" t="s">
        <v>664</v>
      </c>
      <c r="C7" s="21" t="s">
        <v>665</v>
      </c>
      <c r="D7" s="21" t="s">
        <v>3857</v>
      </c>
      <c r="E7" s="21" t="s">
        <v>3858</v>
      </c>
      <c r="F7" s="21" t="s">
        <v>2084</v>
      </c>
      <c r="G7" s="21" t="s">
        <v>2085</v>
      </c>
      <c r="H7" s="21" t="s">
        <v>3565</v>
      </c>
      <c r="I7" s="21">
        <v>11</v>
      </c>
      <c r="J7" s="89">
        <f t="shared" si="0"/>
        <v>1.1591148577449948E-2</v>
      </c>
      <c r="K7" s="94">
        <f>VLOOKUP(H7,'PCT data'!B:K,10,FALSE)</f>
        <v>1.0050603306851802</v>
      </c>
      <c r="L7" s="94">
        <f t="shared" si="1"/>
        <v>1.16498036222729E-2</v>
      </c>
    </row>
    <row r="8" spans="1:12" x14ac:dyDescent="0.2">
      <c r="A8" s="21" t="s">
        <v>3528</v>
      </c>
      <c r="B8" s="21" t="s">
        <v>664</v>
      </c>
      <c r="C8" s="21" t="s">
        <v>665</v>
      </c>
      <c r="D8" s="21" t="s">
        <v>3859</v>
      </c>
      <c r="E8" s="21" t="s">
        <v>3860</v>
      </c>
      <c r="F8" s="21" t="s">
        <v>2086</v>
      </c>
      <c r="G8" s="21" t="s">
        <v>2087</v>
      </c>
      <c r="H8" s="21" t="s">
        <v>3565</v>
      </c>
      <c r="I8" s="21">
        <v>57</v>
      </c>
      <c r="J8" s="89">
        <f t="shared" si="0"/>
        <v>6.0063224446786093E-2</v>
      </c>
      <c r="K8" s="94">
        <f>VLOOKUP(H8,'PCT data'!B:K,10,FALSE)</f>
        <v>1.0050603306851802</v>
      </c>
      <c r="L8" s="94">
        <f t="shared" si="1"/>
        <v>6.0367164224505027E-2</v>
      </c>
    </row>
    <row r="9" spans="1:12" x14ac:dyDescent="0.2">
      <c r="A9" s="21" t="s">
        <v>3528</v>
      </c>
      <c r="B9" s="21" t="s">
        <v>664</v>
      </c>
      <c r="C9" s="21" t="s">
        <v>665</v>
      </c>
      <c r="D9" s="21" t="s">
        <v>3861</v>
      </c>
      <c r="E9" s="21" t="s">
        <v>3862</v>
      </c>
      <c r="F9" s="21" t="s">
        <v>2088</v>
      </c>
      <c r="G9" s="21" t="s">
        <v>2089</v>
      </c>
      <c r="H9" s="21" t="s">
        <v>3565</v>
      </c>
      <c r="I9" s="21">
        <v>79</v>
      </c>
      <c r="J9" s="89">
        <f t="shared" si="0"/>
        <v>8.3245521601685982E-2</v>
      </c>
      <c r="K9" s="94">
        <f>VLOOKUP(H9,'PCT data'!B:K,10,FALSE)</f>
        <v>1.0050603306851802</v>
      </c>
      <c r="L9" s="94">
        <f t="shared" si="1"/>
        <v>8.3666771469050827E-2</v>
      </c>
    </row>
    <row r="10" spans="1:12" x14ac:dyDescent="0.2">
      <c r="A10" s="21" t="s">
        <v>3528</v>
      </c>
      <c r="B10" s="21" t="s">
        <v>664</v>
      </c>
      <c r="C10" s="21" t="s">
        <v>665</v>
      </c>
      <c r="D10" s="21" t="s">
        <v>3863</v>
      </c>
      <c r="E10" s="21" t="s">
        <v>3864</v>
      </c>
      <c r="F10" s="21" t="s">
        <v>2090</v>
      </c>
      <c r="G10" s="21" t="s">
        <v>2087</v>
      </c>
      <c r="H10" s="21" t="s">
        <v>3565</v>
      </c>
      <c r="I10" s="21">
        <v>139</v>
      </c>
      <c r="J10" s="89">
        <f t="shared" si="0"/>
        <v>0.14646996838777659</v>
      </c>
      <c r="K10" s="94">
        <f>VLOOKUP(H10,'PCT data'!B:K,10,FALSE)</f>
        <v>1.0050603306851802</v>
      </c>
      <c r="L10" s="94">
        <f t="shared" si="1"/>
        <v>0.14721115486326664</v>
      </c>
    </row>
    <row r="11" spans="1:12" x14ac:dyDescent="0.2">
      <c r="A11" s="21" t="s">
        <v>3528</v>
      </c>
      <c r="B11" s="21" t="s">
        <v>664</v>
      </c>
      <c r="C11" s="21" t="s">
        <v>665</v>
      </c>
      <c r="D11" s="21" t="s">
        <v>3865</v>
      </c>
      <c r="E11" s="21" t="s">
        <v>3866</v>
      </c>
      <c r="F11" s="21" t="s">
        <v>2091</v>
      </c>
      <c r="G11" s="21" t="s">
        <v>2087</v>
      </c>
      <c r="H11" s="21" t="s">
        <v>3565</v>
      </c>
      <c r="I11" s="21">
        <v>140</v>
      </c>
      <c r="J11" s="89">
        <f t="shared" si="0"/>
        <v>0.14752370916754479</v>
      </c>
      <c r="K11" s="94">
        <f>VLOOKUP(H11,'PCT data'!B:K,10,FALSE)</f>
        <v>1.0050603306851802</v>
      </c>
      <c r="L11" s="94">
        <f t="shared" si="1"/>
        <v>0.14827022791983691</v>
      </c>
    </row>
    <row r="12" spans="1:12" x14ac:dyDescent="0.2">
      <c r="A12" s="21" t="s">
        <v>3528</v>
      </c>
      <c r="B12" s="21" t="s">
        <v>664</v>
      </c>
      <c r="C12" s="21" t="s">
        <v>665</v>
      </c>
      <c r="D12" s="21" t="s">
        <v>3867</v>
      </c>
      <c r="E12" s="21" t="s">
        <v>3868</v>
      </c>
      <c r="F12" s="21" t="s">
        <v>2092</v>
      </c>
      <c r="G12" s="21" t="s">
        <v>2087</v>
      </c>
      <c r="H12" s="21" t="s">
        <v>3565</v>
      </c>
      <c r="I12" s="21">
        <v>523</v>
      </c>
      <c r="J12" s="89">
        <f t="shared" si="0"/>
        <v>0.55110642781875663</v>
      </c>
      <c r="K12" s="94">
        <f>VLOOKUP(H12,'PCT data'!B:K,10,FALSE)</f>
        <v>1.0050603306851802</v>
      </c>
      <c r="L12" s="94">
        <f t="shared" si="1"/>
        <v>0.55389520858624797</v>
      </c>
    </row>
    <row r="13" spans="1:12" x14ac:dyDescent="0.2">
      <c r="A13" s="21" t="s">
        <v>3528</v>
      </c>
      <c r="B13" s="21" t="s">
        <v>2790</v>
      </c>
      <c r="C13" s="21" t="s">
        <v>1776</v>
      </c>
      <c r="D13" s="21" t="s">
        <v>1777</v>
      </c>
      <c r="E13" s="21" t="s">
        <v>1778</v>
      </c>
      <c r="F13" s="21" t="s">
        <v>2093</v>
      </c>
      <c r="G13" s="21" t="s">
        <v>2094</v>
      </c>
      <c r="H13" s="21" t="s">
        <v>3561</v>
      </c>
      <c r="I13" s="21">
        <v>455</v>
      </c>
      <c r="J13" s="89">
        <f t="shared" si="0"/>
        <v>1</v>
      </c>
      <c r="K13" s="94">
        <f>VLOOKUP(H13,'PCT data'!B:K,10,FALSE)</f>
        <v>0.97520705353611448</v>
      </c>
      <c r="L13" s="94">
        <f t="shared" si="1"/>
        <v>0.97520705353611448</v>
      </c>
    </row>
    <row r="14" spans="1:12" x14ac:dyDescent="0.2">
      <c r="A14" s="21" t="s">
        <v>3034</v>
      </c>
      <c r="B14" s="21" t="s">
        <v>2289</v>
      </c>
      <c r="C14" s="21" t="s">
        <v>2290</v>
      </c>
      <c r="D14" s="21" t="s">
        <v>1779</v>
      </c>
      <c r="E14" s="21" t="s">
        <v>1780</v>
      </c>
      <c r="F14" s="21" t="s">
        <v>2095</v>
      </c>
      <c r="G14" s="21" t="s">
        <v>2096</v>
      </c>
      <c r="H14" s="21" t="s">
        <v>3036</v>
      </c>
      <c r="I14" s="21">
        <v>92</v>
      </c>
      <c r="J14" s="89">
        <f t="shared" si="0"/>
        <v>0.10267857142857142</v>
      </c>
      <c r="K14" s="94">
        <f>VLOOKUP(H14,'PCT data'!B:K,10,FALSE)</f>
        <v>0.91550049923798604</v>
      </c>
      <c r="L14" s="94">
        <f t="shared" si="1"/>
        <v>9.400228340390035E-2</v>
      </c>
    </row>
    <row r="15" spans="1:12" x14ac:dyDescent="0.2">
      <c r="A15" s="21" t="s">
        <v>3034</v>
      </c>
      <c r="B15" s="21" t="s">
        <v>2289</v>
      </c>
      <c r="C15" s="21" t="s">
        <v>2290</v>
      </c>
      <c r="D15" s="21" t="s">
        <v>1781</v>
      </c>
      <c r="E15" s="21" t="s">
        <v>1782</v>
      </c>
      <c r="F15" s="21" t="s">
        <v>2097</v>
      </c>
      <c r="G15" s="21" t="s">
        <v>2098</v>
      </c>
      <c r="H15" s="21" t="s">
        <v>3036</v>
      </c>
      <c r="I15" s="21">
        <v>804</v>
      </c>
      <c r="J15" s="89">
        <f t="shared" si="0"/>
        <v>0.8973214285714286</v>
      </c>
      <c r="K15" s="94">
        <f>VLOOKUP(H15,'PCT data'!B:K,10,FALSE)</f>
        <v>0.91550049923798604</v>
      </c>
      <c r="L15" s="94">
        <f t="shared" si="1"/>
        <v>0.82149821583408567</v>
      </c>
    </row>
    <row r="16" spans="1:12" x14ac:dyDescent="0.2">
      <c r="A16" s="21" t="s">
        <v>1127</v>
      </c>
      <c r="B16" s="21" t="s">
        <v>569</v>
      </c>
      <c r="C16" s="21" t="s">
        <v>570</v>
      </c>
      <c r="D16" s="21" t="s">
        <v>1783</v>
      </c>
      <c r="E16" s="21" t="s">
        <v>1784</v>
      </c>
      <c r="F16" s="21" t="s">
        <v>2099</v>
      </c>
      <c r="G16" s="21" t="s">
        <v>2100</v>
      </c>
      <c r="H16" s="21" t="s">
        <v>1164</v>
      </c>
      <c r="I16" s="21">
        <v>766</v>
      </c>
      <c r="J16" s="89">
        <f t="shared" si="0"/>
        <v>1</v>
      </c>
      <c r="K16" s="94">
        <f>VLOOKUP(H16,'PCT data'!B:K,10,FALSE)</f>
        <v>1.0846690697493531</v>
      </c>
      <c r="L16" s="94">
        <f t="shared" si="1"/>
        <v>1.0846690697493531</v>
      </c>
    </row>
    <row r="17" spans="1:12" x14ac:dyDescent="0.2">
      <c r="A17" s="21" t="s">
        <v>1167</v>
      </c>
      <c r="B17" s="21" t="s">
        <v>3720</v>
      </c>
      <c r="C17" s="21" t="s">
        <v>3721</v>
      </c>
      <c r="D17" s="21" t="s">
        <v>1785</v>
      </c>
      <c r="E17" s="21" t="s">
        <v>1786</v>
      </c>
      <c r="F17" s="21" t="s">
        <v>2101</v>
      </c>
      <c r="G17" s="21" t="s">
        <v>2102</v>
      </c>
      <c r="H17" s="21" t="s">
        <v>3436</v>
      </c>
      <c r="I17" s="21">
        <v>50</v>
      </c>
      <c r="J17" s="89">
        <f t="shared" si="0"/>
        <v>6.7750677506775062E-2</v>
      </c>
      <c r="K17" s="94">
        <f>VLOOKUP(H17,'PCT data'!B:K,10,FALSE)</f>
        <v>1.2637887326437416</v>
      </c>
      <c r="L17" s="94">
        <f t="shared" si="1"/>
        <v>8.56225428620421E-2</v>
      </c>
    </row>
    <row r="18" spans="1:12" x14ac:dyDescent="0.2">
      <c r="A18" s="21" t="s">
        <v>1167</v>
      </c>
      <c r="B18" s="21" t="s">
        <v>3720</v>
      </c>
      <c r="C18" s="21" t="s">
        <v>3721</v>
      </c>
      <c r="D18" s="21" t="s">
        <v>1787</v>
      </c>
      <c r="E18" s="21" t="s">
        <v>1788</v>
      </c>
      <c r="F18" s="21" t="s">
        <v>2103</v>
      </c>
      <c r="G18" s="21" t="s">
        <v>2104</v>
      </c>
      <c r="H18" s="21" t="s">
        <v>3436</v>
      </c>
      <c r="I18" s="21">
        <v>688</v>
      </c>
      <c r="J18" s="89">
        <f t="shared" si="0"/>
        <v>0.9322493224932249</v>
      </c>
      <c r="K18" s="94">
        <f>VLOOKUP(H18,'PCT data'!B:K,10,FALSE)</f>
        <v>1.2637887326437416</v>
      </c>
      <c r="L18" s="94">
        <f t="shared" si="1"/>
        <v>1.1781661897816995</v>
      </c>
    </row>
    <row r="19" spans="1:12" x14ac:dyDescent="0.2">
      <c r="A19" s="21" t="s">
        <v>1167</v>
      </c>
      <c r="B19" s="21" t="s">
        <v>3726</v>
      </c>
      <c r="C19" s="21" t="s">
        <v>3727</v>
      </c>
      <c r="D19" s="21" t="s">
        <v>1789</v>
      </c>
      <c r="E19" s="21" t="s">
        <v>1790</v>
      </c>
      <c r="F19" s="21" t="s">
        <v>2105</v>
      </c>
      <c r="G19" s="21" t="s">
        <v>2106</v>
      </c>
      <c r="H19" s="21" t="s">
        <v>3393</v>
      </c>
      <c r="I19" s="21">
        <v>167</v>
      </c>
      <c r="J19" s="89">
        <f t="shared" si="0"/>
        <v>1</v>
      </c>
      <c r="K19" s="94">
        <f>VLOOKUP(H19,'PCT data'!B:K,10,FALSE)</f>
        <v>1.1045712545153963</v>
      </c>
      <c r="L19" s="94">
        <f t="shared" si="1"/>
        <v>1.1045712545153963</v>
      </c>
    </row>
    <row r="20" spans="1:12" x14ac:dyDescent="0.2">
      <c r="A20" s="21" t="s">
        <v>1167</v>
      </c>
      <c r="B20" s="21" t="s">
        <v>3656</v>
      </c>
      <c r="C20" s="21" t="s">
        <v>3657</v>
      </c>
      <c r="D20" s="21" t="s">
        <v>1791</v>
      </c>
      <c r="E20" s="21" t="s">
        <v>1792</v>
      </c>
      <c r="F20" s="21" t="s">
        <v>2107</v>
      </c>
      <c r="G20" s="21" t="s">
        <v>2108</v>
      </c>
      <c r="H20" s="21" t="s">
        <v>3466</v>
      </c>
      <c r="I20" s="21">
        <v>368</v>
      </c>
      <c r="J20" s="89">
        <f t="shared" si="0"/>
        <v>1</v>
      </c>
      <c r="K20" s="94">
        <f>VLOOKUP(H20,'PCT data'!B:K,10,FALSE)</f>
        <v>1.1045712545153963</v>
      </c>
      <c r="L20" s="94">
        <f t="shared" si="1"/>
        <v>1.1045712545153963</v>
      </c>
    </row>
    <row r="21" spans="1:12" x14ac:dyDescent="0.2">
      <c r="A21" s="21" t="s">
        <v>1167</v>
      </c>
      <c r="B21" s="21" t="s">
        <v>598</v>
      </c>
      <c r="C21" s="21" t="s">
        <v>599</v>
      </c>
      <c r="D21" s="21" t="s">
        <v>1793</v>
      </c>
      <c r="E21" s="21" t="s">
        <v>1794</v>
      </c>
      <c r="F21" s="21" t="s">
        <v>2109</v>
      </c>
      <c r="G21" s="21" t="s">
        <v>2110</v>
      </c>
      <c r="H21" s="21" t="s">
        <v>3480</v>
      </c>
      <c r="I21" s="21">
        <v>51</v>
      </c>
      <c r="J21" s="89">
        <f t="shared" si="0"/>
        <v>0.1108695652173913</v>
      </c>
      <c r="K21" s="94">
        <f>VLOOKUP(H21,'PCT data'!B:K,10,FALSE)</f>
        <v>1.1045712545153963</v>
      </c>
      <c r="L21" s="94">
        <f t="shared" si="1"/>
        <v>0.12246333473975046</v>
      </c>
    </row>
    <row r="22" spans="1:12" x14ac:dyDescent="0.2">
      <c r="A22" s="21" t="s">
        <v>1167</v>
      </c>
      <c r="B22" s="21" t="s">
        <v>598</v>
      </c>
      <c r="C22" s="21" t="s">
        <v>599</v>
      </c>
      <c r="D22" s="21" t="s">
        <v>1795</v>
      </c>
      <c r="E22" s="21" t="s">
        <v>1796</v>
      </c>
      <c r="F22" s="21" t="s">
        <v>2111</v>
      </c>
      <c r="G22" s="21" t="s">
        <v>2112</v>
      </c>
      <c r="H22" s="21" t="s">
        <v>3480</v>
      </c>
      <c r="I22" s="21">
        <v>409</v>
      </c>
      <c r="J22" s="89">
        <f t="shared" si="0"/>
        <v>0.88913043478260867</v>
      </c>
      <c r="K22" s="94">
        <f>VLOOKUP(H22,'PCT data'!B:K,10,FALSE)</f>
        <v>1.1045712545153963</v>
      </c>
      <c r="L22" s="94">
        <f t="shared" si="1"/>
        <v>0.98210791977564582</v>
      </c>
    </row>
    <row r="23" spans="1:12" x14ac:dyDescent="0.2">
      <c r="A23" s="21" t="s">
        <v>1167</v>
      </c>
      <c r="B23" s="21" t="s">
        <v>355</v>
      </c>
      <c r="C23" s="21" t="s">
        <v>356</v>
      </c>
      <c r="D23" s="21" t="s">
        <v>1797</v>
      </c>
      <c r="E23" s="21" t="s">
        <v>1798</v>
      </c>
      <c r="F23" s="21" t="s">
        <v>2113</v>
      </c>
      <c r="G23" s="21" t="s">
        <v>2114</v>
      </c>
      <c r="H23" s="21" t="s">
        <v>3455</v>
      </c>
      <c r="I23" s="21">
        <v>524</v>
      </c>
      <c r="J23" s="89">
        <f t="shared" si="0"/>
        <v>1</v>
      </c>
      <c r="K23" s="94">
        <f>VLOOKUP(H23,'PCT data'!B:K,10,FALSE)</f>
        <v>1.1742289011965372</v>
      </c>
      <c r="L23" s="94">
        <f t="shared" si="1"/>
        <v>1.1742289011965372</v>
      </c>
    </row>
    <row r="24" spans="1:12" x14ac:dyDescent="0.2">
      <c r="A24" s="21" t="s">
        <v>3528</v>
      </c>
      <c r="B24" s="21" t="s">
        <v>588</v>
      </c>
      <c r="C24" s="21" t="s">
        <v>589</v>
      </c>
      <c r="D24" s="21" t="s">
        <v>1799</v>
      </c>
      <c r="E24" s="21" t="s">
        <v>1800</v>
      </c>
      <c r="F24" s="21" t="s">
        <v>2115</v>
      </c>
      <c r="G24" s="21" t="s">
        <v>1059</v>
      </c>
      <c r="H24" s="21" t="s">
        <v>3559</v>
      </c>
      <c r="I24" s="21">
        <v>620</v>
      </c>
      <c r="J24" s="89">
        <f t="shared" si="0"/>
        <v>1</v>
      </c>
      <c r="K24" s="94">
        <f>VLOOKUP(H24,'PCT data'!B:K,10,FALSE)</f>
        <v>0.96525596115309287</v>
      </c>
      <c r="L24" s="94">
        <f t="shared" si="1"/>
        <v>0.96525596115309287</v>
      </c>
    </row>
    <row r="25" spans="1:12" x14ac:dyDescent="0.2">
      <c r="A25" s="21" t="s">
        <v>3528</v>
      </c>
      <c r="B25" s="21" t="s">
        <v>3724</v>
      </c>
      <c r="C25" s="21" t="s">
        <v>3725</v>
      </c>
      <c r="D25" s="21" t="s">
        <v>1801</v>
      </c>
      <c r="E25" s="21" t="s">
        <v>1802</v>
      </c>
      <c r="F25" s="21" t="s">
        <v>1060</v>
      </c>
      <c r="G25" s="21" t="s">
        <v>1061</v>
      </c>
      <c r="H25" s="21" t="s">
        <v>3555</v>
      </c>
      <c r="I25" s="21">
        <v>63</v>
      </c>
      <c r="J25" s="89">
        <f t="shared" si="0"/>
        <v>1</v>
      </c>
      <c r="K25" s="94">
        <f>VLOOKUP(H25,'PCT data'!B:K,10,FALSE)</f>
        <v>1.0150114230682019</v>
      </c>
      <c r="L25" s="94">
        <f t="shared" si="1"/>
        <v>1.0150114230682019</v>
      </c>
    </row>
    <row r="26" spans="1:12" x14ac:dyDescent="0.2">
      <c r="A26" s="21" t="s">
        <v>3528</v>
      </c>
      <c r="B26" s="21" t="s">
        <v>2339</v>
      </c>
      <c r="C26" s="21" t="s">
        <v>2340</v>
      </c>
      <c r="D26" s="21" t="s">
        <v>1803</v>
      </c>
      <c r="E26" s="21" t="s">
        <v>1804</v>
      </c>
      <c r="F26" s="21" t="s">
        <v>1062</v>
      </c>
      <c r="G26" s="21" t="s">
        <v>1063</v>
      </c>
      <c r="H26" s="21" t="s">
        <v>3538</v>
      </c>
      <c r="I26" s="21">
        <v>400</v>
      </c>
      <c r="J26" s="89">
        <f t="shared" si="0"/>
        <v>1</v>
      </c>
      <c r="K26" s="94">
        <f>VLOOKUP(H26,'PCT data'!B:K,10,FALSE)</f>
        <v>0.97520705353611448</v>
      </c>
      <c r="L26" s="94">
        <f t="shared" si="1"/>
        <v>0.97520705353611448</v>
      </c>
    </row>
    <row r="27" spans="1:12" x14ac:dyDescent="0.2">
      <c r="A27" s="21" t="s">
        <v>191</v>
      </c>
      <c r="B27" s="21" t="s">
        <v>3682</v>
      </c>
      <c r="C27" s="21" t="s">
        <v>1805</v>
      </c>
      <c r="D27" s="21" t="s">
        <v>1806</v>
      </c>
      <c r="E27" s="21" t="s">
        <v>1807</v>
      </c>
      <c r="F27" s="21" t="s">
        <v>1064</v>
      </c>
      <c r="G27" s="21" t="s">
        <v>1065</v>
      </c>
      <c r="H27" s="21" t="s">
        <v>201</v>
      </c>
      <c r="I27" s="21">
        <v>139</v>
      </c>
      <c r="J27" s="89">
        <f t="shared" si="0"/>
        <v>0.10109090909090909</v>
      </c>
      <c r="K27" s="94">
        <f>VLOOKUP(H27,'PCT data'!B:K,10,FALSE)</f>
        <v>0.99510923830215869</v>
      </c>
      <c r="L27" s="94">
        <f t="shared" si="1"/>
        <v>0.10059649754472731</v>
      </c>
    </row>
    <row r="28" spans="1:12" x14ac:dyDescent="0.2">
      <c r="A28" s="21" t="s">
        <v>2133</v>
      </c>
      <c r="B28" s="21" t="s">
        <v>672</v>
      </c>
      <c r="C28" s="21" t="s">
        <v>673</v>
      </c>
      <c r="D28" s="21" t="s">
        <v>1808</v>
      </c>
      <c r="E28" s="21" t="s">
        <v>1809</v>
      </c>
      <c r="F28" s="21" t="s">
        <v>1066</v>
      </c>
      <c r="G28" s="21" t="s">
        <v>1067</v>
      </c>
      <c r="H28" s="21" t="s">
        <v>1122</v>
      </c>
      <c r="I28" s="21">
        <v>550</v>
      </c>
      <c r="J28" s="89">
        <f t="shared" si="0"/>
        <v>1</v>
      </c>
      <c r="K28" s="94">
        <f>VLOOKUP(H28,'PCT data'!B:K,10,FALSE)</f>
        <v>0.91550049923798604</v>
      </c>
      <c r="L28" s="94">
        <f t="shared" si="1"/>
        <v>0.91550049923798604</v>
      </c>
    </row>
    <row r="29" spans="1:12" x14ac:dyDescent="0.2">
      <c r="A29" s="21" t="s">
        <v>2975</v>
      </c>
      <c r="B29" s="21" t="s">
        <v>693</v>
      </c>
      <c r="C29" s="21" t="s">
        <v>694</v>
      </c>
      <c r="D29" s="21" t="s">
        <v>1810</v>
      </c>
      <c r="E29" s="21" t="s">
        <v>1811</v>
      </c>
      <c r="F29" s="21" t="s">
        <v>1068</v>
      </c>
      <c r="G29" s="21" t="s">
        <v>1069</v>
      </c>
      <c r="H29" s="21" t="s">
        <v>2991</v>
      </c>
      <c r="I29" s="21">
        <v>92</v>
      </c>
      <c r="J29" s="89">
        <f t="shared" si="0"/>
        <v>9.8712446351931327E-2</v>
      </c>
      <c r="K29" s="94">
        <f>VLOOKUP(H29,'PCT data'!B:K,10,FALSE)</f>
        <v>0.92545159162100765</v>
      </c>
      <c r="L29" s="94">
        <f t="shared" si="1"/>
        <v>9.1353590589198175E-2</v>
      </c>
    </row>
    <row r="30" spans="1:12" x14ac:dyDescent="0.2">
      <c r="A30" s="21" t="s">
        <v>2975</v>
      </c>
      <c r="B30" s="21" t="s">
        <v>693</v>
      </c>
      <c r="C30" s="21" t="s">
        <v>694</v>
      </c>
      <c r="D30" s="21" t="s">
        <v>1812</v>
      </c>
      <c r="E30" s="21" t="s">
        <v>1813</v>
      </c>
      <c r="F30" s="21" t="s">
        <v>1070</v>
      </c>
      <c r="G30" s="21" t="s">
        <v>1071</v>
      </c>
      <c r="H30" s="21" t="s">
        <v>2991</v>
      </c>
      <c r="I30" s="21">
        <v>840</v>
      </c>
      <c r="J30" s="89">
        <f t="shared" si="0"/>
        <v>0.90128755364806867</v>
      </c>
      <c r="K30" s="94">
        <f>VLOOKUP(H30,'PCT data'!B:K,10,FALSE)</f>
        <v>0.92545159162100765</v>
      </c>
      <c r="L30" s="94">
        <f t="shared" si="1"/>
        <v>0.83409800103180942</v>
      </c>
    </row>
    <row r="31" spans="1:12" x14ac:dyDescent="0.2">
      <c r="A31" s="21" t="s">
        <v>2975</v>
      </c>
      <c r="B31" s="21" t="s">
        <v>575</v>
      </c>
      <c r="C31" s="21" t="s">
        <v>576</v>
      </c>
      <c r="D31" s="21" t="s">
        <v>1814</v>
      </c>
      <c r="E31" s="21" t="s">
        <v>1815</v>
      </c>
      <c r="F31" s="21" t="s">
        <v>1072</v>
      </c>
      <c r="G31" s="21" t="s">
        <v>1073</v>
      </c>
      <c r="H31" s="21" t="s">
        <v>3021</v>
      </c>
      <c r="I31" s="21">
        <v>102</v>
      </c>
      <c r="J31" s="89">
        <f t="shared" si="0"/>
        <v>0.12561576354679804</v>
      </c>
      <c r="K31" s="94">
        <f>VLOOKUP(H31,'PCT data'!B:K,10,FALSE)</f>
        <v>0.89559831447194282</v>
      </c>
      <c r="L31" s="94">
        <f t="shared" si="1"/>
        <v>0.11250126610361845</v>
      </c>
    </row>
    <row r="32" spans="1:12" x14ac:dyDescent="0.2">
      <c r="A32" s="21" t="s">
        <v>2975</v>
      </c>
      <c r="B32" s="21" t="s">
        <v>575</v>
      </c>
      <c r="C32" s="21" t="s">
        <v>576</v>
      </c>
      <c r="D32" s="21" t="s">
        <v>1816</v>
      </c>
      <c r="E32" s="21" t="s">
        <v>1817</v>
      </c>
      <c r="F32" s="21" t="s">
        <v>1074</v>
      </c>
      <c r="G32" s="21" t="s">
        <v>1075</v>
      </c>
      <c r="H32" s="21" t="s">
        <v>3021</v>
      </c>
      <c r="I32" s="21">
        <v>710</v>
      </c>
      <c r="J32" s="89">
        <f t="shared" si="0"/>
        <v>0.87438423645320196</v>
      </c>
      <c r="K32" s="94">
        <f>VLOOKUP(H32,'PCT data'!B:K,10,FALSE)</f>
        <v>0.89559831447194282</v>
      </c>
      <c r="L32" s="94">
        <f t="shared" si="1"/>
        <v>0.78309704836832439</v>
      </c>
    </row>
    <row r="33" spans="1:12" x14ac:dyDescent="0.2">
      <c r="A33" s="21" t="s">
        <v>2975</v>
      </c>
      <c r="B33" s="21" t="s">
        <v>373</v>
      </c>
      <c r="C33" s="21" t="s">
        <v>1818</v>
      </c>
      <c r="D33" s="21" t="s">
        <v>1819</v>
      </c>
      <c r="E33" s="21" t="s">
        <v>1820</v>
      </c>
      <c r="F33" s="21" t="s">
        <v>1076</v>
      </c>
      <c r="G33" s="21" t="s">
        <v>1077</v>
      </c>
      <c r="H33" s="21" t="s">
        <v>2979</v>
      </c>
      <c r="I33" s="21">
        <v>185</v>
      </c>
      <c r="J33" s="89">
        <f t="shared" si="0"/>
        <v>1</v>
      </c>
      <c r="K33" s="94">
        <f>VLOOKUP(H33,'PCT data'!B:K,10,FALSE)</f>
        <v>0.91550049923798604</v>
      </c>
      <c r="L33" s="94">
        <f t="shared" si="1"/>
        <v>0.91550049923798604</v>
      </c>
    </row>
    <row r="34" spans="1:12" x14ac:dyDescent="0.2">
      <c r="A34" s="21" t="s">
        <v>2975</v>
      </c>
      <c r="B34" s="21" t="s">
        <v>3382</v>
      </c>
      <c r="C34" s="21" t="s">
        <v>1821</v>
      </c>
      <c r="D34" s="21" t="s">
        <v>1822</v>
      </c>
      <c r="E34" s="21" t="s">
        <v>1823</v>
      </c>
      <c r="F34" s="21" t="s">
        <v>1078</v>
      </c>
      <c r="G34" s="21" t="s">
        <v>1079</v>
      </c>
      <c r="H34" s="21" t="s">
        <v>2979</v>
      </c>
      <c r="I34" s="21">
        <v>292</v>
      </c>
      <c r="J34" s="89">
        <f t="shared" si="0"/>
        <v>1</v>
      </c>
      <c r="K34" s="94">
        <f>VLOOKUP(H34,'PCT data'!B:K,10,FALSE)</f>
        <v>0.91550049923798604</v>
      </c>
      <c r="L34" s="94">
        <f t="shared" si="1"/>
        <v>0.91550049923798604</v>
      </c>
    </row>
    <row r="35" spans="1:12" x14ac:dyDescent="0.2">
      <c r="A35" s="21" t="s">
        <v>2975</v>
      </c>
      <c r="B35" s="21" t="s">
        <v>391</v>
      </c>
      <c r="C35" s="21" t="s">
        <v>1824</v>
      </c>
      <c r="D35" s="21" t="s">
        <v>1825</v>
      </c>
      <c r="E35" s="21" t="s">
        <v>1826</v>
      </c>
      <c r="F35" s="21" t="s">
        <v>1080</v>
      </c>
      <c r="G35" s="21" t="s">
        <v>1081</v>
      </c>
      <c r="H35" s="21" t="s">
        <v>2996</v>
      </c>
      <c r="I35" s="21">
        <v>21</v>
      </c>
      <c r="J35" s="89">
        <f t="shared" si="0"/>
        <v>3.7168141592920353E-2</v>
      </c>
      <c r="K35" s="94">
        <f>VLOOKUP(H35,'PCT data'!B:K,10,FALSE)</f>
        <v>0.90554940685496443</v>
      </c>
      <c r="L35" s="94">
        <f t="shared" si="1"/>
        <v>3.365758857337036E-2</v>
      </c>
    </row>
    <row r="36" spans="1:12" x14ac:dyDescent="0.2">
      <c r="A36" s="21" t="s">
        <v>2975</v>
      </c>
      <c r="B36" s="21" t="s">
        <v>391</v>
      </c>
      <c r="C36" s="21" t="s">
        <v>1824</v>
      </c>
      <c r="D36" s="21" t="s">
        <v>1827</v>
      </c>
      <c r="E36" s="21" t="s">
        <v>1828</v>
      </c>
      <c r="F36" s="21" t="s">
        <v>1082</v>
      </c>
      <c r="G36" s="21" t="s">
        <v>1083</v>
      </c>
      <c r="H36" s="21" t="s">
        <v>2996</v>
      </c>
      <c r="I36" s="21">
        <v>544</v>
      </c>
      <c r="J36" s="89">
        <f t="shared" si="0"/>
        <v>0.96283185840707963</v>
      </c>
      <c r="K36" s="94">
        <f>VLOOKUP(H36,'PCT data'!B:K,10,FALSE)</f>
        <v>0.90554940685496443</v>
      </c>
      <c r="L36" s="94">
        <f t="shared" si="1"/>
        <v>0.87189181828159401</v>
      </c>
    </row>
    <row r="37" spans="1:12" x14ac:dyDescent="0.2">
      <c r="A37" s="21" t="s">
        <v>2975</v>
      </c>
      <c r="B37" s="21" t="s">
        <v>594</v>
      </c>
      <c r="C37" s="21" t="s">
        <v>1829</v>
      </c>
      <c r="D37" s="21" t="s">
        <v>1830</v>
      </c>
      <c r="E37" s="21" t="s">
        <v>1831</v>
      </c>
      <c r="F37" s="21" t="s">
        <v>1084</v>
      </c>
      <c r="G37" s="21" t="s">
        <v>1085</v>
      </c>
      <c r="H37" s="21" t="s">
        <v>2986</v>
      </c>
      <c r="I37" s="21">
        <v>167</v>
      </c>
      <c r="J37" s="89">
        <f t="shared" si="0"/>
        <v>1</v>
      </c>
      <c r="K37" s="94">
        <f>VLOOKUP(H37,'PCT data'!B:K,10,FALSE)</f>
        <v>0.94535377638704965</v>
      </c>
      <c r="L37" s="94">
        <f t="shared" si="1"/>
        <v>0.94535377638704965</v>
      </c>
    </row>
    <row r="38" spans="1:12" x14ac:dyDescent="0.2">
      <c r="A38" s="21" t="s">
        <v>3528</v>
      </c>
      <c r="B38" s="21" t="s">
        <v>3670</v>
      </c>
      <c r="C38" s="21" t="s">
        <v>3671</v>
      </c>
      <c r="D38" s="21" t="s">
        <v>1832</v>
      </c>
      <c r="E38" s="21" t="s">
        <v>1833</v>
      </c>
      <c r="F38" s="21" t="s">
        <v>1086</v>
      </c>
      <c r="G38" s="21" t="s">
        <v>1087</v>
      </c>
      <c r="H38" s="21" t="s">
        <v>3536</v>
      </c>
      <c r="I38" s="21">
        <v>10</v>
      </c>
      <c r="J38" s="89">
        <f t="shared" si="0"/>
        <v>2.4630541871921183E-2</v>
      </c>
      <c r="K38" s="94">
        <f>VLOOKUP(H38,'PCT data'!B:K,10,FALSE)</f>
        <v>0.95530486877007126</v>
      </c>
      <c r="L38" s="94">
        <f t="shared" si="1"/>
        <v>2.352967657069141E-2</v>
      </c>
    </row>
    <row r="39" spans="1:12" x14ac:dyDescent="0.2">
      <c r="A39" s="21" t="s">
        <v>3528</v>
      </c>
      <c r="B39" s="21" t="s">
        <v>3670</v>
      </c>
      <c r="C39" s="21" t="s">
        <v>3671</v>
      </c>
      <c r="D39" s="21" t="s">
        <v>1834</v>
      </c>
      <c r="E39" s="21" t="s">
        <v>1835</v>
      </c>
      <c r="F39" s="21" t="s">
        <v>1088</v>
      </c>
      <c r="G39" s="21" t="s">
        <v>1089</v>
      </c>
      <c r="H39" s="21" t="s">
        <v>3536</v>
      </c>
      <c r="I39" s="21">
        <v>12</v>
      </c>
      <c r="J39" s="89">
        <f t="shared" si="0"/>
        <v>2.9556650246305417E-2</v>
      </c>
      <c r="K39" s="94">
        <f>VLOOKUP(H39,'PCT data'!B:K,10,FALSE)</f>
        <v>0.95530486877007126</v>
      </c>
      <c r="L39" s="94">
        <f t="shared" si="1"/>
        <v>2.8235611884829689E-2</v>
      </c>
    </row>
    <row r="40" spans="1:12" x14ac:dyDescent="0.2">
      <c r="A40" s="21" t="s">
        <v>3528</v>
      </c>
      <c r="B40" s="21" t="s">
        <v>3670</v>
      </c>
      <c r="C40" s="21" t="s">
        <v>3671</v>
      </c>
      <c r="D40" s="21" t="s">
        <v>1836</v>
      </c>
      <c r="E40" s="21" t="s">
        <v>1837</v>
      </c>
      <c r="F40" s="21" t="s">
        <v>1090</v>
      </c>
      <c r="G40" s="21" t="s">
        <v>1091</v>
      </c>
      <c r="H40" s="21" t="s">
        <v>3536</v>
      </c>
      <c r="I40" s="21">
        <v>20</v>
      </c>
      <c r="J40" s="89">
        <f t="shared" si="0"/>
        <v>4.9261083743842367E-2</v>
      </c>
      <c r="K40" s="94">
        <f>VLOOKUP(H40,'PCT data'!B:K,10,FALSE)</f>
        <v>0.95530486877007126</v>
      </c>
      <c r="L40" s="94">
        <f t="shared" si="1"/>
        <v>4.705935314138282E-2</v>
      </c>
    </row>
    <row r="41" spans="1:12" x14ac:dyDescent="0.2">
      <c r="A41" s="21" t="s">
        <v>3528</v>
      </c>
      <c r="B41" s="21" t="s">
        <v>3670</v>
      </c>
      <c r="C41" s="21" t="s">
        <v>3671</v>
      </c>
      <c r="D41" s="21" t="s">
        <v>1838</v>
      </c>
      <c r="E41" s="21" t="s">
        <v>1839</v>
      </c>
      <c r="F41" s="21" t="s">
        <v>1092</v>
      </c>
      <c r="G41" s="21" t="s">
        <v>1093</v>
      </c>
      <c r="H41" s="21" t="s">
        <v>3536</v>
      </c>
      <c r="I41" s="21">
        <v>25</v>
      </c>
      <c r="J41" s="89">
        <f t="shared" si="0"/>
        <v>6.1576354679802957E-2</v>
      </c>
      <c r="K41" s="94">
        <f>VLOOKUP(H41,'PCT data'!B:K,10,FALSE)</f>
        <v>0.95530486877007126</v>
      </c>
      <c r="L41" s="94">
        <f t="shared" si="1"/>
        <v>5.8824191426728525E-2</v>
      </c>
    </row>
    <row r="42" spans="1:12" x14ac:dyDescent="0.2">
      <c r="A42" s="21" t="s">
        <v>3528</v>
      </c>
      <c r="B42" s="21" t="s">
        <v>3670</v>
      </c>
      <c r="C42" s="21" t="s">
        <v>3671</v>
      </c>
      <c r="D42" s="21" t="s">
        <v>1840</v>
      </c>
      <c r="E42" s="21" t="s">
        <v>1841</v>
      </c>
      <c r="F42" s="21" t="s">
        <v>1094</v>
      </c>
      <c r="G42" s="21" t="s">
        <v>1095</v>
      </c>
      <c r="H42" s="21" t="s">
        <v>3536</v>
      </c>
      <c r="I42" s="21">
        <v>50</v>
      </c>
      <c r="J42" s="89">
        <f t="shared" si="0"/>
        <v>0.12315270935960591</v>
      </c>
      <c r="K42" s="94">
        <f>VLOOKUP(H42,'PCT data'!B:K,10,FALSE)</f>
        <v>0.95530486877007126</v>
      </c>
      <c r="L42" s="94">
        <f t="shared" si="1"/>
        <v>0.11764838285345705</v>
      </c>
    </row>
    <row r="43" spans="1:12" x14ac:dyDescent="0.2">
      <c r="A43" s="21" t="s">
        <v>3528</v>
      </c>
      <c r="B43" s="21" t="s">
        <v>3670</v>
      </c>
      <c r="C43" s="21" t="s">
        <v>3671</v>
      </c>
      <c r="D43" s="21" t="s">
        <v>1842</v>
      </c>
      <c r="E43" s="21" t="s">
        <v>1843</v>
      </c>
      <c r="F43" s="21" t="s">
        <v>1096</v>
      </c>
      <c r="G43" s="21" t="s">
        <v>1097</v>
      </c>
      <c r="H43" s="21" t="s">
        <v>3536</v>
      </c>
      <c r="I43" s="21">
        <v>289</v>
      </c>
      <c r="J43" s="89">
        <f t="shared" si="0"/>
        <v>0.71182266009852213</v>
      </c>
      <c r="K43" s="94">
        <f>VLOOKUP(H43,'PCT data'!B:K,10,FALSE)</f>
        <v>0.95530486877007126</v>
      </c>
      <c r="L43" s="94">
        <f t="shared" si="1"/>
        <v>0.68000765289298171</v>
      </c>
    </row>
    <row r="44" spans="1:12" x14ac:dyDescent="0.2">
      <c r="A44" s="21" t="s">
        <v>1127</v>
      </c>
      <c r="B44" s="21" t="s">
        <v>2271</v>
      </c>
      <c r="C44" s="21" t="s">
        <v>2272</v>
      </c>
      <c r="D44" s="21" t="s">
        <v>1844</v>
      </c>
      <c r="E44" s="21" t="s">
        <v>1845</v>
      </c>
      <c r="F44" s="21" t="s">
        <v>1098</v>
      </c>
      <c r="G44" s="21" t="s">
        <v>1099</v>
      </c>
      <c r="H44" s="21" t="s">
        <v>1131</v>
      </c>
      <c r="I44" s="21">
        <v>427</v>
      </c>
      <c r="J44" s="89">
        <f t="shared" si="0"/>
        <v>1</v>
      </c>
      <c r="K44" s="94">
        <f>VLOOKUP(H44,'PCT data'!B:K,10,FALSE)</f>
        <v>1.0150114230682019</v>
      </c>
      <c r="L44" s="94">
        <f t="shared" si="1"/>
        <v>1.0150114230682019</v>
      </c>
    </row>
    <row r="45" spans="1:12" x14ac:dyDescent="0.2">
      <c r="A45" s="21" t="s">
        <v>1167</v>
      </c>
      <c r="B45" s="21" t="s">
        <v>2345</v>
      </c>
      <c r="C45" s="21" t="s">
        <v>2346</v>
      </c>
      <c r="D45" s="21" t="s">
        <v>1846</v>
      </c>
      <c r="E45" s="21" t="s">
        <v>2346</v>
      </c>
      <c r="F45" s="21" t="s">
        <v>1100</v>
      </c>
      <c r="G45" s="21" t="s">
        <v>1101</v>
      </c>
      <c r="H45" s="21" t="s">
        <v>3441</v>
      </c>
      <c r="I45" s="21">
        <v>397</v>
      </c>
      <c r="J45" s="89">
        <f t="shared" si="0"/>
        <v>1</v>
      </c>
      <c r="K45" s="94">
        <f>VLOOKUP(H45,'PCT data'!B:K,10,FALSE)</f>
        <v>1.154326716430494</v>
      </c>
      <c r="L45" s="94">
        <f t="shared" si="1"/>
        <v>1.154326716430494</v>
      </c>
    </row>
    <row r="46" spans="1:12" x14ac:dyDescent="0.2">
      <c r="A46" s="21" t="s">
        <v>1127</v>
      </c>
      <c r="B46" s="21" t="s">
        <v>379</v>
      </c>
      <c r="C46" s="21" t="s">
        <v>380</v>
      </c>
      <c r="D46" s="21" t="s">
        <v>1847</v>
      </c>
      <c r="E46" s="21" t="s">
        <v>1848</v>
      </c>
      <c r="F46" s="21" t="s">
        <v>1102</v>
      </c>
      <c r="G46" s="21" t="s">
        <v>863</v>
      </c>
      <c r="H46" s="21" t="s">
        <v>1149</v>
      </c>
      <c r="I46" s="21">
        <v>601</v>
      </c>
      <c r="J46" s="89">
        <f t="shared" si="0"/>
        <v>1</v>
      </c>
      <c r="K46" s="94">
        <f>VLOOKUP(H46,'PCT data'!B:K,10,FALSE)</f>
        <v>1.0548157926002883</v>
      </c>
      <c r="L46" s="94">
        <f t="shared" si="1"/>
        <v>1.0548157926002883</v>
      </c>
    </row>
    <row r="47" spans="1:12" x14ac:dyDescent="0.2">
      <c r="A47" s="21" t="s">
        <v>3034</v>
      </c>
      <c r="B47" s="21" t="s">
        <v>703</v>
      </c>
      <c r="C47" s="21" t="s">
        <v>704</v>
      </c>
      <c r="D47" s="21" t="s">
        <v>1849</v>
      </c>
      <c r="E47" s="21" t="s">
        <v>1850</v>
      </c>
      <c r="F47" s="21" t="s">
        <v>864</v>
      </c>
      <c r="G47" s="21" t="s">
        <v>865</v>
      </c>
      <c r="H47" s="21" t="s">
        <v>3046</v>
      </c>
      <c r="I47" s="21">
        <v>20</v>
      </c>
      <c r="J47" s="89">
        <f t="shared" si="0"/>
        <v>2.9542097488921712E-2</v>
      </c>
      <c r="K47" s="94">
        <f>VLOOKUP(H47,'PCT data'!B:K,10,FALSE)</f>
        <v>0.97520705353611448</v>
      </c>
      <c r="L47" s="94">
        <f t="shared" si="1"/>
        <v>2.8809661847447991E-2</v>
      </c>
    </row>
    <row r="48" spans="1:12" x14ac:dyDescent="0.2">
      <c r="A48" s="21" t="s">
        <v>3034</v>
      </c>
      <c r="B48" s="21" t="s">
        <v>703</v>
      </c>
      <c r="C48" s="21" t="s">
        <v>704</v>
      </c>
      <c r="D48" s="21" t="s">
        <v>1851</v>
      </c>
      <c r="E48" s="21" t="s">
        <v>1852</v>
      </c>
      <c r="F48" s="21" t="s">
        <v>866</v>
      </c>
      <c r="G48" s="21" t="s">
        <v>867</v>
      </c>
      <c r="H48" s="21" t="s">
        <v>3046</v>
      </c>
      <c r="I48" s="21">
        <v>23</v>
      </c>
      <c r="J48" s="89">
        <f t="shared" si="0"/>
        <v>3.3973412112259974E-2</v>
      </c>
      <c r="K48" s="94">
        <f>VLOOKUP(H48,'PCT data'!B:K,10,FALSE)</f>
        <v>0.97520705353611448</v>
      </c>
      <c r="L48" s="94">
        <f t="shared" si="1"/>
        <v>3.3131111124565189E-2</v>
      </c>
    </row>
    <row r="49" spans="1:12" x14ac:dyDescent="0.2">
      <c r="A49" s="21" t="s">
        <v>3034</v>
      </c>
      <c r="B49" s="21" t="s">
        <v>703</v>
      </c>
      <c r="C49" s="21" t="s">
        <v>704</v>
      </c>
      <c r="D49" s="21" t="s">
        <v>1853</v>
      </c>
      <c r="E49" s="21" t="s">
        <v>1854</v>
      </c>
      <c r="F49" s="21" t="s">
        <v>868</v>
      </c>
      <c r="G49" s="21" t="s">
        <v>867</v>
      </c>
      <c r="H49" s="21" t="s">
        <v>3046</v>
      </c>
      <c r="I49" s="21">
        <v>634</v>
      </c>
      <c r="J49" s="89">
        <f t="shared" si="0"/>
        <v>0.93648449039881831</v>
      </c>
      <c r="K49" s="94">
        <f>VLOOKUP(H49,'PCT data'!B:K,10,FALSE)</f>
        <v>0.97520705353611448</v>
      </c>
      <c r="L49" s="94">
        <f t="shared" si="1"/>
        <v>0.91326628056410131</v>
      </c>
    </row>
    <row r="50" spans="1:12" x14ac:dyDescent="0.2">
      <c r="A50" s="21" t="s">
        <v>3034</v>
      </c>
      <c r="B50" s="21" t="s">
        <v>2772</v>
      </c>
      <c r="C50" s="21" t="s">
        <v>2773</v>
      </c>
      <c r="D50" s="21" t="s">
        <v>1855</v>
      </c>
      <c r="E50" s="21" t="s">
        <v>1856</v>
      </c>
      <c r="F50" s="21" t="s">
        <v>869</v>
      </c>
      <c r="G50" s="21" t="s">
        <v>870</v>
      </c>
      <c r="H50" s="21" t="s">
        <v>3046</v>
      </c>
      <c r="I50" s="21">
        <v>105</v>
      </c>
      <c r="J50" s="89">
        <f t="shared" si="0"/>
        <v>0.24705882352941178</v>
      </c>
      <c r="K50" s="94">
        <f>VLOOKUP(H50,'PCT data'!B:K,10,FALSE)</f>
        <v>0.97520705353611448</v>
      </c>
      <c r="L50" s="94">
        <f t="shared" si="1"/>
        <v>0.24093350734421654</v>
      </c>
    </row>
    <row r="51" spans="1:12" x14ac:dyDescent="0.2">
      <c r="A51" s="21" t="s">
        <v>3034</v>
      </c>
      <c r="B51" s="21" t="s">
        <v>2772</v>
      </c>
      <c r="C51" s="21" t="s">
        <v>2773</v>
      </c>
      <c r="D51" s="21" t="s">
        <v>1857</v>
      </c>
      <c r="E51" s="21" t="s">
        <v>1858</v>
      </c>
      <c r="F51" s="21" t="s">
        <v>871</v>
      </c>
      <c r="G51" s="21" t="s">
        <v>872</v>
      </c>
      <c r="H51" s="21" t="s">
        <v>3046</v>
      </c>
      <c r="I51" s="21">
        <v>320</v>
      </c>
      <c r="J51" s="89">
        <f t="shared" si="0"/>
        <v>0.75294117647058822</v>
      </c>
      <c r="K51" s="94">
        <f>VLOOKUP(H51,'PCT data'!B:K,10,FALSE)</f>
        <v>0.97520705353611448</v>
      </c>
      <c r="L51" s="94">
        <f t="shared" si="1"/>
        <v>0.734273546191898</v>
      </c>
    </row>
    <row r="52" spans="1:12" x14ac:dyDescent="0.2">
      <c r="A52" s="21" t="s">
        <v>3034</v>
      </c>
      <c r="B52" s="21" t="s">
        <v>2387</v>
      </c>
      <c r="C52" s="21" t="s">
        <v>2388</v>
      </c>
      <c r="D52" s="21" t="s">
        <v>1859</v>
      </c>
      <c r="E52" s="21" t="s">
        <v>1860</v>
      </c>
      <c r="F52" s="21" t="s">
        <v>873</v>
      </c>
      <c r="G52" s="21" t="s">
        <v>874</v>
      </c>
      <c r="H52" s="21" t="s">
        <v>3046</v>
      </c>
      <c r="I52" s="21">
        <v>474</v>
      </c>
      <c r="J52" s="89">
        <f t="shared" si="0"/>
        <v>1</v>
      </c>
      <c r="K52" s="94">
        <f>VLOOKUP(H52,'PCT data'!B:K,10,FALSE)</f>
        <v>0.97520705353611448</v>
      </c>
      <c r="L52" s="94">
        <f t="shared" si="1"/>
        <v>0.97520705353611448</v>
      </c>
    </row>
    <row r="53" spans="1:12" x14ac:dyDescent="0.2">
      <c r="A53" s="21" t="s">
        <v>3034</v>
      </c>
      <c r="B53" s="21" t="s">
        <v>3380</v>
      </c>
      <c r="C53" s="21" t="s">
        <v>3381</v>
      </c>
      <c r="D53" s="21" t="s">
        <v>1861</v>
      </c>
      <c r="E53" s="21" t="s">
        <v>1862</v>
      </c>
      <c r="F53" s="21" t="s">
        <v>875</v>
      </c>
      <c r="G53" s="21" t="s">
        <v>876</v>
      </c>
      <c r="H53" s="21" t="s">
        <v>3036</v>
      </c>
      <c r="I53" s="21">
        <v>411</v>
      </c>
      <c r="J53" s="89">
        <f t="shared" si="0"/>
        <v>1</v>
      </c>
      <c r="K53" s="94">
        <f>VLOOKUP(H53,'PCT data'!B:K,10,FALSE)</f>
        <v>0.91550049923798604</v>
      </c>
      <c r="L53" s="94">
        <f t="shared" si="1"/>
        <v>0.91550049923798604</v>
      </c>
    </row>
    <row r="54" spans="1:12" x14ac:dyDescent="0.2">
      <c r="A54" s="21" t="s">
        <v>3034</v>
      </c>
      <c r="B54" s="21" t="s">
        <v>2776</v>
      </c>
      <c r="C54" s="21" t="s">
        <v>1863</v>
      </c>
      <c r="D54" s="21" t="s">
        <v>1864</v>
      </c>
      <c r="E54" s="21" t="s">
        <v>1865</v>
      </c>
      <c r="F54" s="21" t="s">
        <v>877</v>
      </c>
      <c r="G54" s="21" t="s">
        <v>878</v>
      </c>
      <c r="H54" s="21" t="s">
        <v>3061</v>
      </c>
      <c r="I54" s="21">
        <v>6</v>
      </c>
      <c r="J54" s="89">
        <f t="shared" si="0"/>
        <v>3.870967741935484E-2</v>
      </c>
      <c r="K54" s="94">
        <f>VLOOKUP(H54,'PCT data'!B:K,10,FALSE)</f>
        <v>0.98515814591913609</v>
      </c>
      <c r="L54" s="94">
        <f t="shared" si="1"/>
        <v>3.813515403557946E-2</v>
      </c>
    </row>
    <row r="55" spans="1:12" x14ac:dyDescent="0.2">
      <c r="A55" s="21" t="s">
        <v>3034</v>
      </c>
      <c r="B55" s="21" t="s">
        <v>2776</v>
      </c>
      <c r="C55" s="21" t="s">
        <v>1863</v>
      </c>
      <c r="D55" s="21" t="s">
        <v>1866</v>
      </c>
      <c r="E55" s="21" t="s">
        <v>1867</v>
      </c>
      <c r="F55" s="21" t="s">
        <v>879</v>
      </c>
      <c r="G55" s="21" t="s">
        <v>880</v>
      </c>
      <c r="H55" s="21" t="s">
        <v>3061</v>
      </c>
      <c r="I55" s="21">
        <v>10</v>
      </c>
      <c r="J55" s="89">
        <f t="shared" si="0"/>
        <v>6.4516129032258063E-2</v>
      </c>
      <c r="K55" s="94">
        <f>VLOOKUP(H55,'PCT data'!B:K,10,FALSE)</f>
        <v>0.98515814591913609</v>
      </c>
      <c r="L55" s="94">
        <f t="shared" si="1"/>
        <v>6.3558590059299105E-2</v>
      </c>
    </row>
    <row r="56" spans="1:12" x14ac:dyDescent="0.2">
      <c r="A56" s="21" t="s">
        <v>3034</v>
      </c>
      <c r="B56" s="21" t="s">
        <v>2776</v>
      </c>
      <c r="C56" s="21" t="s">
        <v>1863</v>
      </c>
      <c r="D56" s="21" t="s">
        <v>1868</v>
      </c>
      <c r="E56" s="21" t="s">
        <v>1869</v>
      </c>
      <c r="F56" s="21" t="s">
        <v>881</v>
      </c>
      <c r="G56" s="21" t="s">
        <v>882</v>
      </c>
      <c r="H56" s="21" t="s">
        <v>3061</v>
      </c>
      <c r="I56" s="21">
        <v>139</v>
      </c>
      <c r="J56" s="89">
        <f t="shared" si="0"/>
        <v>0.89677419354838706</v>
      </c>
      <c r="K56" s="94">
        <f>VLOOKUP(H56,'PCT data'!B:K,10,FALSE)</f>
        <v>0.98515814591913609</v>
      </c>
      <c r="L56" s="94">
        <f t="shared" si="1"/>
        <v>0.88346440182425745</v>
      </c>
    </row>
    <row r="57" spans="1:12" x14ac:dyDescent="0.2">
      <c r="A57" s="21" t="s">
        <v>1127</v>
      </c>
      <c r="B57" s="21" t="s">
        <v>606</v>
      </c>
      <c r="C57" s="21" t="s">
        <v>607</v>
      </c>
      <c r="D57" s="21" t="s">
        <v>1870</v>
      </c>
      <c r="E57" s="21" t="s">
        <v>1871</v>
      </c>
      <c r="F57" s="21" t="s">
        <v>883</v>
      </c>
      <c r="G57" s="21" t="s">
        <v>884</v>
      </c>
      <c r="H57" s="21" t="s">
        <v>1140</v>
      </c>
      <c r="I57" s="21">
        <v>504</v>
      </c>
      <c r="J57" s="89">
        <f t="shared" si="0"/>
        <v>1</v>
      </c>
      <c r="K57" s="94">
        <f>VLOOKUP(H57,'PCT data'!B:K,10,FALSE)</f>
        <v>0.92545159162100765</v>
      </c>
      <c r="L57" s="94">
        <f t="shared" si="1"/>
        <v>0.92545159162100765</v>
      </c>
    </row>
    <row r="58" spans="1:12" x14ac:dyDescent="0.2">
      <c r="A58" s="21" t="s">
        <v>3528</v>
      </c>
      <c r="B58" s="21" t="s">
        <v>3730</v>
      </c>
      <c r="C58" s="21" t="s">
        <v>3731</v>
      </c>
      <c r="D58" s="21" t="s">
        <v>1872</v>
      </c>
      <c r="E58" s="21" t="s">
        <v>1873</v>
      </c>
      <c r="F58" s="21" t="s">
        <v>885</v>
      </c>
      <c r="G58" s="21" t="s">
        <v>886</v>
      </c>
      <c r="H58" s="21" t="s">
        <v>3555</v>
      </c>
      <c r="I58" s="21">
        <v>675</v>
      </c>
      <c r="J58" s="89">
        <f t="shared" si="0"/>
        <v>1</v>
      </c>
      <c r="K58" s="94">
        <f>VLOOKUP(H58,'PCT data'!B:K,10,FALSE)</f>
        <v>1.0150114230682019</v>
      </c>
      <c r="L58" s="94">
        <f t="shared" si="1"/>
        <v>1.0150114230682019</v>
      </c>
    </row>
    <row r="59" spans="1:12" x14ac:dyDescent="0.2">
      <c r="A59" s="21" t="s">
        <v>3528</v>
      </c>
      <c r="B59" s="21" t="s">
        <v>3700</v>
      </c>
      <c r="C59" s="21" t="s">
        <v>3701</v>
      </c>
      <c r="D59" s="21" t="s">
        <v>1874</v>
      </c>
      <c r="E59" s="21" t="s">
        <v>1875</v>
      </c>
      <c r="F59" s="21" t="s">
        <v>887</v>
      </c>
      <c r="G59" s="21" t="s">
        <v>888</v>
      </c>
      <c r="H59" s="21" t="s">
        <v>3540</v>
      </c>
      <c r="I59" s="21">
        <v>697</v>
      </c>
      <c r="J59" s="89">
        <f t="shared" si="0"/>
        <v>1</v>
      </c>
      <c r="K59" s="94">
        <f>VLOOKUP(H59,'PCT data'!B:K,10,FALSE)</f>
        <v>1.0150114230682019</v>
      </c>
      <c r="L59" s="94">
        <f t="shared" si="1"/>
        <v>1.0150114230682019</v>
      </c>
    </row>
    <row r="60" spans="1:12" x14ac:dyDescent="0.2">
      <c r="A60" s="21" t="s">
        <v>191</v>
      </c>
      <c r="B60" s="21" t="s">
        <v>2391</v>
      </c>
      <c r="C60" s="21" t="s">
        <v>2392</v>
      </c>
      <c r="D60" s="21" t="s">
        <v>1876</v>
      </c>
      <c r="E60" s="21" t="s">
        <v>1877</v>
      </c>
      <c r="F60" s="21" t="s">
        <v>889</v>
      </c>
      <c r="G60" s="21" t="s">
        <v>890</v>
      </c>
      <c r="H60" s="21" t="s">
        <v>194</v>
      </c>
      <c r="I60" s="21">
        <v>157</v>
      </c>
      <c r="J60" s="89">
        <f t="shared" si="0"/>
        <v>0.25079872204472842</v>
      </c>
      <c r="K60" s="94">
        <f>VLOOKUP(H60,'PCT data'!B:K,10,FALSE)</f>
        <v>1.0747179773663313</v>
      </c>
      <c r="L60" s="94">
        <f t="shared" si="1"/>
        <v>0.26953789528197125</v>
      </c>
    </row>
    <row r="61" spans="1:12" x14ac:dyDescent="0.2">
      <c r="A61" s="21" t="s">
        <v>191</v>
      </c>
      <c r="B61" s="21" t="s">
        <v>2391</v>
      </c>
      <c r="C61" s="21" t="s">
        <v>2392</v>
      </c>
      <c r="D61" s="21" t="s">
        <v>1878</v>
      </c>
      <c r="E61" s="21" t="s">
        <v>1879</v>
      </c>
      <c r="F61" s="21" t="s">
        <v>891</v>
      </c>
      <c r="G61" s="21" t="s">
        <v>892</v>
      </c>
      <c r="H61" s="21" t="s">
        <v>194</v>
      </c>
      <c r="I61" s="21">
        <v>469</v>
      </c>
      <c r="J61" s="89">
        <f t="shared" si="0"/>
        <v>0.74920127795527158</v>
      </c>
      <c r="K61" s="94">
        <f>VLOOKUP(H61,'PCT data'!B:K,10,FALSE)</f>
        <v>1.0747179773663313</v>
      </c>
      <c r="L61" s="94">
        <f t="shared" si="1"/>
        <v>0.80518008208436009</v>
      </c>
    </row>
    <row r="62" spans="1:12" x14ac:dyDescent="0.2">
      <c r="A62" s="21" t="s">
        <v>191</v>
      </c>
      <c r="B62" s="21" t="s">
        <v>399</v>
      </c>
      <c r="C62" s="21" t="s">
        <v>400</v>
      </c>
      <c r="D62" s="21" t="s">
        <v>1880</v>
      </c>
      <c r="E62" s="21" t="s">
        <v>1881</v>
      </c>
      <c r="F62" s="21" t="s">
        <v>893</v>
      </c>
      <c r="G62" s="21" t="s">
        <v>894</v>
      </c>
      <c r="H62" s="21" t="s">
        <v>200</v>
      </c>
      <c r="I62" s="21">
        <v>458</v>
      </c>
      <c r="J62" s="89">
        <f t="shared" si="0"/>
        <v>1</v>
      </c>
      <c r="K62" s="94">
        <f>VLOOKUP(H62,'PCT data'!B:K,10,FALSE)</f>
        <v>1.0050603306851802</v>
      </c>
      <c r="L62" s="94">
        <f t="shared" si="1"/>
        <v>1.0050603306851802</v>
      </c>
    </row>
    <row r="63" spans="1:12" x14ac:dyDescent="0.2">
      <c r="A63" s="21" t="s">
        <v>1127</v>
      </c>
      <c r="B63" s="21" t="s">
        <v>2269</v>
      </c>
      <c r="C63" s="21" t="s">
        <v>2270</v>
      </c>
      <c r="D63" s="21" t="s">
        <v>1882</v>
      </c>
      <c r="E63" s="21" t="s">
        <v>1883</v>
      </c>
      <c r="F63" s="21" t="s">
        <v>895</v>
      </c>
      <c r="G63" s="21" t="s">
        <v>896</v>
      </c>
      <c r="H63" s="21" t="s">
        <v>1129</v>
      </c>
      <c r="I63" s="21">
        <v>822</v>
      </c>
      <c r="J63" s="89">
        <f t="shared" si="0"/>
        <v>1</v>
      </c>
      <c r="K63" s="94">
        <f>VLOOKUP(H63,'PCT data'!B:K,10,FALSE)</f>
        <v>1.0349136078342451</v>
      </c>
      <c r="L63" s="94">
        <f t="shared" si="1"/>
        <v>1.0349136078342451</v>
      </c>
    </row>
    <row r="64" spans="1:12" x14ac:dyDescent="0.2">
      <c r="A64" s="21" t="s">
        <v>1127</v>
      </c>
      <c r="B64" s="21" t="s">
        <v>2326</v>
      </c>
      <c r="C64" s="21" t="s">
        <v>0</v>
      </c>
      <c r="D64" s="21" t="s">
        <v>1884</v>
      </c>
      <c r="E64" s="21" t="s">
        <v>1885</v>
      </c>
      <c r="F64" s="21" t="s">
        <v>897</v>
      </c>
      <c r="G64" s="21" t="s">
        <v>898</v>
      </c>
      <c r="H64" s="21" t="s">
        <v>1136</v>
      </c>
      <c r="I64" s="21">
        <v>32</v>
      </c>
      <c r="J64" s="89">
        <f t="shared" si="0"/>
        <v>5.4700854700854701E-2</v>
      </c>
      <c r="K64" s="94">
        <f>VLOOKUP(H64,'PCT data'!B:K,10,FALSE)</f>
        <v>0.99510923830215869</v>
      </c>
      <c r="L64" s="94">
        <f t="shared" si="1"/>
        <v>5.443332585584458E-2</v>
      </c>
    </row>
    <row r="65" spans="1:12" x14ac:dyDescent="0.2">
      <c r="A65" s="21" t="s">
        <v>1127</v>
      </c>
      <c r="B65" s="21" t="s">
        <v>2326</v>
      </c>
      <c r="C65" s="21" t="s">
        <v>0</v>
      </c>
      <c r="D65" s="21" t="s">
        <v>1886</v>
      </c>
      <c r="E65" s="21" t="s">
        <v>1887</v>
      </c>
      <c r="F65" s="21" t="s">
        <v>899</v>
      </c>
      <c r="G65" s="21" t="s">
        <v>900</v>
      </c>
      <c r="H65" s="21" t="s">
        <v>1136</v>
      </c>
      <c r="I65" s="21">
        <v>553</v>
      </c>
      <c r="J65" s="89">
        <f t="shared" si="0"/>
        <v>0.94529914529914527</v>
      </c>
      <c r="K65" s="94">
        <f>VLOOKUP(H65,'PCT data'!B:K,10,FALSE)</f>
        <v>0.99510923830215869</v>
      </c>
      <c r="L65" s="94">
        <f t="shared" si="1"/>
        <v>0.9406759124463141</v>
      </c>
    </row>
    <row r="66" spans="1:12" x14ac:dyDescent="0.2">
      <c r="A66" s="21" t="s">
        <v>3496</v>
      </c>
      <c r="B66" s="21" t="s">
        <v>2365</v>
      </c>
      <c r="C66" s="21" t="s">
        <v>2366</v>
      </c>
      <c r="D66" s="21" t="s">
        <v>1888</v>
      </c>
      <c r="E66" s="21" t="s">
        <v>1889</v>
      </c>
      <c r="F66" s="21" t="s">
        <v>901</v>
      </c>
      <c r="G66" s="21" t="s">
        <v>902</v>
      </c>
      <c r="H66" s="21" t="s">
        <v>3498</v>
      </c>
      <c r="I66" s="21">
        <v>636</v>
      </c>
      <c r="J66" s="89">
        <f t="shared" si="0"/>
        <v>1</v>
      </c>
      <c r="K66" s="94">
        <f>VLOOKUP(H66,'PCT data'!B:K,10,FALSE)</f>
        <v>1.1045712545153963</v>
      </c>
      <c r="L66" s="94">
        <f t="shared" si="1"/>
        <v>1.1045712545153963</v>
      </c>
    </row>
    <row r="67" spans="1:12" x14ac:dyDescent="0.2">
      <c r="A67" s="21" t="s">
        <v>3528</v>
      </c>
      <c r="B67" s="21" t="s">
        <v>610</v>
      </c>
      <c r="C67" s="21" t="s">
        <v>611</v>
      </c>
      <c r="D67" s="21" t="s">
        <v>1890</v>
      </c>
      <c r="E67" s="21" t="s">
        <v>1891</v>
      </c>
      <c r="F67" s="21" t="s">
        <v>903</v>
      </c>
      <c r="G67" s="21" t="s">
        <v>904</v>
      </c>
      <c r="H67" s="21" t="s">
        <v>3538</v>
      </c>
      <c r="I67" s="21">
        <v>192</v>
      </c>
      <c r="J67" s="89">
        <f t="shared" ref="J67:J130" si="2">I67/SUMIF(B:B,B67,I:I)</f>
        <v>0.22377622377622378</v>
      </c>
      <c r="K67" s="94">
        <f>VLOOKUP(H67,'PCT data'!B:K,10,FALSE)</f>
        <v>0.97520705353611448</v>
      </c>
      <c r="L67" s="94">
        <f t="shared" ref="L67:L130" si="3">K67*J67</f>
        <v>0.21822815184024941</v>
      </c>
    </row>
    <row r="68" spans="1:12" x14ac:dyDescent="0.2">
      <c r="A68" s="21" t="s">
        <v>3528</v>
      </c>
      <c r="B68" s="21" t="s">
        <v>610</v>
      </c>
      <c r="C68" s="21" t="s">
        <v>611</v>
      </c>
      <c r="D68" s="21" t="s">
        <v>1892</v>
      </c>
      <c r="E68" s="21" t="s">
        <v>1893</v>
      </c>
      <c r="F68" s="21" t="s">
        <v>905</v>
      </c>
      <c r="G68" s="21" t="s">
        <v>906</v>
      </c>
      <c r="H68" s="21" t="s">
        <v>3540</v>
      </c>
      <c r="I68" s="21">
        <v>666</v>
      </c>
      <c r="J68" s="89">
        <f t="shared" si="2"/>
        <v>0.77622377622377625</v>
      </c>
      <c r="K68" s="94">
        <f>VLOOKUP(H68,'PCT data'!B:K,10,FALSE)</f>
        <v>1.0150114230682019</v>
      </c>
      <c r="L68" s="94">
        <f t="shared" si="3"/>
        <v>0.78787599972426869</v>
      </c>
    </row>
    <row r="69" spans="1:12" x14ac:dyDescent="0.2">
      <c r="A69" s="21" t="s">
        <v>708</v>
      </c>
      <c r="B69" s="21" t="s">
        <v>558</v>
      </c>
      <c r="C69" s="21" t="s">
        <v>559</v>
      </c>
      <c r="D69" s="21" t="s">
        <v>1894</v>
      </c>
      <c r="E69" s="21" t="s">
        <v>1895</v>
      </c>
      <c r="F69" s="21" t="s">
        <v>907</v>
      </c>
      <c r="G69" s="21" t="s">
        <v>908</v>
      </c>
      <c r="H69" s="21" t="s">
        <v>646</v>
      </c>
      <c r="I69" s="21">
        <v>16</v>
      </c>
      <c r="J69" s="89">
        <f t="shared" si="2"/>
        <v>3.7558685446009391E-2</v>
      </c>
      <c r="K69" s="94">
        <f>VLOOKUP(H69,'PCT data'!B:K,10,FALSE)</f>
        <v>0.95530486877007126</v>
      </c>
      <c r="L69" s="94">
        <f t="shared" si="3"/>
        <v>3.5879995071176389E-2</v>
      </c>
    </row>
    <row r="70" spans="1:12" x14ac:dyDescent="0.2">
      <c r="A70" s="21" t="s">
        <v>708</v>
      </c>
      <c r="B70" s="21" t="s">
        <v>558</v>
      </c>
      <c r="C70" s="21" t="s">
        <v>559</v>
      </c>
      <c r="D70" s="21" t="s">
        <v>1896</v>
      </c>
      <c r="E70" s="21" t="s">
        <v>1897</v>
      </c>
      <c r="F70" s="21" t="s">
        <v>909</v>
      </c>
      <c r="G70" s="21" t="s">
        <v>910</v>
      </c>
      <c r="H70" s="21" t="s">
        <v>646</v>
      </c>
      <c r="I70" s="21">
        <v>28</v>
      </c>
      <c r="J70" s="89">
        <f t="shared" si="2"/>
        <v>6.5727699530516437E-2</v>
      </c>
      <c r="K70" s="94">
        <f>VLOOKUP(H70,'PCT data'!B:K,10,FALSE)</f>
        <v>0.95530486877007126</v>
      </c>
      <c r="L70" s="94">
        <f t="shared" si="3"/>
        <v>6.2789991374558679E-2</v>
      </c>
    </row>
    <row r="71" spans="1:12" x14ac:dyDescent="0.2">
      <c r="A71" s="21" t="s">
        <v>708</v>
      </c>
      <c r="B71" s="21" t="s">
        <v>558</v>
      </c>
      <c r="C71" s="21" t="s">
        <v>559</v>
      </c>
      <c r="D71" s="21" t="s">
        <v>1898</v>
      </c>
      <c r="E71" s="21" t="s">
        <v>1899</v>
      </c>
      <c r="F71" s="21" t="s">
        <v>911</v>
      </c>
      <c r="G71" s="21" t="s">
        <v>912</v>
      </c>
      <c r="H71" s="21" t="s">
        <v>646</v>
      </c>
      <c r="I71" s="21">
        <v>382</v>
      </c>
      <c r="J71" s="89">
        <f t="shared" si="2"/>
        <v>0.89671361502347413</v>
      </c>
      <c r="K71" s="94">
        <f>VLOOKUP(H71,'PCT data'!B:K,10,FALSE)</f>
        <v>0.95530486877007126</v>
      </c>
      <c r="L71" s="94">
        <f t="shared" si="3"/>
        <v>0.85663488232433616</v>
      </c>
    </row>
    <row r="72" spans="1:12" x14ac:dyDescent="0.2">
      <c r="A72" s="21" t="s">
        <v>3528</v>
      </c>
      <c r="B72" s="21" t="s">
        <v>3716</v>
      </c>
      <c r="C72" s="21" t="s">
        <v>3717</v>
      </c>
      <c r="D72" s="21" t="s">
        <v>1900</v>
      </c>
      <c r="E72" s="21" t="s">
        <v>1901</v>
      </c>
      <c r="F72" s="21" t="s">
        <v>913</v>
      </c>
      <c r="G72" s="21" t="s">
        <v>914</v>
      </c>
      <c r="H72" s="21" t="s">
        <v>3534</v>
      </c>
      <c r="I72" s="21">
        <v>49</v>
      </c>
      <c r="J72" s="89">
        <f t="shared" si="2"/>
        <v>6.0869565217391307E-2</v>
      </c>
      <c r="K72" s="94">
        <f>VLOOKUP(H72,'PCT data'!B:K,10,FALSE)</f>
        <v>0.97520705353611448</v>
      </c>
      <c r="L72" s="94">
        <f t="shared" si="3"/>
        <v>5.9360429345676535E-2</v>
      </c>
    </row>
    <row r="73" spans="1:12" x14ac:dyDescent="0.2">
      <c r="A73" s="21" t="s">
        <v>3528</v>
      </c>
      <c r="B73" s="21" t="s">
        <v>3716</v>
      </c>
      <c r="C73" s="21" t="s">
        <v>3717</v>
      </c>
      <c r="D73" s="21" t="s">
        <v>1902</v>
      </c>
      <c r="E73" s="21" t="s">
        <v>1903</v>
      </c>
      <c r="F73" s="21" t="s">
        <v>915</v>
      </c>
      <c r="G73" s="21" t="s">
        <v>916</v>
      </c>
      <c r="H73" s="21" t="s">
        <v>3534</v>
      </c>
      <c r="I73" s="21">
        <v>80</v>
      </c>
      <c r="J73" s="89">
        <f t="shared" si="2"/>
        <v>9.9378881987577633E-2</v>
      </c>
      <c r="K73" s="94">
        <f>VLOOKUP(H73,'PCT data'!B:K,10,FALSE)</f>
        <v>0.97520705353611448</v>
      </c>
      <c r="L73" s="94">
        <f t="shared" si="3"/>
        <v>9.6914986686818819E-2</v>
      </c>
    </row>
    <row r="74" spans="1:12" x14ac:dyDescent="0.2">
      <c r="A74" s="21" t="s">
        <v>3528</v>
      </c>
      <c r="B74" s="21" t="s">
        <v>3716</v>
      </c>
      <c r="C74" s="21" t="s">
        <v>3717</v>
      </c>
      <c r="D74" s="21" t="s">
        <v>1904</v>
      </c>
      <c r="E74" s="21" t="s">
        <v>1905</v>
      </c>
      <c r="F74" s="21" t="s">
        <v>917</v>
      </c>
      <c r="G74" s="21" t="s">
        <v>918</v>
      </c>
      <c r="H74" s="21" t="s">
        <v>3534</v>
      </c>
      <c r="I74" s="21">
        <v>676</v>
      </c>
      <c r="J74" s="89">
        <f t="shared" si="2"/>
        <v>0.83975155279503111</v>
      </c>
      <c r="K74" s="94">
        <f>VLOOKUP(H74,'PCT data'!B:K,10,FALSE)</f>
        <v>0.97520705353611448</v>
      </c>
      <c r="L74" s="94">
        <f t="shared" si="3"/>
        <v>0.81893163750361919</v>
      </c>
    </row>
    <row r="75" spans="1:12" x14ac:dyDescent="0.2">
      <c r="A75" s="21" t="s">
        <v>2975</v>
      </c>
      <c r="B75" s="21" t="s">
        <v>3378</v>
      </c>
      <c r="C75" s="21" t="s">
        <v>3379</v>
      </c>
      <c r="D75" s="21" t="s">
        <v>1906</v>
      </c>
      <c r="E75" s="21" t="s">
        <v>1907</v>
      </c>
      <c r="F75" s="21" t="s">
        <v>919</v>
      </c>
      <c r="G75" s="21" t="s">
        <v>920</v>
      </c>
      <c r="H75" s="21" t="s">
        <v>2979</v>
      </c>
      <c r="I75" s="21">
        <v>819</v>
      </c>
      <c r="J75" s="89">
        <f t="shared" si="2"/>
        <v>1</v>
      </c>
      <c r="K75" s="94">
        <f>VLOOKUP(H75,'PCT data'!B:K,10,FALSE)</f>
        <v>0.91550049923798604</v>
      </c>
      <c r="L75" s="94">
        <f t="shared" si="3"/>
        <v>0.91550049923798604</v>
      </c>
    </row>
    <row r="76" spans="1:12" x14ac:dyDescent="0.2">
      <c r="A76" s="21" t="s">
        <v>2975</v>
      </c>
      <c r="B76" s="21" t="s">
        <v>2324</v>
      </c>
      <c r="C76" s="21" t="s">
        <v>2325</v>
      </c>
      <c r="D76" s="21" t="s">
        <v>1908</v>
      </c>
      <c r="E76" s="21" t="s">
        <v>1909</v>
      </c>
      <c r="F76" s="21" t="s">
        <v>1068</v>
      </c>
      <c r="G76" s="21" t="s">
        <v>1069</v>
      </c>
      <c r="H76" s="21" t="s">
        <v>2991</v>
      </c>
      <c r="I76" s="21">
        <v>88</v>
      </c>
      <c r="J76" s="89">
        <f t="shared" si="2"/>
        <v>1</v>
      </c>
      <c r="K76" s="94">
        <f>VLOOKUP(H76,'PCT data'!B:K,10,FALSE)</f>
        <v>0.92545159162100765</v>
      </c>
      <c r="L76" s="94">
        <f t="shared" si="3"/>
        <v>0.92545159162100765</v>
      </c>
    </row>
    <row r="77" spans="1:12" x14ac:dyDescent="0.2">
      <c r="A77" s="21" t="s">
        <v>2975</v>
      </c>
      <c r="B77" s="21" t="s">
        <v>375</v>
      </c>
      <c r="C77" s="21" t="s">
        <v>376</v>
      </c>
      <c r="D77" s="21" t="s">
        <v>1910</v>
      </c>
      <c r="E77" s="21" t="s">
        <v>1911</v>
      </c>
      <c r="F77" s="21" t="s">
        <v>921</v>
      </c>
      <c r="G77" s="21" t="s">
        <v>922</v>
      </c>
      <c r="H77" s="21" t="s">
        <v>2979</v>
      </c>
      <c r="I77" s="21">
        <v>285</v>
      </c>
      <c r="J77" s="89">
        <f t="shared" si="2"/>
        <v>1</v>
      </c>
      <c r="K77" s="94">
        <f>VLOOKUP(H77,'PCT data'!B:K,10,FALSE)</f>
        <v>0.91550049923798604</v>
      </c>
      <c r="L77" s="94">
        <f t="shared" si="3"/>
        <v>0.91550049923798604</v>
      </c>
    </row>
    <row r="78" spans="1:12" x14ac:dyDescent="0.2">
      <c r="A78" s="21" t="s">
        <v>2975</v>
      </c>
      <c r="B78" s="21" t="s">
        <v>3872</v>
      </c>
      <c r="C78" s="21" t="s">
        <v>1912</v>
      </c>
      <c r="D78" s="21" t="s">
        <v>1913</v>
      </c>
      <c r="E78" s="21" t="s">
        <v>1914</v>
      </c>
      <c r="F78" s="21" t="s">
        <v>923</v>
      </c>
      <c r="G78" s="21" t="s">
        <v>920</v>
      </c>
      <c r="H78" s="21" t="s">
        <v>2979</v>
      </c>
      <c r="I78" s="21">
        <v>142</v>
      </c>
      <c r="J78" s="89">
        <f t="shared" si="2"/>
        <v>1</v>
      </c>
      <c r="K78" s="94">
        <f>VLOOKUP(H78,'PCT data'!B:K,10,FALSE)</f>
        <v>0.91550049923798604</v>
      </c>
      <c r="L78" s="94">
        <f t="shared" si="3"/>
        <v>0.91550049923798604</v>
      </c>
    </row>
    <row r="79" spans="1:12" x14ac:dyDescent="0.2">
      <c r="A79" s="21" t="s">
        <v>1167</v>
      </c>
      <c r="B79" s="21" t="s">
        <v>3388</v>
      </c>
      <c r="C79" s="21" t="s">
        <v>3389</v>
      </c>
      <c r="D79" s="21" t="s">
        <v>1915</v>
      </c>
      <c r="E79" s="21" t="s">
        <v>1916</v>
      </c>
      <c r="F79" s="21" t="s">
        <v>924</v>
      </c>
      <c r="G79" s="21" t="s">
        <v>925</v>
      </c>
      <c r="H79" s="21" t="s">
        <v>3464</v>
      </c>
      <c r="I79" s="21">
        <v>455</v>
      </c>
      <c r="J79" s="89">
        <f t="shared" si="2"/>
        <v>0.37234042553191488</v>
      </c>
      <c r="K79" s="94">
        <f>VLOOKUP(H79,'PCT data'!B:K,10,FALSE)</f>
        <v>1.0747179773663313</v>
      </c>
      <c r="L79" s="94">
        <f t="shared" si="3"/>
        <v>0.40016094901937865</v>
      </c>
    </row>
    <row r="80" spans="1:12" x14ac:dyDescent="0.2">
      <c r="A80" s="21" t="s">
        <v>1167</v>
      </c>
      <c r="B80" s="21" t="s">
        <v>3388</v>
      </c>
      <c r="C80" s="21" t="s">
        <v>3389</v>
      </c>
      <c r="D80" s="21" t="s">
        <v>1917</v>
      </c>
      <c r="E80" s="21" t="s">
        <v>1918</v>
      </c>
      <c r="F80" s="21" t="s">
        <v>926</v>
      </c>
      <c r="G80" s="21" t="s">
        <v>927</v>
      </c>
      <c r="H80" s="21" t="s">
        <v>1169</v>
      </c>
      <c r="I80" s="21">
        <v>767</v>
      </c>
      <c r="J80" s="89">
        <f t="shared" si="2"/>
        <v>0.62765957446808507</v>
      </c>
      <c r="K80" s="94">
        <f>VLOOKUP(H80,'PCT data'!B:K,10,FALSE)</f>
        <v>1.0249625154512234</v>
      </c>
      <c r="L80" s="94">
        <f t="shared" si="3"/>
        <v>0.64332753629385298</v>
      </c>
    </row>
    <row r="81" spans="1:12" x14ac:dyDescent="0.2">
      <c r="A81" s="21" t="s">
        <v>3034</v>
      </c>
      <c r="B81" s="21" t="s">
        <v>2265</v>
      </c>
      <c r="C81" s="21" t="s">
        <v>2266</v>
      </c>
      <c r="D81" s="21" t="s">
        <v>1919</v>
      </c>
      <c r="E81" s="21" t="s">
        <v>1920</v>
      </c>
      <c r="F81" s="21" t="s">
        <v>928</v>
      </c>
      <c r="G81" s="21" t="s">
        <v>929</v>
      </c>
      <c r="H81" s="21" t="s">
        <v>3038</v>
      </c>
      <c r="I81" s="21">
        <v>464</v>
      </c>
      <c r="J81" s="89">
        <f t="shared" si="2"/>
        <v>1</v>
      </c>
      <c r="K81" s="94">
        <f>VLOOKUP(H81,'PCT data'!B:K,10,FALSE)</f>
        <v>0.92545159162100765</v>
      </c>
      <c r="L81" s="94">
        <f t="shared" si="3"/>
        <v>0.92545159162100765</v>
      </c>
    </row>
    <row r="82" spans="1:12" x14ac:dyDescent="0.2">
      <c r="A82" s="21" t="s">
        <v>3034</v>
      </c>
      <c r="B82" s="21" t="s">
        <v>608</v>
      </c>
      <c r="C82" s="21" t="s">
        <v>609</v>
      </c>
      <c r="D82" s="21" t="s">
        <v>1921</v>
      </c>
      <c r="E82" s="21" t="s">
        <v>1922</v>
      </c>
      <c r="F82" s="21" t="s">
        <v>930</v>
      </c>
      <c r="G82" s="21" t="s">
        <v>931</v>
      </c>
      <c r="H82" s="21" t="s">
        <v>3066</v>
      </c>
      <c r="I82" s="21">
        <v>546</v>
      </c>
      <c r="J82" s="89">
        <f t="shared" si="2"/>
        <v>1</v>
      </c>
      <c r="K82" s="94">
        <f>VLOOKUP(H82,'PCT data'!B:K,10,FALSE)</f>
        <v>0.91550049923798604</v>
      </c>
      <c r="L82" s="94">
        <f t="shared" si="3"/>
        <v>0.91550049923798604</v>
      </c>
    </row>
    <row r="83" spans="1:12" x14ac:dyDescent="0.2">
      <c r="A83" s="21" t="s">
        <v>3069</v>
      </c>
      <c r="B83" s="21" t="s">
        <v>2320</v>
      </c>
      <c r="C83" s="21" t="s">
        <v>2321</v>
      </c>
      <c r="D83" s="21" t="s">
        <v>1923</v>
      </c>
      <c r="E83" s="21" t="s">
        <v>1924</v>
      </c>
      <c r="F83" s="21" t="s">
        <v>932</v>
      </c>
      <c r="G83" s="21" t="s">
        <v>933</v>
      </c>
      <c r="H83" s="21" t="s">
        <v>3071</v>
      </c>
      <c r="I83" s="21">
        <v>523</v>
      </c>
      <c r="J83" s="89">
        <f t="shared" si="2"/>
        <v>1</v>
      </c>
      <c r="K83" s="94">
        <f>VLOOKUP(H83,'PCT data'!B:K,10,FALSE)</f>
        <v>0.92545159162100765</v>
      </c>
      <c r="L83" s="94">
        <f t="shared" si="3"/>
        <v>0.92545159162100765</v>
      </c>
    </row>
    <row r="84" spans="1:12" x14ac:dyDescent="0.2">
      <c r="A84" s="21" t="s">
        <v>1167</v>
      </c>
      <c r="B84" s="21" t="s">
        <v>680</v>
      </c>
      <c r="C84" s="21" t="s">
        <v>681</v>
      </c>
      <c r="D84" s="21" t="s">
        <v>1925</v>
      </c>
      <c r="E84" s="21" t="s">
        <v>681</v>
      </c>
      <c r="F84" s="21" t="s">
        <v>934</v>
      </c>
      <c r="G84" s="21" t="s">
        <v>935</v>
      </c>
      <c r="H84" s="21" t="s">
        <v>3397</v>
      </c>
      <c r="I84" s="21">
        <v>428</v>
      </c>
      <c r="J84" s="89">
        <f t="shared" si="2"/>
        <v>1</v>
      </c>
      <c r="K84" s="94">
        <f>VLOOKUP(H84,'PCT data'!B:K,10,FALSE)</f>
        <v>1.1045712545153963</v>
      </c>
      <c r="L84" s="94">
        <f t="shared" si="3"/>
        <v>1.1045712545153963</v>
      </c>
    </row>
    <row r="85" spans="1:12" x14ac:dyDescent="0.2">
      <c r="A85" s="21" t="s">
        <v>1167</v>
      </c>
      <c r="B85" s="21" t="s">
        <v>552</v>
      </c>
      <c r="C85" s="21" t="s">
        <v>1926</v>
      </c>
      <c r="D85" s="21" t="s">
        <v>1927</v>
      </c>
      <c r="E85" s="21" t="s">
        <v>1928</v>
      </c>
      <c r="F85" s="21" t="s">
        <v>936</v>
      </c>
      <c r="G85" s="21" t="s">
        <v>937</v>
      </c>
      <c r="H85" s="21" t="s">
        <v>465</v>
      </c>
      <c r="I85" s="21">
        <v>485</v>
      </c>
      <c r="J85" s="89">
        <f t="shared" si="2"/>
        <v>0.33356258596973865</v>
      </c>
      <c r="K85" s="94">
        <f>VLOOKUP(H85,'PCT data'!B:K,10,FALSE)</f>
        <v>1.154326716430494</v>
      </c>
      <c r="L85" s="94">
        <f t="shared" si="3"/>
        <v>0.38504020458651278</v>
      </c>
    </row>
    <row r="86" spans="1:12" x14ac:dyDescent="0.2">
      <c r="A86" s="21" t="s">
        <v>1167</v>
      </c>
      <c r="B86" s="21" t="s">
        <v>552</v>
      </c>
      <c r="C86" s="21" t="s">
        <v>1929</v>
      </c>
      <c r="D86" s="21" t="s">
        <v>1930</v>
      </c>
      <c r="E86" s="21" t="s">
        <v>1931</v>
      </c>
      <c r="F86" s="21" t="s">
        <v>938</v>
      </c>
      <c r="G86" s="21" t="s">
        <v>939</v>
      </c>
      <c r="H86" s="21" t="s">
        <v>458</v>
      </c>
      <c r="I86" s="21">
        <v>81</v>
      </c>
      <c r="J86" s="89">
        <f t="shared" si="2"/>
        <v>5.5708390646492432E-2</v>
      </c>
      <c r="K86" s="94">
        <f>VLOOKUP(H86,'PCT data'!B:K,10,FALSE)</f>
        <v>1.1145223468984178</v>
      </c>
      <c r="L86" s="94">
        <f t="shared" si="3"/>
        <v>6.2088246285262612E-2</v>
      </c>
    </row>
    <row r="87" spans="1:12" x14ac:dyDescent="0.2">
      <c r="A87" s="21" t="s">
        <v>1167</v>
      </c>
      <c r="B87" s="21" t="s">
        <v>552</v>
      </c>
      <c r="C87" s="21" t="s">
        <v>1929</v>
      </c>
      <c r="D87" s="21" t="s">
        <v>1932</v>
      </c>
      <c r="E87" s="21" t="s">
        <v>1933</v>
      </c>
      <c r="F87" s="21" t="s">
        <v>940</v>
      </c>
      <c r="G87" s="21" t="s">
        <v>941</v>
      </c>
      <c r="H87" s="21" t="s">
        <v>458</v>
      </c>
      <c r="I87" s="21">
        <v>458</v>
      </c>
      <c r="J87" s="89">
        <f t="shared" si="2"/>
        <v>0.31499312242090782</v>
      </c>
      <c r="K87" s="94">
        <f>VLOOKUP(H87,'PCT data'!B:K,10,FALSE)</f>
        <v>1.1145223468984178</v>
      </c>
      <c r="L87" s="94">
        <f t="shared" si="3"/>
        <v>0.35106687405741083</v>
      </c>
    </row>
    <row r="88" spans="1:12" x14ac:dyDescent="0.2">
      <c r="A88" s="21" t="s">
        <v>1167</v>
      </c>
      <c r="B88" s="21" t="s">
        <v>689</v>
      </c>
      <c r="C88" s="21" t="s">
        <v>690</v>
      </c>
      <c r="D88" s="21" t="s">
        <v>1934</v>
      </c>
      <c r="E88" s="21" t="s">
        <v>811</v>
      </c>
      <c r="F88" s="21" t="s">
        <v>942</v>
      </c>
      <c r="G88" s="21" t="s">
        <v>943</v>
      </c>
      <c r="H88" s="21" t="s">
        <v>3494</v>
      </c>
      <c r="I88" s="21">
        <v>621</v>
      </c>
      <c r="J88" s="89">
        <f t="shared" si="2"/>
        <v>1</v>
      </c>
      <c r="K88" s="94">
        <f>VLOOKUP(H88,'PCT data'!B:K,10,FALSE)</f>
        <v>1.1145223468984178</v>
      </c>
      <c r="L88" s="94">
        <f t="shared" si="3"/>
        <v>1.1145223468984178</v>
      </c>
    </row>
    <row r="89" spans="1:12" x14ac:dyDescent="0.2">
      <c r="A89" s="21" t="s">
        <v>1127</v>
      </c>
      <c r="B89" s="21" t="s">
        <v>3690</v>
      </c>
      <c r="C89" s="21" t="s">
        <v>3691</v>
      </c>
      <c r="D89" s="21" t="s">
        <v>812</v>
      </c>
      <c r="E89" s="21" t="s">
        <v>813</v>
      </c>
      <c r="F89" s="21" t="s">
        <v>944</v>
      </c>
      <c r="G89" s="21" t="s">
        <v>945</v>
      </c>
      <c r="H89" s="21" t="s">
        <v>1133</v>
      </c>
      <c r="I89" s="21">
        <v>235</v>
      </c>
      <c r="J89" s="89">
        <f t="shared" si="2"/>
        <v>1</v>
      </c>
      <c r="K89" s="94">
        <f>VLOOKUP(H89,'PCT data'!B:K,10,FALSE)</f>
        <v>0.97520705353611448</v>
      </c>
      <c r="L89" s="94">
        <f t="shared" si="3"/>
        <v>0.97520705353611448</v>
      </c>
    </row>
    <row r="90" spans="1:12" x14ac:dyDescent="0.2">
      <c r="A90" s="21" t="s">
        <v>1127</v>
      </c>
      <c r="B90" s="21" t="s">
        <v>3696</v>
      </c>
      <c r="C90" s="21" t="s">
        <v>3697</v>
      </c>
      <c r="D90" s="21" t="s">
        <v>814</v>
      </c>
      <c r="E90" s="21" t="s">
        <v>815</v>
      </c>
      <c r="F90" s="21" t="s">
        <v>946</v>
      </c>
      <c r="G90" s="21" t="s">
        <v>947</v>
      </c>
      <c r="H90" s="21" t="s">
        <v>2124</v>
      </c>
      <c r="I90" s="21">
        <v>32</v>
      </c>
      <c r="J90" s="89">
        <f t="shared" si="2"/>
        <v>4.930662557781202E-2</v>
      </c>
      <c r="K90" s="94">
        <f>VLOOKUP(H90,'PCT data'!B:K,10,FALSE)</f>
        <v>0.90554940685496443</v>
      </c>
      <c r="L90" s="94">
        <f t="shared" si="3"/>
        <v>4.4649585546007495E-2</v>
      </c>
    </row>
    <row r="91" spans="1:12" x14ac:dyDescent="0.2">
      <c r="A91" s="21" t="s">
        <v>1127</v>
      </c>
      <c r="B91" s="21" t="s">
        <v>3696</v>
      </c>
      <c r="C91" s="21" t="s">
        <v>3697</v>
      </c>
      <c r="D91" s="21" t="s">
        <v>816</v>
      </c>
      <c r="E91" s="21" t="s">
        <v>817</v>
      </c>
      <c r="F91" s="21" t="s">
        <v>948</v>
      </c>
      <c r="G91" s="21" t="s">
        <v>949</v>
      </c>
      <c r="H91" s="21" t="s">
        <v>1157</v>
      </c>
      <c r="I91" s="21">
        <v>106</v>
      </c>
      <c r="J91" s="89">
        <f t="shared" si="2"/>
        <v>0.1633281972265023</v>
      </c>
      <c r="K91" s="94">
        <f>VLOOKUP(H91,'PCT data'!B:K,10,FALSE)</f>
        <v>0.94535377638704965</v>
      </c>
      <c r="L91" s="94">
        <f t="shared" si="3"/>
        <v>0.15440292803856279</v>
      </c>
    </row>
    <row r="92" spans="1:12" x14ac:dyDescent="0.2">
      <c r="A92" s="21" t="s">
        <v>1127</v>
      </c>
      <c r="B92" s="21" t="s">
        <v>3696</v>
      </c>
      <c r="C92" s="21" t="s">
        <v>3697</v>
      </c>
      <c r="D92" s="21" t="s">
        <v>818</v>
      </c>
      <c r="E92" s="21" t="s">
        <v>819</v>
      </c>
      <c r="F92" s="21" t="s">
        <v>950</v>
      </c>
      <c r="G92" s="21" t="s">
        <v>951</v>
      </c>
      <c r="H92" s="21" t="s">
        <v>1157</v>
      </c>
      <c r="I92" s="21">
        <v>154</v>
      </c>
      <c r="J92" s="89">
        <f t="shared" si="2"/>
        <v>0.23728813559322035</v>
      </c>
      <c r="K92" s="94">
        <f>VLOOKUP(H92,'PCT data'!B:K,10,FALSE)</f>
        <v>0.94535377638704965</v>
      </c>
      <c r="L92" s="94">
        <f t="shared" si="3"/>
        <v>0.22432123507489315</v>
      </c>
    </row>
    <row r="93" spans="1:12" x14ac:dyDescent="0.2">
      <c r="A93" s="21" t="s">
        <v>1127</v>
      </c>
      <c r="B93" s="21" t="s">
        <v>3696</v>
      </c>
      <c r="C93" s="21" t="s">
        <v>3697</v>
      </c>
      <c r="D93" s="21" t="s">
        <v>820</v>
      </c>
      <c r="E93" s="21" t="s">
        <v>821</v>
      </c>
      <c r="F93" s="21" t="s">
        <v>952</v>
      </c>
      <c r="G93" s="21" t="s">
        <v>949</v>
      </c>
      <c r="H93" s="21" t="s">
        <v>1157</v>
      </c>
      <c r="I93" s="21">
        <v>357</v>
      </c>
      <c r="J93" s="89">
        <f t="shared" si="2"/>
        <v>0.55007704160246529</v>
      </c>
      <c r="K93" s="94">
        <f>VLOOKUP(H93,'PCT data'!B:K,10,FALSE)</f>
        <v>0.94535377638704965</v>
      </c>
      <c r="L93" s="94">
        <f t="shared" si="3"/>
        <v>0.52001740858270673</v>
      </c>
    </row>
    <row r="94" spans="1:12" x14ac:dyDescent="0.2">
      <c r="A94" s="21" t="s">
        <v>1127</v>
      </c>
      <c r="B94" s="21" t="s">
        <v>1336</v>
      </c>
      <c r="C94" s="21" t="s">
        <v>1337</v>
      </c>
      <c r="D94" s="21" t="s">
        <v>822</v>
      </c>
      <c r="E94" s="21" t="s">
        <v>823</v>
      </c>
      <c r="F94" s="21" t="s">
        <v>953</v>
      </c>
      <c r="G94" s="21" t="s">
        <v>954</v>
      </c>
      <c r="H94" s="21" t="s">
        <v>1147</v>
      </c>
      <c r="I94" s="21">
        <v>35</v>
      </c>
      <c r="J94" s="89">
        <f t="shared" si="2"/>
        <v>7.0000000000000007E-2</v>
      </c>
      <c r="K94" s="94">
        <f>VLOOKUP(H94,'PCT data'!B:K,10,FALSE)</f>
        <v>0.91550049923798604</v>
      </c>
      <c r="L94" s="94">
        <f t="shared" si="3"/>
        <v>6.4085034946659028E-2</v>
      </c>
    </row>
    <row r="95" spans="1:12" x14ac:dyDescent="0.2">
      <c r="A95" s="21" t="s">
        <v>1127</v>
      </c>
      <c r="B95" s="21" t="s">
        <v>1336</v>
      </c>
      <c r="C95" s="21" t="s">
        <v>1337</v>
      </c>
      <c r="D95" s="21" t="s">
        <v>824</v>
      </c>
      <c r="E95" s="21" t="s">
        <v>825</v>
      </c>
      <c r="F95" s="21" t="s">
        <v>955</v>
      </c>
      <c r="G95" s="21" t="s">
        <v>956</v>
      </c>
      <c r="H95" s="21" t="s">
        <v>1147</v>
      </c>
      <c r="I95" s="21">
        <v>465</v>
      </c>
      <c r="J95" s="89">
        <f t="shared" si="2"/>
        <v>0.93</v>
      </c>
      <c r="K95" s="94">
        <f>VLOOKUP(H95,'PCT data'!B:K,10,FALSE)</f>
        <v>0.91550049923798604</v>
      </c>
      <c r="L95" s="94">
        <f t="shared" si="3"/>
        <v>0.85141546429132708</v>
      </c>
    </row>
    <row r="96" spans="1:12" x14ac:dyDescent="0.2">
      <c r="A96" s="21" t="s">
        <v>1127</v>
      </c>
      <c r="B96" s="21" t="s">
        <v>1334</v>
      </c>
      <c r="C96" s="21" t="s">
        <v>1335</v>
      </c>
      <c r="D96" s="21" t="s">
        <v>826</v>
      </c>
      <c r="E96" s="21" t="s">
        <v>827</v>
      </c>
      <c r="F96" s="21" t="s">
        <v>957</v>
      </c>
      <c r="G96" s="21" t="s">
        <v>958</v>
      </c>
      <c r="H96" s="21" t="s">
        <v>1145</v>
      </c>
      <c r="I96" s="21">
        <v>610</v>
      </c>
      <c r="J96" s="89">
        <f t="shared" si="2"/>
        <v>1</v>
      </c>
      <c r="K96" s="94">
        <f>VLOOKUP(H96,'PCT data'!B:K,10,FALSE)</f>
        <v>0.94535377638704965</v>
      </c>
      <c r="L96" s="94">
        <f t="shared" si="3"/>
        <v>0.94535377638704965</v>
      </c>
    </row>
    <row r="97" spans="1:12" x14ac:dyDescent="0.2">
      <c r="A97" s="21" t="s">
        <v>1127</v>
      </c>
      <c r="B97" s="21" t="s">
        <v>683</v>
      </c>
      <c r="C97" s="21" t="s">
        <v>684</v>
      </c>
      <c r="D97" s="21" t="s">
        <v>828</v>
      </c>
      <c r="E97" s="21" t="s">
        <v>829</v>
      </c>
      <c r="F97" s="21" t="s">
        <v>959</v>
      </c>
      <c r="G97" s="21" t="s">
        <v>960</v>
      </c>
      <c r="H97" s="21" t="s">
        <v>1145</v>
      </c>
      <c r="I97" s="21">
        <v>484</v>
      </c>
      <c r="J97" s="89">
        <f t="shared" si="2"/>
        <v>1</v>
      </c>
      <c r="K97" s="94">
        <f>VLOOKUP(H97,'PCT data'!B:K,10,FALSE)</f>
        <v>0.94535377638704965</v>
      </c>
      <c r="L97" s="94">
        <f t="shared" si="3"/>
        <v>0.94535377638704965</v>
      </c>
    </row>
    <row r="98" spans="1:12" x14ac:dyDescent="0.2">
      <c r="A98" s="21" t="s">
        <v>1127</v>
      </c>
      <c r="B98" s="21" t="s">
        <v>2302</v>
      </c>
      <c r="C98" s="21" t="s">
        <v>2303</v>
      </c>
      <c r="D98" s="21" t="s">
        <v>830</v>
      </c>
      <c r="E98" s="21" t="s">
        <v>831</v>
      </c>
      <c r="F98" s="21" t="s">
        <v>961</v>
      </c>
      <c r="G98" s="21" t="s">
        <v>962</v>
      </c>
      <c r="H98" s="21" t="s">
        <v>1133</v>
      </c>
      <c r="I98" s="21">
        <v>1114</v>
      </c>
      <c r="J98" s="89">
        <f t="shared" si="2"/>
        <v>1</v>
      </c>
      <c r="K98" s="94">
        <f>VLOOKUP(H98,'PCT data'!B:K,10,FALSE)</f>
        <v>0.97520705353611448</v>
      </c>
      <c r="L98" s="94">
        <f t="shared" si="3"/>
        <v>0.97520705353611448</v>
      </c>
    </row>
    <row r="99" spans="1:12" x14ac:dyDescent="0.2">
      <c r="A99" s="21" t="s">
        <v>1167</v>
      </c>
      <c r="B99" s="21" t="s">
        <v>552</v>
      </c>
      <c r="C99" s="21" t="s">
        <v>832</v>
      </c>
      <c r="D99" s="21" t="s">
        <v>833</v>
      </c>
      <c r="E99" s="21" t="s">
        <v>834</v>
      </c>
      <c r="F99" s="21" t="s">
        <v>963</v>
      </c>
      <c r="G99" s="21" t="s">
        <v>964</v>
      </c>
      <c r="H99" s="21" t="s">
        <v>3474</v>
      </c>
      <c r="I99" s="21">
        <v>430</v>
      </c>
      <c r="J99" s="89">
        <f t="shared" si="2"/>
        <v>0.29573590096286106</v>
      </c>
      <c r="K99" s="94">
        <f>VLOOKUP(H99,'PCT data'!B:K,10,FALSE)</f>
        <v>1.1443756240474725</v>
      </c>
      <c r="L99" s="94">
        <f t="shared" si="3"/>
        <v>0.33843295621761565</v>
      </c>
    </row>
    <row r="100" spans="1:12" x14ac:dyDescent="0.2">
      <c r="A100" s="21" t="s">
        <v>3528</v>
      </c>
      <c r="B100" s="21" t="s">
        <v>3718</v>
      </c>
      <c r="C100" s="21" t="s">
        <v>3719</v>
      </c>
      <c r="D100" s="21" t="s">
        <v>835</v>
      </c>
      <c r="E100" s="21" t="s">
        <v>836</v>
      </c>
      <c r="F100" s="21" t="s">
        <v>965</v>
      </c>
      <c r="G100" s="21" t="s">
        <v>966</v>
      </c>
      <c r="H100" s="21" t="s">
        <v>3536</v>
      </c>
      <c r="I100" s="21">
        <v>8</v>
      </c>
      <c r="J100" s="89">
        <f t="shared" si="2"/>
        <v>9.9132589838909543E-3</v>
      </c>
      <c r="K100" s="94">
        <f>VLOOKUP(H100,'PCT data'!B:K,10,FALSE)</f>
        <v>0.95530486877007126</v>
      </c>
      <c r="L100" s="94">
        <f t="shared" si="3"/>
        <v>9.4701845726896782E-3</v>
      </c>
    </row>
    <row r="101" spans="1:12" x14ac:dyDescent="0.2">
      <c r="A101" s="21" t="s">
        <v>3528</v>
      </c>
      <c r="B101" s="21" t="s">
        <v>3718</v>
      </c>
      <c r="C101" s="21" t="s">
        <v>3719</v>
      </c>
      <c r="D101" s="21" t="s">
        <v>837</v>
      </c>
      <c r="E101" s="21" t="s">
        <v>838</v>
      </c>
      <c r="F101" s="21" t="s">
        <v>967</v>
      </c>
      <c r="G101" s="21" t="s">
        <v>968</v>
      </c>
      <c r="H101" s="21" t="s">
        <v>3536</v>
      </c>
      <c r="I101" s="21">
        <v>10</v>
      </c>
      <c r="J101" s="89">
        <f t="shared" si="2"/>
        <v>1.2391573729863693E-2</v>
      </c>
      <c r="K101" s="94">
        <f>VLOOKUP(H101,'PCT data'!B:K,10,FALSE)</f>
        <v>0.95530486877007126</v>
      </c>
      <c r="L101" s="94">
        <f t="shared" si="3"/>
        <v>1.1837730715862098E-2</v>
      </c>
    </row>
    <row r="102" spans="1:12" x14ac:dyDescent="0.2">
      <c r="A102" s="21" t="s">
        <v>3528</v>
      </c>
      <c r="B102" s="21" t="s">
        <v>3718</v>
      </c>
      <c r="C102" s="21" t="s">
        <v>3719</v>
      </c>
      <c r="D102" s="21" t="s">
        <v>839</v>
      </c>
      <c r="E102" s="21" t="s">
        <v>840</v>
      </c>
      <c r="F102" s="21" t="s">
        <v>969</v>
      </c>
      <c r="G102" s="21" t="s">
        <v>970</v>
      </c>
      <c r="H102" s="21" t="s">
        <v>3536</v>
      </c>
      <c r="I102" s="21">
        <v>789</v>
      </c>
      <c r="J102" s="89">
        <f t="shared" si="2"/>
        <v>0.97769516728624539</v>
      </c>
      <c r="K102" s="94">
        <f>VLOOKUP(H102,'PCT data'!B:K,10,FALSE)</f>
        <v>0.95530486877007126</v>
      </c>
      <c r="L102" s="94">
        <f t="shared" si="3"/>
        <v>0.93399695348151957</v>
      </c>
    </row>
    <row r="103" spans="1:12" x14ac:dyDescent="0.2">
      <c r="A103" s="21" t="s">
        <v>191</v>
      </c>
      <c r="B103" s="21" t="s">
        <v>567</v>
      </c>
      <c r="C103" s="21" t="s">
        <v>568</v>
      </c>
      <c r="D103" s="21" t="s">
        <v>841</v>
      </c>
      <c r="E103" s="21" t="s">
        <v>842</v>
      </c>
      <c r="F103" s="21" t="s">
        <v>971</v>
      </c>
      <c r="G103" s="21" t="s">
        <v>972</v>
      </c>
      <c r="H103" s="21" t="s">
        <v>3527</v>
      </c>
      <c r="I103" s="21">
        <v>1037</v>
      </c>
      <c r="J103" s="89">
        <f t="shared" si="2"/>
        <v>1</v>
      </c>
      <c r="K103" s="94">
        <f>VLOOKUP(H103,'PCT data'!B:K,10,FALSE)</f>
        <v>1.0150114230682019</v>
      </c>
      <c r="L103" s="94">
        <f t="shared" si="3"/>
        <v>1.0150114230682019</v>
      </c>
    </row>
    <row r="104" spans="1:12" x14ac:dyDescent="0.2">
      <c r="A104" s="21" t="s">
        <v>3034</v>
      </c>
      <c r="B104" s="21" t="s">
        <v>2778</v>
      </c>
      <c r="C104" s="21" t="s">
        <v>2779</v>
      </c>
      <c r="D104" s="21" t="s">
        <v>843</v>
      </c>
      <c r="E104" s="21" t="s">
        <v>844</v>
      </c>
      <c r="F104" s="21" t="s">
        <v>973</v>
      </c>
      <c r="G104" s="21" t="s">
        <v>882</v>
      </c>
      <c r="H104" s="21" t="s">
        <v>3061</v>
      </c>
      <c r="I104" s="21">
        <v>101</v>
      </c>
      <c r="J104" s="89">
        <f t="shared" si="2"/>
        <v>5.0500000000000003E-2</v>
      </c>
      <c r="K104" s="94">
        <f>VLOOKUP(H104,'PCT data'!B:K,10,FALSE)</f>
        <v>0.98515814591913609</v>
      </c>
      <c r="L104" s="94">
        <f t="shared" si="3"/>
        <v>4.9750486368916373E-2</v>
      </c>
    </row>
    <row r="105" spans="1:12" x14ac:dyDescent="0.2">
      <c r="A105" s="21" t="s">
        <v>3034</v>
      </c>
      <c r="B105" s="21" t="s">
        <v>2778</v>
      </c>
      <c r="C105" s="21" t="s">
        <v>2779</v>
      </c>
      <c r="D105" s="21" t="s">
        <v>845</v>
      </c>
      <c r="E105" s="21" t="s">
        <v>846</v>
      </c>
      <c r="F105" s="21" t="s">
        <v>974</v>
      </c>
      <c r="G105" s="21" t="s">
        <v>882</v>
      </c>
      <c r="H105" s="21" t="s">
        <v>3061</v>
      </c>
      <c r="I105" s="21">
        <v>789</v>
      </c>
      <c r="J105" s="89">
        <f t="shared" si="2"/>
        <v>0.39450000000000002</v>
      </c>
      <c r="K105" s="94">
        <f>VLOOKUP(H105,'PCT data'!B:K,10,FALSE)</f>
        <v>0.98515814591913609</v>
      </c>
      <c r="L105" s="94">
        <f t="shared" si="3"/>
        <v>0.38864488856509921</v>
      </c>
    </row>
    <row r="106" spans="1:12" x14ac:dyDescent="0.2">
      <c r="A106" s="21" t="s">
        <v>3034</v>
      </c>
      <c r="B106" s="21" t="s">
        <v>2778</v>
      </c>
      <c r="C106" s="21" t="s">
        <v>2779</v>
      </c>
      <c r="D106" s="21" t="s">
        <v>847</v>
      </c>
      <c r="E106" s="21" t="s">
        <v>848</v>
      </c>
      <c r="F106" s="21" t="s">
        <v>879</v>
      </c>
      <c r="G106" s="21" t="s">
        <v>880</v>
      </c>
      <c r="H106" s="21" t="s">
        <v>3061</v>
      </c>
      <c r="I106" s="21">
        <v>1110</v>
      </c>
      <c r="J106" s="89">
        <f t="shared" si="2"/>
        <v>0.55500000000000005</v>
      </c>
      <c r="K106" s="94">
        <f>VLOOKUP(H106,'PCT data'!B:K,10,FALSE)</f>
        <v>0.98515814591913609</v>
      </c>
      <c r="L106" s="94">
        <f t="shared" si="3"/>
        <v>0.54676277098512061</v>
      </c>
    </row>
    <row r="107" spans="1:12" x14ac:dyDescent="0.2">
      <c r="A107" s="21" t="s">
        <v>191</v>
      </c>
      <c r="B107" s="21" t="s">
        <v>3702</v>
      </c>
      <c r="C107" s="21" t="s">
        <v>3703</v>
      </c>
      <c r="D107" s="21" t="s">
        <v>849</v>
      </c>
      <c r="E107" s="21" t="s">
        <v>850</v>
      </c>
      <c r="F107" s="21" t="s">
        <v>975</v>
      </c>
      <c r="G107" s="21" t="s">
        <v>976</v>
      </c>
      <c r="H107" s="21" t="s">
        <v>205</v>
      </c>
      <c r="I107" s="21">
        <v>381</v>
      </c>
      <c r="J107" s="89">
        <f t="shared" si="2"/>
        <v>0.36285714285714288</v>
      </c>
      <c r="K107" s="94">
        <f>VLOOKUP(H107,'PCT data'!B:K,10,FALSE)</f>
        <v>0.98515814591913609</v>
      </c>
      <c r="L107" s="94">
        <f t="shared" si="3"/>
        <v>0.35747167009065794</v>
      </c>
    </row>
    <row r="108" spans="1:12" x14ac:dyDescent="0.2">
      <c r="A108" s="21" t="s">
        <v>191</v>
      </c>
      <c r="B108" s="21" t="s">
        <v>3702</v>
      </c>
      <c r="C108" s="21" t="s">
        <v>3703</v>
      </c>
      <c r="D108" s="21" t="s">
        <v>851</v>
      </c>
      <c r="E108" s="21" t="s">
        <v>852</v>
      </c>
      <c r="F108" s="21" t="s">
        <v>977</v>
      </c>
      <c r="G108" s="21" t="s">
        <v>978</v>
      </c>
      <c r="H108" s="21" t="s">
        <v>205</v>
      </c>
      <c r="I108" s="21">
        <v>669</v>
      </c>
      <c r="J108" s="89">
        <f t="shared" si="2"/>
        <v>0.63714285714285712</v>
      </c>
      <c r="K108" s="94">
        <f>VLOOKUP(H108,'PCT data'!B:K,10,FALSE)</f>
        <v>0.98515814591913609</v>
      </c>
      <c r="L108" s="94">
        <f t="shared" si="3"/>
        <v>0.62768647582847814</v>
      </c>
    </row>
    <row r="109" spans="1:12" x14ac:dyDescent="0.2">
      <c r="A109" s="21" t="s">
        <v>191</v>
      </c>
      <c r="B109" s="21" t="s">
        <v>3710</v>
      </c>
      <c r="C109" s="21" t="s">
        <v>3711</v>
      </c>
      <c r="D109" s="21" t="s">
        <v>853</v>
      </c>
      <c r="E109" s="21" t="s">
        <v>854</v>
      </c>
      <c r="F109" s="21" t="s">
        <v>979</v>
      </c>
      <c r="G109" s="21" t="s">
        <v>980</v>
      </c>
      <c r="H109" s="21" t="s">
        <v>3524</v>
      </c>
      <c r="I109" s="21">
        <v>547</v>
      </c>
      <c r="J109" s="89">
        <f t="shared" si="2"/>
        <v>1</v>
      </c>
      <c r="K109" s="94">
        <f>VLOOKUP(H109,'PCT data'!B:K,10,FALSE)</f>
        <v>1.0349136078342451</v>
      </c>
      <c r="L109" s="94">
        <f t="shared" si="3"/>
        <v>1.0349136078342451</v>
      </c>
    </row>
    <row r="110" spans="1:12" x14ac:dyDescent="0.2">
      <c r="A110" s="21" t="s">
        <v>1167</v>
      </c>
      <c r="B110" s="21" t="s">
        <v>2381</v>
      </c>
      <c r="C110" s="21" t="s">
        <v>2382</v>
      </c>
      <c r="D110" s="21" t="s">
        <v>855</v>
      </c>
      <c r="E110" s="21" t="s">
        <v>856</v>
      </c>
      <c r="F110" s="21" t="s">
        <v>981</v>
      </c>
      <c r="G110" s="21" t="s">
        <v>982</v>
      </c>
      <c r="H110" s="21" t="s">
        <v>3447</v>
      </c>
      <c r="I110" s="21">
        <v>266</v>
      </c>
      <c r="J110" s="89">
        <f t="shared" si="2"/>
        <v>0.23942394239423942</v>
      </c>
      <c r="K110" s="94">
        <f>VLOOKUP(H110,'PCT data'!B:K,10,FALSE)</f>
        <v>1.2140332707286337</v>
      </c>
      <c r="L110" s="94">
        <f t="shared" si="3"/>
        <v>0.29066863187562247</v>
      </c>
    </row>
    <row r="111" spans="1:12" x14ac:dyDescent="0.2">
      <c r="A111" s="21" t="s">
        <v>1167</v>
      </c>
      <c r="B111" s="21" t="s">
        <v>2381</v>
      </c>
      <c r="C111" s="21" t="s">
        <v>2382</v>
      </c>
      <c r="D111" s="21" t="s">
        <v>857</v>
      </c>
      <c r="E111" s="21" t="s">
        <v>719</v>
      </c>
      <c r="F111" s="21" t="s">
        <v>983</v>
      </c>
      <c r="G111" s="21" t="s">
        <v>984</v>
      </c>
      <c r="H111" s="21" t="s">
        <v>3453</v>
      </c>
      <c r="I111" s="21">
        <v>845</v>
      </c>
      <c r="J111" s="89">
        <f t="shared" si="2"/>
        <v>0.76057605760576052</v>
      </c>
      <c r="K111" s="94">
        <f>VLOOKUP(H111,'PCT data'!B:K,10,FALSE)</f>
        <v>1.2140332707286337</v>
      </c>
      <c r="L111" s="94">
        <f t="shared" si="3"/>
        <v>0.92336463885301112</v>
      </c>
    </row>
    <row r="112" spans="1:12" x14ac:dyDescent="0.2">
      <c r="A112" s="21" t="s">
        <v>1167</v>
      </c>
      <c r="B112" s="21" t="s">
        <v>600</v>
      </c>
      <c r="C112" s="21" t="s">
        <v>601</v>
      </c>
      <c r="D112" s="21" t="s">
        <v>720</v>
      </c>
      <c r="E112" s="21" t="s">
        <v>721</v>
      </c>
      <c r="F112" s="21" t="s">
        <v>985</v>
      </c>
      <c r="G112" s="21" t="s">
        <v>986</v>
      </c>
      <c r="H112" s="21" t="s">
        <v>3482</v>
      </c>
      <c r="I112" s="21">
        <v>459</v>
      </c>
      <c r="J112" s="89">
        <f t="shared" si="2"/>
        <v>1</v>
      </c>
      <c r="K112" s="94">
        <f>VLOOKUP(H112,'PCT data'!B:K,10,FALSE)</f>
        <v>1.1145223468984178</v>
      </c>
      <c r="L112" s="94">
        <f t="shared" si="3"/>
        <v>1.1145223468984178</v>
      </c>
    </row>
    <row r="113" spans="1:12" x14ac:dyDescent="0.2">
      <c r="A113" s="21" t="s">
        <v>1167</v>
      </c>
      <c r="B113" s="21" t="s">
        <v>385</v>
      </c>
      <c r="C113" s="21" t="s">
        <v>386</v>
      </c>
      <c r="D113" s="21" t="s">
        <v>722</v>
      </c>
      <c r="E113" s="21" t="s">
        <v>723</v>
      </c>
      <c r="F113" s="21" t="s">
        <v>987</v>
      </c>
      <c r="G113" s="21" t="s">
        <v>988</v>
      </c>
      <c r="H113" s="21" t="s">
        <v>3458</v>
      </c>
      <c r="I113" s="21">
        <v>633</v>
      </c>
      <c r="J113" s="89">
        <f t="shared" si="2"/>
        <v>1</v>
      </c>
      <c r="K113" s="94">
        <f>VLOOKUP(H113,'PCT data'!B:K,10,FALSE)</f>
        <v>1.154326716430494</v>
      </c>
      <c r="L113" s="94">
        <f t="shared" si="3"/>
        <v>1.154326716430494</v>
      </c>
    </row>
    <row r="114" spans="1:12" x14ac:dyDescent="0.2">
      <c r="A114" s="21" t="s">
        <v>1167</v>
      </c>
      <c r="B114" s="21" t="s">
        <v>573</v>
      </c>
      <c r="C114" s="21" t="s">
        <v>574</v>
      </c>
      <c r="D114" s="21" t="s">
        <v>724</v>
      </c>
      <c r="E114" s="21" t="s">
        <v>725</v>
      </c>
      <c r="F114" s="21" t="s">
        <v>989</v>
      </c>
      <c r="G114" s="21" t="s">
        <v>990</v>
      </c>
      <c r="H114" s="21" t="s">
        <v>3444</v>
      </c>
      <c r="I114" s="21">
        <v>32</v>
      </c>
      <c r="J114" s="89">
        <f t="shared" si="2"/>
        <v>3.292181069958848E-2</v>
      </c>
      <c r="K114" s="94">
        <f>VLOOKUP(H114,'PCT data'!B:K,10,FALSE)</f>
        <v>1.1443756240474725</v>
      </c>
      <c r="L114" s="94">
        <f t="shared" si="3"/>
        <v>3.7674917664114321E-2</v>
      </c>
    </row>
    <row r="115" spans="1:12" x14ac:dyDescent="0.2">
      <c r="A115" s="21" t="s">
        <v>1167</v>
      </c>
      <c r="B115" s="21" t="s">
        <v>573</v>
      </c>
      <c r="C115" s="21" t="s">
        <v>574</v>
      </c>
      <c r="D115" s="21" t="s">
        <v>726</v>
      </c>
      <c r="E115" s="21" t="s">
        <v>727</v>
      </c>
      <c r="F115" s="21" t="s">
        <v>991</v>
      </c>
      <c r="G115" s="21" t="s">
        <v>992</v>
      </c>
      <c r="H115" s="21" t="s">
        <v>3476</v>
      </c>
      <c r="I115" s="21">
        <v>940</v>
      </c>
      <c r="J115" s="89">
        <f t="shared" si="2"/>
        <v>0.96707818930041156</v>
      </c>
      <c r="K115" s="94">
        <f>VLOOKUP(H115,'PCT data'!B:K,10,FALSE)</f>
        <v>1.2040821783456119</v>
      </c>
      <c r="L115" s="94">
        <f t="shared" si="3"/>
        <v>1.1644416128033697</v>
      </c>
    </row>
    <row r="116" spans="1:12" x14ac:dyDescent="0.2">
      <c r="A116" s="21" t="s">
        <v>3528</v>
      </c>
      <c r="B116" s="21" t="s">
        <v>1</v>
      </c>
      <c r="C116" s="21" t="s">
        <v>2</v>
      </c>
      <c r="D116" s="21" t="s">
        <v>728</v>
      </c>
      <c r="E116" s="21" t="s">
        <v>729</v>
      </c>
      <c r="F116" s="21" t="s">
        <v>993</v>
      </c>
      <c r="G116" s="21" t="s">
        <v>994</v>
      </c>
      <c r="H116" s="21" t="s">
        <v>3534</v>
      </c>
      <c r="I116" s="21">
        <v>34</v>
      </c>
      <c r="J116" s="89">
        <f t="shared" si="2"/>
        <v>0.20359281437125748</v>
      </c>
      <c r="K116" s="94">
        <f>VLOOKUP(H116,'PCT data'!B:K,10,FALSE)</f>
        <v>0.97520705353611448</v>
      </c>
      <c r="L116" s="94">
        <f t="shared" si="3"/>
        <v>0.19854514862411912</v>
      </c>
    </row>
    <row r="117" spans="1:12" x14ac:dyDescent="0.2">
      <c r="A117" s="21" t="s">
        <v>3528</v>
      </c>
      <c r="B117" s="21" t="s">
        <v>1</v>
      </c>
      <c r="C117" s="21" t="s">
        <v>2</v>
      </c>
      <c r="D117" s="21" t="s">
        <v>730</v>
      </c>
      <c r="E117" s="21" t="s">
        <v>731</v>
      </c>
      <c r="F117" s="21" t="s">
        <v>993</v>
      </c>
      <c r="G117" s="21" t="s">
        <v>994</v>
      </c>
      <c r="H117" s="21" t="s">
        <v>3534</v>
      </c>
      <c r="I117" s="21">
        <v>50</v>
      </c>
      <c r="J117" s="89">
        <f t="shared" si="2"/>
        <v>0.29940119760479039</v>
      </c>
      <c r="K117" s="94">
        <f>VLOOKUP(H117,'PCT data'!B:K,10,FALSE)</f>
        <v>0.97520705353611448</v>
      </c>
      <c r="L117" s="94">
        <f t="shared" si="3"/>
        <v>0.29197815974135161</v>
      </c>
    </row>
    <row r="118" spans="1:12" x14ac:dyDescent="0.2">
      <c r="A118" s="21" t="s">
        <v>3528</v>
      </c>
      <c r="B118" s="21" t="s">
        <v>1</v>
      </c>
      <c r="C118" s="21" t="s">
        <v>2</v>
      </c>
      <c r="D118" s="21" t="s">
        <v>732</v>
      </c>
      <c r="E118" s="21" t="s">
        <v>733</v>
      </c>
      <c r="F118" s="21" t="s">
        <v>995</v>
      </c>
      <c r="G118" s="21" t="s">
        <v>996</v>
      </c>
      <c r="H118" s="21" t="s">
        <v>3534</v>
      </c>
      <c r="I118" s="21">
        <v>83</v>
      </c>
      <c r="J118" s="89">
        <f t="shared" si="2"/>
        <v>0.49700598802395207</v>
      </c>
      <c r="K118" s="94">
        <f>VLOOKUP(H118,'PCT data'!B:K,10,FALSE)</f>
        <v>0.97520705353611448</v>
      </c>
      <c r="L118" s="94">
        <f t="shared" si="3"/>
        <v>0.48468374517064372</v>
      </c>
    </row>
    <row r="119" spans="1:12" x14ac:dyDescent="0.2">
      <c r="A119" s="21" t="s">
        <v>2133</v>
      </c>
      <c r="B119" s="21" t="s">
        <v>560</v>
      </c>
      <c r="C119" s="21" t="s">
        <v>561</v>
      </c>
      <c r="D119" s="21" t="s">
        <v>734</v>
      </c>
      <c r="E119" s="21" t="s">
        <v>735</v>
      </c>
      <c r="F119" s="21" t="s">
        <v>997</v>
      </c>
      <c r="G119" s="21" t="s">
        <v>998</v>
      </c>
      <c r="H119" s="21" t="s">
        <v>2146</v>
      </c>
      <c r="I119" s="21">
        <v>424</v>
      </c>
      <c r="J119" s="89">
        <f t="shared" si="2"/>
        <v>1</v>
      </c>
      <c r="K119" s="94">
        <f>VLOOKUP(H119,'PCT data'!B:K,10,FALSE)</f>
        <v>0.95530486877007126</v>
      </c>
      <c r="L119" s="94">
        <f t="shared" si="3"/>
        <v>0.95530486877007126</v>
      </c>
    </row>
    <row r="120" spans="1:12" x14ac:dyDescent="0.2">
      <c r="A120" s="21" t="s">
        <v>2133</v>
      </c>
      <c r="B120" s="21" t="s">
        <v>395</v>
      </c>
      <c r="C120" s="21" t="s">
        <v>396</v>
      </c>
      <c r="D120" s="21" t="s">
        <v>736</v>
      </c>
      <c r="E120" s="21" t="s">
        <v>737</v>
      </c>
      <c r="F120" s="21" t="s">
        <v>999</v>
      </c>
      <c r="G120" s="21" t="s">
        <v>1000</v>
      </c>
      <c r="H120" s="21" t="s">
        <v>2140</v>
      </c>
      <c r="I120" s="21">
        <v>76</v>
      </c>
      <c r="J120" s="89">
        <f t="shared" si="2"/>
        <v>0.17798594847775176</v>
      </c>
      <c r="K120" s="94">
        <f>VLOOKUP(H120,'PCT data'!B:K,10,FALSE)</f>
        <v>0.91550049923798604</v>
      </c>
      <c r="L120" s="94">
        <f t="shared" si="3"/>
        <v>0.16294622468872819</v>
      </c>
    </row>
    <row r="121" spans="1:12" x14ac:dyDescent="0.2">
      <c r="A121" s="21" t="s">
        <v>2133</v>
      </c>
      <c r="B121" s="21" t="s">
        <v>395</v>
      </c>
      <c r="C121" s="21" t="s">
        <v>396</v>
      </c>
      <c r="D121" s="21" t="s">
        <v>738</v>
      </c>
      <c r="E121" s="21" t="s">
        <v>739</v>
      </c>
      <c r="F121" s="21" t="s">
        <v>1001</v>
      </c>
      <c r="G121" s="21" t="s">
        <v>1002</v>
      </c>
      <c r="H121" s="21" t="s">
        <v>2140</v>
      </c>
      <c r="I121" s="21">
        <v>351</v>
      </c>
      <c r="J121" s="89">
        <f t="shared" si="2"/>
        <v>0.82201405152224827</v>
      </c>
      <c r="K121" s="94">
        <f>VLOOKUP(H121,'PCT data'!B:K,10,FALSE)</f>
        <v>0.91550049923798604</v>
      </c>
      <c r="L121" s="94">
        <f t="shared" si="3"/>
        <v>0.75255427454925783</v>
      </c>
    </row>
    <row r="122" spans="1:12" x14ac:dyDescent="0.2">
      <c r="A122" s="21" t="s">
        <v>2133</v>
      </c>
      <c r="B122" s="21" t="s">
        <v>3882</v>
      </c>
      <c r="C122" s="21" t="s">
        <v>661</v>
      </c>
      <c r="D122" s="21" t="s">
        <v>740</v>
      </c>
      <c r="E122" s="21" t="s">
        <v>741</v>
      </c>
      <c r="F122" s="21" t="s">
        <v>1003</v>
      </c>
      <c r="G122" s="21" t="s">
        <v>1004</v>
      </c>
      <c r="H122" s="21" t="s">
        <v>2152</v>
      </c>
      <c r="I122" s="21">
        <v>304</v>
      </c>
      <c r="J122" s="89">
        <f t="shared" si="2"/>
        <v>0.2702222222222222</v>
      </c>
      <c r="K122" s="94">
        <f>VLOOKUP(H122,'PCT data'!B:K,10,FALSE)</f>
        <v>0.92545159162100765</v>
      </c>
      <c r="L122" s="94">
        <f t="shared" si="3"/>
        <v>0.25007758564692117</v>
      </c>
    </row>
    <row r="123" spans="1:12" x14ac:dyDescent="0.2">
      <c r="A123" s="21" t="s">
        <v>2133</v>
      </c>
      <c r="B123" s="21" t="s">
        <v>3882</v>
      </c>
      <c r="C123" s="21" t="s">
        <v>661</v>
      </c>
      <c r="D123" s="21" t="s">
        <v>742</v>
      </c>
      <c r="E123" s="21" t="s">
        <v>743</v>
      </c>
      <c r="F123" s="21" t="s">
        <v>1005</v>
      </c>
      <c r="G123" s="21" t="s">
        <v>1006</v>
      </c>
      <c r="H123" s="21" t="s">
        <v>2152</v>
      </c>
      <c r="I123" s="21">
        <v>821</v>
      </c>
      <c r="J123" s="89">
        <f t="shared" si="2"/>
        <v>0.72977777777777775</v>
      </c>
      <c r="K123" s="94">
        <f>VLOOKUP(H123,'PCT data'!B:K,10,FALSE)</f>
        <v>0.92545159162100765</v>
      </c>
      <c r="L123" s="94">
        <f t="shared" si="3"/>
        <v>0.67537400597408648</v>
      </c>
    </row>
    <row r="124" spans="1:12" x14ac:dyDescent="0.2">
      <c r="A124" s="21" t="s">
        <v>2133</v>
      </c>
      <c r="B124" s="21" t="s">
        <v>2296</v>
      </c>
      <c r="C124" s="21" t="s">
        <v>2297</v>
      </c>
      <c r="D124" s="21" t="s">
        <v>744</v>
      </c>
      <c r="E124" s="21" t="s">
        <v>745</v>
      </c>
      <c r="F124" s="21" t="s">
        <v>1007</v>
      </c>
      <c r="G124" s="21" t="s">
        <v>1008</v>
      </c>
      <c r="H124" s="21" t="s">
        <v>2140</v>
      </c>
      <c r="I124" s="21">
        <v>441</v>
      </c>
      <c r="J124" s="89">
        <f t="shared" si="2"/>
        <v>1</v>
      </c>
      <c r="K124" s="94">
        <f>VLOOKUP(H124,'PCT data'!B:K,10,FALSE)</f>
        <v>0.91550049923798604</v>
      </c>
      <c r="L124" s="94">
        <f t="shared" si="3"/>
        <v>0.91550049923798604</v>
      </c>
    </row>
    <row r="125" spans="1:12" x14ac:dyDescent="0.2">
      <c r="A125" s="21" t="s">
        <v>3034</v>
      </c>
      <c r="B125" s="21" t="s">
        <v>3672</v>
      </c>
      <c r="C125" s="21" t="s">
        <v>3673</v>
      </c>
      <c r="D125" s="21" t="s">
        <v>746</v>
      </c>
      <c r="E125" s="21" t="s">
        <v>747</v>
      </c>
      <c r="F125" s="21" t="s">
        <v>1009</v>
      </c>
      <c r="G125" s="21" t="s">
        <v>1010</v>
      </c>
      <c r="H125" s="21" t="s">
        <v>3050</v>
      </c>
      <c r="I125" s="21">
        <v>72</v>
      </c>
      <c r="J125" s="89">
        <f t="shared" si="2"/>
        <v>7.5709779179810727E-2</v>
      </c>
      <c r="K125" s="94">
        <f>VLOOKUP(H125,'PCT data'!B:K,10,FALSE)</f>
        <v>0.94535377638704965</v>
      </c>
      <c r="L125" s="94">
        <f t="shared" si="3"/>
        <v>7.1572525657063693E-2</v>
      </c>
    </row>
    <row r="126" spans="1:12" x14ac:dyDescent="0.2">
      <c r="A126" s="21" t="s">
        <v>3034</v>
      </c>
      <c r="B126" s="21" t="s">
        <v>3672</v>
      </c>
      <c r="C126" s="21" t="s">
        <v>3673</v>
      </c>
      <c r="D126" s="21" t="s">
        <v>748</v>
      </c>
      <c r="E126" s="21" t="s">
        <v>749</v>
      </c>
      <c r="F126" s="21" t="s">
        <v>1011</v>
      </c>
      <c r="G126" s="21" t="s">
        <v>1012</v>
      </c>
      <c r="H126" s="21" t="s">
        <v>3632</v>
      </c>
      <c r="I126" s="21">
        <v>395</v>
      </c>
      <c r="J126" s="89">
        <f t="shared" si="2"/>
        <v>0.41535226077812831</v>
      </c>
      <c r="K126" s="94">
        <f>VLOOKUP(H126,'PCT data'!B:K,10,FALSE)</f>
        <v>0.93540268400402815</v>
      </c>
      <c r="L126" s="94">
        <f t="shared" si="3"/>
        <v>0.38852161953900227</v>
      </c>
    </row>
    <row r="127" spans="1:12" x14ac:dyDescent="0.2">
      <c r="A127" s="21" t="s">
        <v>3034</v>
      </c>
      <c r="B127" s="21" t="s">
        <v>3672</v>
      </c>
      <c r="C127" s="21" t="s">
        <v>3673</v>
      </c>
      <c r="D127" s="21" t="s">
        <v>750</v>
      </c>
      <c r="E127" s="21" t="s">
        <v>751</v>
      </c>
      <c r="F127" s="21" t="s">
        <v>1013</v>
      </c>
      <c r="G127" s="21" t="s">
        <v>1014</v>
      </c>
      <c r="H127" s="21" t="s">
        <v>3057</v>
      </c>
      <c r="I127" s="21">
        <v>484</v>
      </c>
      <c r="J127" s="89">
        <f t="shared" si="2"/>
        <v>0.50893796004206104</v>
      </c>
      <c r="K127" s="94">
        <f>VLOOKUP(H127,'PCT data'!B:K,10,FALSE)</f>
        <v>0.90554940685496443</v>
      </c>
      <c r="L127" s="94">
        <f t="shared" si="3"/>
        <v>0.46086846784206398</v>
      </c>
    </row>
    <row r="128" spans="1:12" x14ac:dyDescent="0.2">
      <c r="A128" s="21" t="s">
        <v>2975</v>
      </c>
      <c r="B128" s="21" t="s">
        <v>2349</v>
      </c>
      <c r="C128" s="21" t="s">
        <v>2350</v>
      </c>
      <c r="D128" s="21" t="s">
        <v>752</v>
      </c>
      <c r="E128" s="21" t="s">
        <v>753</v>
      </c>
      <c r="F128" s="21" t="s">
        <v>1015</v>
      </c>
      <c r="G128" s="21" t="s">
        <v>1016</v>
      </c>
      <c r="H128" s="21" t="s">
        <v>2996</v>
      </c>
      <c r="I128" s="21">
        <v>18</v>
      </c>
      <c r="J128" s="89">
        <f t="shared" si="2"/>
        <v>4.5454545454545456E-2</v>
      </c>
      <c r="K128" s="94">
        <f>VLOOKUP(H128,'PCT data'!B:K,10,FALSE)</f>
        <v>0.90554940685496443</v>
      </c>
      <c r="L128" s="94">
        <f t="shared" si="3"/>
        <v>4.116133667522566E-2</v>
      </c>
    </row>
    <row r="129" spans="1:12" x14ac:dyDescent="0.2">
      <c r="A129" s="21" t="s">
        <v>2975</v>
      </c>
      <c r="B129" s="21" t="s">
        <v>2349</v>
      </c>
      <c r="C129" s="21" t="s">
        <v>2350</v>
      </c>
      <c r="D129" s="21" t="s">
        <v>754</v>
      </c>
      <c r="E129" s="21" t="s">
        <v>755</v>
      </c>
      <c r="F129" s="21" t="s">
        <v>1017</v>
      </c>
      <c r="G129" s="21" t="s">
        <v>1018</v>
      </c>
      <c r="H129" s="21" t="s">
        <v>2996</v>
      </c>
      <c r="I129" s="21">
        <v>27</v>
      </c>
      <c r="J129" s="89">
        <f t="shared" si="2"/>
        <v>6.8181818181818177E-2</v>
      </c>
      <c r="K129" s="94">
        <f>VLOOKUP(H129,'PCT data'!B:K,10,FALSE)</f>
        <v>0.90554940685496443</v>
      </c>
      <c r="L129" s="94">
        <f t="shared" si="3"/>
        <v>6.1742005012838483E-2</v>
      </c>
    </row>
    <row r="130" spans="1:12" x14ac:dyDescent="0.2">
      <c r="A130" s="21" t="s">
        <v>2975</v>
      </c>
      <c r="B130" s="21" t="s">
        <v>2349</v>
      </c>
      <c r="C130" s="21" t="s">
        <v>2350</v>
      </c>
      <c r="D130" s="21" t="s">
        <v>756</v>
      </c>
      <c r="E130" s="21" t="s">
        <v>757</v>
      </c>
      <c r="F130" s="21" t="s">
        <v>1019</v>
      </c>
      <c r="G130" s="21" t="s">
        <v>1020</v>
      </c>
      <c r="H130" s="21" t="s">
        <v>2996</v>
      </c>
      <c r="I130" s="21">
        <v>351</v>
      </c>
      <c r="J130" s="89">
        <f t="shared" si="2"/>
        <v>0.88636363636363635</v>
      </c>
      <c r="K130" s="94">
        <f>VLOOKUP(H130,'PCT data'!B:K,10,FALSE)</f>
        <v>0.90554940685496443</v>
      </c>
      <c r="L130" s="94">
        <f t="shared" si="3"/>
        <v>0.80264606516690029</v>
      </c>
    </row>
    <row r="131" spans="1:12" x14ac:dyDescent="0.2">
      <c r="A131" s="21" t="s">
        <v>2975</v>
      </c>
      <c r="B131" s="21" t="s">
        <v>3</v>
      </c>
      <c r="C131" s="21" t="s">
        <v>4</v>
      </c>
      <c r="D131" s="21" t="s">
        <v>758</v>
      </c>
      <c r="E131" s="21" t="s">
        <v>759</v>
      </c>
      <c r="F131" s="21" t="s">
        <v>1021</v>
      </c>
      <c r="G131" s="21" t="s">
        <v>1022</v>
      </c>
      <c r="H131" s="21" t="s">
        <v>2988</v>
      </c>
      <c r="I131" s="21">
        <v>508</v>
      </c>
      <c r="J131" s="89">
        <f t="shared" ref="J131:J194" si="4">I131/SUMIF(B:B,B131,I:I)</f>
        <v>1</v>
      </c>
      <c r="K131" s="94">
        <f>VLOOKUP(H131,'PCT data'!B:K,10,FALSE)</f>
        <v>0.92545159162100765</v>
      </c>
      <c r="L131" s="94">
        <f t="shared" ref="L131:L194" si="5">K131*J131</f>
        <v>0.92545159162100765</v>
      </c>
    </row>
    <row r="132" spans="1:12" x14ac:dyDescent="0.2">
      <c r="A132" s="21" t="s">
        <v>1167</v>
      </c>
      <c r="B132" s="21" t="s">
        <v>353</v>
      </c>
      <c r="C132" s="21" t="s">
        <v>354</v>
      </c>
      <c r="D132" s="21" t="s">
        <v>760</v>
      </c>
      <c r="E132" s="21" t="s">
        <v>761</v>
      </c>
      <c r="F132" s="21" t="s">
        <v>1023</v>
      </c>
      <c r="G132" s="21" t="s">
        <v>1024</v>
      </c>
      <c r="H132" s="21" t="s">
        <v>3453</v>
      </c>
      <c r="I132" s="21">
        <v>953</v>
      </c>
      <c r="J132" s="89">
        <f t="shared" si="4"/>
        <v>1</v>
      </c>
      <c r="K132" s="94">
        <f>VLOOKUP(H132,'PCT data'!B:K,10,FALSE)</f>
        <v>1.2140332707286337</v>
      </c>
      <c r="L132" s="94">
        <f t="shared" si="5"/>
        <v>1.2140332707286337</v>
      </c>
    </row>
    <row r="133" spans="1:12" x14ac:dyDescent="0.2">
      <c r="A133" s="21" t="s">
        <v>3069</v>
      </c>
      <c r="B133" s="21" t="s">
        <v>2780</v>
      </c>
      <c r="C133" s="21" t="s">
        <v>2781</v>
      </c>
      <c r="D133" s="21" t="s">
        <v>762</v>
      </c>
      <c r="E133" s="21" t="s">
        <v>763</v>
      </c>
      <c r="F133" s="21" t="s">
        <v>1025</v>
      </c>
      <c r="G133" s="21" t="s">
        <v>1026</v>
      </c>
      <c r="H133" s="21" t="s">
        <v>2130</v>
      </c>
      <c r="I133" s="21">
        <v>77</v>
      </c>
      <c r="J133" s="89">
        <f t="shared" si="4"/>
        <v>0.12280701754385964</v>
      </c>
      <c r="K133" s="94">
        <f>VLOOKUP(H133,'PCT data'!B:K,10,FALSE)</f>
        <v>0.89559831447194282</v>
      </c>
      <c r="L133" s="94">
        <f t="shared" si="5"/>
        <v>0.10998575791760701</v>
      </c>
    </row>
    <row r="134" spans="1:12" x14ac:dyDescent="0.2">
      <c r="A134" s="21" t="s">
        <v>3069</v>
      </c>
      <c r="B134" s="21" t="s">
        <v>2780</v>
      </c>
      <c r="C134" s="21" t="s">
        <v>2781</v>
      </c>
      <c r="D134" s="21" t="s">
        <v>764</v>
      </c>
      <c r="E134" s="21" t="s">
        <v>765</v>
      </c>
      <c r="F134" s="21" t="s">
        <v>1027</v>
      </c>
      <c r="G134" s="21" t="s">
        <v>1028</v>
      </c>
      <c r="H134" s="21" t="s">
        <v>2130</v>
      </c>
      <c r="I134" s="21">
        <v>550</v>
      </c>
      <c r="J134" s="89">
        <f t="shared" si="4"/>
        <v>0.8771929824561403</v>
      </c>
      <c r="K134" s="94">
        <f>VLOOKUP(H134,'PCT data'!B:K,10,FALSE)</f>
        <v>0.89559831447194282</v>
      </c>
      <c r="L134" s="94">
        <f t="shared" si="5"/>
        <v>0.78561255655433582</v>
      </c>
    </row>
    <row r="135" spans="1:12" x14ac:dyDescent="0.2">
      <c r="A135" s="21" t="s">
        <v>3528</v>
      </c>
      <c r="B135" s="21" t="s">
        <v>3698</v>
      </c>
      <c r="C135" s="21" t="s">
        <v>3699</v>
      </c>
      <c r="D135" s="21" t="s">
        <v>766</v>
      </c>
      <c r="E135" s="21" t="s">
        <v>767</v>
      </c>
      <c r="F135" s="21" t="s">
        <v>1029</v>
      </c>
      <c r="G135" s="21" t="s">
        <v>1030</v>
      </c>
      <c r="H135" s="21" t="s">
        <v>3549</v>
      </c>
      <c r="I135" s="21">
        <v>12</v>
      </c>
      <c r="J135" s="89">
        <f t="shared" si="4"/>
        <v>1.1846001974333662E-2</v>
      </c>
      <c r="K135" s="94">
        <f>VLOOKUP(H135,'PCT data'!B:K,10,FALSE)</f>
        <v>0.94535377638704965</v>
      </c>
      <c r="L135" s="94">
        <f t="shared" si="5"/>
        <v>1.1198662701524774E-2</v>
      </c>
    </row>
    <row r="136" spans="1:12" x14ac:dyDescent="0.2">
      <c r="A136" s="21" t="s">
        <v>3528</v>
      </c>
      <c r="B136" s="21" t="s">
        <v>3698</v>
      </c>
      <c r="C136" s="21" t="s">
        <v>3699</v>
      </c>
      <c r="D136" s="21" t="s">
        <v>768</v>
      </c>
      <c r="E136" s="21" t="s">
        <v>769</v>
      </c>
      <c r="F136" s="21" t="s">
        <v>1031</v>
      </c>
      <c r="G136" s="21" t="s">
        <v>1032</v>
      </c>
      <c r="H136" s="21" t="s">
        <v>3549</v>
      </c>
      <c r="I136" s="21">
        <v>1001</v>
      </c>
      <c r="J136" s="89">
        <f t="shared" si="4"/>
        <v>0.98815399802566639</v>
      </c>
      <c r="K136" s="94">
        <f>VLOOKUP(H136,'PCT data'!B:K,10,FALSE)</f>
        <v>0.94535377638704965</v>
      </c>
      <c r="L136" s="94">
        <f t="shared" si="5"/>
        <v>0.93415511368552495</v>
      </c>
    </row>
    <row r="137" spans="1:12" x14ac:dyDescent="0.2">
      <c r="A137" s="21" t="s">
        <v>2133</v>
      </c>
      <c r="B137" s="21" t="s">
        <v>666</v>
      </c>
      <c r="C137" s="21" t="s">
        <v>667</v>
      </c>
      <c r="D137" s="21" t="s">
        <v>770</v>
      </c>
      <c r="E137" s="21" t="s">
        <v>771</v>
      </c>
      <c r="F137" s="21" t="s">
        <v>1033</v>
      </c>
      <c r="G137" s="21" t="s">
        <v>1034</v>
      </c>
      <c r="H137" s="21" t="s">
        <v>2146</v>
      </c>
      <c r="I137" s="21">
        <v>128</v>
      </c>
      <c r="J137" s="89">
        <f t="shared" si="4"/>
        <v>0.10448979591836735</v>
      </c>
      <c r="K137" s="94">
        <f>VLOOKUP(H137,'PCT data'!B:K,10,FALSE)</f>
        <v>0.95530486877007126</v>
      </c>
      <c r="L137" s="94">
        <f t="shared" si="5"/>
        <v>9.9819610777607454E-2</v>
      </c>
    </row>
    <row r="138" spans="1:12" x14ac:dyDescent="0.2">
      <c r="A138" s="21" t="s">
        <v>2133</v>
      </c>
      <c r="B138" s="21" t="s">
        <v>666</v>
      </c>
      <c r="C138" s="21" t="s">
        <v>667</v>
      </c>
      <c r="D138" s="21" t="s">
        <v>772</v>
      </c>
      <c r="E138" s="21" t="s">
        <v>773</v>
      </c>
      <c r="F138" s="21" t="s">
        <v>1035</v>
      </c>
      <c r="G138" s="21" t="s">
        <v>1036</v>
      </c>
      <c r="H138" s="21" t="s">
        <v>2142</v>
      </c>
      <c r="I138" s="21">
        <v>1097</v>
      </c>
      <c r="J138" s="89">
        <f t="shared" si="4"/>
        <v>0.89551020408163262</v>
      </c>
      <c r="K138" s="94">
        <f>VLOOKUP(H138,'PCT data'!B:K,10,FALSE)</f>
        <v>0.95530486877007126</v>
      </c>
      <c r="L138" s="94">
        <f t="shared" si="5"/>
        <v>0.85548525799246378</v>
      </c>
    </row>
    <row r="139" spans="1:12" x14ac:dyDescent="0.2">
      <c r="A139" s="21" t="s">
        <v>1167</v>
      </c>
      <c r="B139" s="21" t="s">
        <v>3874</v>
      </c>
      <c r="C139" s="21" t="s">
        <v>3875</v>
      </c>
      <c r="D139" s="21" t="s">
        <v>774</v>
      </c>
      <c r="E139" s="21" t="s">
        <v>775</v>
      </c>
      <c r="F139" s="21" t="s">
        <v>1037</v>
      </c>
      <c r="G139" s="21" t="s">
        <v>1038</v>
      </c>
      <c r="H139" s="21" t="s">
        <v>3460</v>
      </c>
      <c r="I139" s="21">
        <v>558</v>
      </c>
      <c r="J139" s="89">
        <f t="shared" si="4"/>
        <v>1</v>
      </c>
      <c r="K139" s="94">
        <f>VLOOKUP(H139,'PCT data'!B:K,10,FALSE)</f>
        <v>1.2040821783456119</v>
      </c>
      <c r="L139" s="94">
        <f t="shared" si="5"/>
        <v>1.2040821783456119</v>
      </c>
    </row>
    <row r="140" spans="1:12" x14ac:dyDescent="0.2">
      <c r="A140" s="21" t="s">
        <v>2133</v>
      </c>
      <c r="B140" s="21" t="s">
        <v>3706</v>
      </c>
      <c r="C140" s="21" t="s">
        <v>3707</v>
      </c>
      <c r="D140" s="21" t="s">
        <v>776</v>
      </c>
      <c r="E140" s="21" t="s">
        <v>777</v>
      </c>
      <c r="F140" s="21" t="s">
        <v>1039</v>
      </c>
      <c r="G140" s="21" t="s">
        <v>1040</v>
      </c>
      <c r="H140" s="21" t="s">
        <v>2154</v>
      </c>
      <c r="I140" s="21">
        <v>179</v>
      </c>
      <c r="J140" s="89">
        <f t="shared" si="4"/>
        <v>1</v>
      </c>
      <c r="K140" s="94">
        <f>VLOOKUP(H140,'PCT data'!B:K,10,FALSE)</f>
        <v>0.93540268400402815</v>
      </c>
      <c r="L140" s="94">
        <f t="shared" si="5"/>
        <v>0.93540268400402815</v>
      </c>
    </row>
    <row r="141" spans="1:12" x14ac:dyDescent="0.2">
      <c r="A141" s="21" t="s">
        <v>2133</v>
      </c>
      <c r="B141" s="21" t="s">
        <v>3870</v>
      </c>
      <c r="C141" s="21" t="s">
        <v>3871</v>
      </c>
      <c r="D141" s="21" t="s">
        <v>778</v>
      </c>
      <c r="E141" s="21" t="s">
        <v>779</v>
      </c>
      <c r="F141" s="21" t="s">
        <v>1041</v>
      </c>
      <c r="G141" s="21" t="s">
        <v>1042</v>
      </c>
      <c r="H141" s="21" t="s">
        <v>1110</v>
      </c>
      <c r="I141" s="21">
        <v>704</v>
      </c>
      <c r="J141" s="89">
        <f t="shared" si="4"/>
        <v>1</v>
      </c>
      <c r="K141" s="94">
        <f>VLOOKUP(H141,'PCT data'!B:K,10,FALSE)</f>
        <v>0.92545159162100765</v>
      </c>
      <c r="L141" s="94">
        <f t="shared" si="5"/>
        <v>0.92545159162100765</v>
      </c>
    </row>
    <row r="142" spans="1:12" x14ac:dyDescent="0.2">
      <c r="A142" s="21" t="s">
        <v>708</v>
      </c>
      <c r="B142" s="21" t="s">
        <v>2322</v>
      </c>
      <c r="C142" s="21" t="s">
        <v>2323</v>
      </c>
      <c r="D142" s="21" t="s">
        <v>780</v>
      </c>
      <c r="E142" s="21" t="s">
        <v>781</v>
      </c>
      <c r="F142" s="21" t="s">
        <v>1043</v>
      </c>
      <c r="G142" s="21" t="s">
        <v>1044</v>
      </c>
      <c r="H142" s="21" t="s">
        <v>710</v>
      </c>
      <c r="I142" s="21">
        <v>17</v>
      </c>
      <c r="J142" s="89">
        <f t="shared" si="4"/>
        <v>1.7276422764227643E-2</v>
      </c>
      <c r="K142" s="94">
        <f>VLOOKUP(H142,'PCT data'!B:K,10,FALSE)</f>
        <v>0.95530486877007126</v>
      </c>
      <c r="L142" s="94">
        <f t="shared" si="5"/>
        <v>1.6504250781596761E-2</v>
      </c>
    </row>
    <row r="143" spans="1:12" x14ac:dyDescent="0.2">
      <c r="A143" s="21" t="s">
        <v>708</v>
      </c>
      <c r="B143" s="21" t="s">
        <v>2322</v>
      </c>
      <c r="C143" s="21" t="s">
        <v>2323</v>
      </c>
      <c r="D143" s="21" t="s">
        <v>782</v>
      </c>
      <c r="E143" s="21" t="s">
        <v>783</v>
      </c>
      <c r="F143" s="21" t="s">
        <v>1045</v>
      </c>
      <c r="G143" s="21" t="s">
        <v>1046</v>
      </c>
      <c r="H143" s="21" t="s">
        <v>710</v>
      </c>
      <c r="I143" s="21">
        <v>967</v>
      </c>
      <c r="J143" s="89">
        <f t="shared" si="4"/>
        <v>0.98272357723577231</v>
      </c>
      <c r="K143" s="94">
        <f>VLOOKUP(H143,'PCT data'!B:K,10,FALSE)</f>
        <v>0.95530486877007126</v>
      </c>
      <c r="L143" s="94">
        <f t="shared" si="5"/>
        <v>0.93880061798847447</v>
      </c>
    </row>
    <row r="144" spans="1:12" x14ac:dyDescent="0.2">
      <c r="A144" s="21" t="s">
        <v>2133</v>
      </c>
      <c r="B144" s="21" t="s">
        <v>2393</v>
      </c>
      <c r="C144" s="21" t="s">
        <v>784</v>
      </c>
      <c r="D144" s="21" t="s">
        <v>785</v>
      </c>
      <c r="E144" s="21" t="s">
        <v>786</v>
      </c>
      <c r="F144" s="21" t="s">
        <v>1047</v>
      </c>
      <c r="G144" s="21" t="s">
        <v>1048</v>
      </c>
      <c r="H144" s="21" t="s">
        <v>2149</v>
      </c>
      <c r="I144" s="21">
        <v>301</v>
      </c>
      <c r="J144" s="89">
        <f t="shared" si="4"/>
        <v>1</v>
      </c>
      <c r="K144" s="94">
        <f>VLOOKUP(H144,'PCT data'!B:K,10,FALSE)</f>
        <v>0.91550049923798604</v>
      </c>
      <c r="L144" s="94">
        <f t="shared" si="5"/>
        <v>0.91550049923798604</v>
      </c>
    </row>
    <row r="145" spans="1:12" x14ac:dyDescent="0.2">
      <c r="A145" s="21" t="s">
        <v>2133</v>
      </c>
      <c r="B145" s="21" t="s">
        <v>2369</v>
      </c>
      <c r="C145" s="21" t="s">
        <v>2370</v>
      </c>
      <c r="D145" s="21" t="s">
        <v>787</v>
      </c>
      <c r="E145" s="21" t="s">
        <v>2370</v>
      </c>
      <c r="F145" s="21" t="s">
        <v>1049</v>
      </c>
      <c r="G145" s="21" t="s">
        <v>1050</v>
      </c>
      <c r="H145" s="21" t="s">
        <v>2146</v>
      </c>
      <c r="I145" s="21">
        <v>320</v>
      </c>
      <c r="J145" s="89">
        <f t="shared" si="4"/>
        <v>1</v>
      </c>
      <c r="K145" s="94">
        <f>VLOOKUP(H145,'PCT data'!B:K,10,FALSE)</f>
        <v>0.95530486877007126</v>
      </c>
      <c r="L145" s="94">
        <f t="shared" si="5"/>
        <v>0.95530486877007126</v>
      </c>
    </row>
    <row r="146" spans="1:12" x14ac:dyDescent="0.2">
      <c r="A146" s="21" t="s">
        <v>2133</v>
      </c>
      <c r="B146" s="21" t="s">
        <v>2283</v>
      </c>
      <c r="C146" s="21" t="s">
        <v>2284</v>
      </c>
      <c r="D146" s="21" t="s">
        <v>788</v>
      </c>
      <c r="E146" s="21" t="s">
        <v>789</v>
      </c>
      <c r="F146" s="21" t="s">
        <v>1051</v>
      </c>
      <c r="G146" s="21" t="s">
        <v>1052</v>
      </c>
      <c r="H146" s="21" t="s">
        <v>2138</v>
      </c>
      <c r="I146" s="21">
        <v>181</v>
      </c>
      <c r="J146" s="89">
        <f t="shared" si="4"/>
        <v>1</v>
      </c>
      <c r="K146" s="94">
        <f>VLOOKUP(H146,'PCT data'!B:K,10,FALSE)</f>
        <v>0.94535377638704965</v>
      </c>
      <c r="L146" s="94">
        <f t="shared" si="5"/>
        <v>0.94535377638704965</v>
      </c>
    </row>
    <row r="147" spans="1:12" x14ac:dyDescent="0.2">
      <c r="A147" s="21" t="s">
        <v>2133</v>
      </c>
      <c r="B147" s="21" t="s">
        <v>3658</v>
      </c>
      <c r="C147" s="21" t="s">
        <v>3659</v>
      </c>
      <c r="D147" s="21" t="s">
        <v>790</v>
      </c>
      <c r="E147" s="21" t="s">
        <v>791</v>
      </c>
      <c r="F147" s="21" t="s">
        <v>1053</v>
      </c>
      <c r="G147" s="21" t="s">
        <v>1054</v>
      </c>
      <c r="H147" s="21" t="s">
        <v>3654</v>
      </c>
      <c r="I147" s="21">
        <v>20</v>
      </c>
      <c r="J147" s="89">
        <f t="shared" si="4"/>
        <v>5.5865921787709494E-2</v>
      </c>
      <c r="K147" s="94">
        <f>VLOOKUP(H147,'PCT data'!B:K,10,FALSE)</f>
        <v>0.91550049923798604</v>
      </c>
      <c r="L147" s="94">
        <f t="shared" si="5"/>
        <v>5.1145279287038325E-2</v>
      </c>
    </row>
    <row r="148" spans="1:12" x14ac:dyDescent="0.2">
      <c r="A148" s="21" t="s">
        <v>2133</v>
      </c>
      <c r="B148" s="21" t="s">
        <v>3658</v>
      </c>
      <c r="C148" s="21" t="s">
        <v>3659</v>
      </c>
      <c r="D148" s="21" t="s">
        <v>792</v>
      </c>
      <c r="E148" s="21" t="s">
        <v>793</v>
      </c>
      <c r="F148" s="21" t="s">
        <v>1055</v>
      </c>
      <c r="G148" s="21" t="s">
        <v>1056</v>
      </c>
      <c r="H148" s="21" t="s">
        <v>2152</v>
      </c>
      <c r="I148" s="21">
        <v>94</v>
      </c>
      <c r="J148" s="89">
        <f t="shared" si="4"/>
        <v>0.26256983240223464</v>
      </c>
      <c r="K148" s="94">
        <f>VLOOKUP(H148,'PCT data'!B:K,10,FALSE)</f>
        <v>0.92545159162100765</v>
      </c>
      <c r="L148" s="94">
        <f t="shared" si="5"/>
        <v>0.24299566930830926</v>
      </c>
    </row>
    <row r="149" spans="1:12" x14ac:dyDescent="0.2">
      <c r="A149" s="21" t="s">
        <v>2133</v>
      </c>
      <c r="B149" s="21" t="s">
        <v>3658</v>
      </c>
      <c r="C149" s="21" t="s">
        <v>3659</v>
      </c>
      <c r="D149" s="21" t="s">
        <v>728</v>
      </c>
      <c r="E149" s="21" t="s">
        <v>729</v>
      </c>
      <c r="F149" s="21" t="s">
        <v>1055</v>
      </c>
      <c r="G149" s="21" t="s">
        <v>1056</v>
      </c>
      <c r="H149" s="21" t="s">
        <v>2152</v>
      </c>
      <c r="I149" s="21">
        <v>97</v>
      </c>
      <c r="J149" s="89">
        <f t="shared" si="4"/>
        <v>0.27094972067039108</v>
      </c>
      <c r="K149" s="94">
        <f>VLOOKUP(H149,'PCT data'!B:K,10,FALSE)</f>
        <v>0.92545159162100765</v>
      </c>
      <c r="L149" s="94">
        <f t="shared" si="5"/>
        <v>0.25075085024368088</v>
      </c>
    </row>
    <row r="150" spans="1:12" x14ac:dyDescent="0.2">
      <c r="A150" s="21" t="s">
        <v>2133</v>
      </c>
      <c r="B150" s="21" t="s">
        <v>3658</v>
      </c>
      <c r="C150" s="21" t="s">
        <v>3659</v>
      </c>
      <c r="D150" s="21" t="s">
        <v>794</v>
      </c>
      <c r="E150" s="21" t="s">
        <v>795</v>
      </c>
      <c r="F150" s="21" t="s">
        <v>1057</v>
      </c>
      <c r="G150" s="21" t="s">
        <v>1006</v>
      </c>
      <c r="H150" s="21" t="s">
        <v>2152</v>
      </c>
      <c r="I150" s="21">
        <v>147</v>
      </c>
      <c r="J150" s="89">
        <f t="shared" si="4"/>
        <v>0.41061452513966479</v>
      </c>
      <c r="K150" s="94">
        <f>VLOOKUP(H150,'PCT data'!B:K,10,FALSE)</f>
        <v>0.92545159162100765</v>
      </c>
      <c r="L150" s="94">
        <f t="shared" si="5"/>
        <v>0.38000386583320706</v>
      </c>
    </row>
    <row r="151" spans="1:12" x14ac:dyDescent="0.2">
      <c r="A151" s="21" t="s">
        <v>1127</v>
      </c>
      <c r="B151" s="21" t="s">
        <v>405</v>
      </c>
      <c r="C151" s="21" t="s">
        <v>406</v>
      </c>
      <c r="D151" s="21" t="s">
        <v>796</v>
      </c>
      <c r="E151" s="21" t="s">
        <v>797</v>
      </c>
      <c r="F151" s="21" t="s">
        <v>1058</v>
      </c>
      <c r="G151" s="21" t="s">
        <v>3227</v>
      </c>
      <c r="H151" s="21" t="s">
        <v>1140</v>
      </c>
      <c r="I151" s="21">
        <v>985</v>
      </c>
      <c r="J151" s="89">
        <f t="shared" si="4"/>
        <v>1</v>
      </c>
      <c r="K151" s="94">
        <f>VLOOKUP(H151,'PCT data'!B:K,10,FALSE)</f>
        <v>0.92545159162100765</v>
      </c>
      <c r="L151" s="94">
        <f t="shared" si="5"/>
        <v>0.92545159162100765</v>
      </c>
    </row>
    <row r="152" spans="1:12" x14ac:dyDescent="0.2">
      <c r="A152" s="21" t="s">
        <v>2975</v>
      </c>
      <c r="B152" s="21" t="s">
        <v>662</v>
      </c>
      <c r="C152" s="21" t="s">
        <v>663</v>
      </c>
      <c r="D152" s="21" t="s">
        <v>798</v>
      </c>
      <c r="E152" s="21" t="s">
        <v>799</v>
      </c>
      <c r="F152" s="21" t="s">
        <v>3228</v>
      </c>
      <c r="G152" s="21" t="s">
        <v>3229</v>
      </c>
      <c r="H152" s="21" t="s">
        <v>2986</v>
      </c>
      <c r="I152" s="21">
        <v>846</v>
      </c>
      <c r="J152" s="89">
        <f t="shared" si="4"/>
        <v>1</v>
      </c>
      <c r="K152" s="94">
        <f>VLOOKUP(H152,'PCT data'!B:K,10,FALSE)</f>
        <v>0.94535377638704965</v>
      </c>
      <c r="L152" s="94">
        <f t="shared" si="5"/>
        <v>0.94535377638704965</v>
      </c>
    </row>
    <row r="153" spans="1:12" x14ac:dyDescent="0.2">
      <c r="A153" s="21" t="s">
        <v>2975</v>
      </c>
      <c r="B153" s="21" t="s">
        <v>3732</v>
      </c>
      <c r="C153" s="21" t="s">
        <v>3733</v>
      </c>
      <c r="D153" s="21" t="s">
        <v>800</v>
      </c>
      <c r="E153" s="21" t="s">
        <v>801</v>
      </c>
      <c r="F153" s="21" t="s">
        <v>3230</v>
      </c>
      <c r="G153" s="21" t="s">
        <v>3231</v>
      </c>
      <c r="H153" s="21" t="s">
        <v>3017</v>
      </c>
      <c r="I153" s="21">
        <v>824</v>
      </c>
      <c r="J153" s="89">
        <f t="shared" si="4"/>
        <v>1</v>
      </c>
      <c r="K153" s="94">
        <f>VLOOKUP(H153,'PCT data'!B:K,10,FALSE)</f>
        <v>0.91550049923798604</v>
      </c>
      <c r="L153" s="94">
        <f t="shared" si="5"/>
        <v>0.91550049923798604</v>
      </c>
    </row>
    <row r="154" spans="1:12" x14ac:dyDescent="0.2">
      <c r="A154" s="21" t="s">
        <v>2975</v>
      </c>
      <c r="B154" s="21" t="s">
        <v>2752</v>
      </c>
      <c r="C154" s="21" t="s">
        <v>802</v>
      </c>
      <c r="D154" s="21" t="s">
        <v>803</v>
      </c>
      <c r="E154" s="21" t="s">
        <v>804</v>
      </c>
      <c r="F154" s="21" t="s">
        <v>3232</v>
      </c>
      <c r="G154" s="21" t="s">
        <v>3233</v>
      </c>
      <c r="H154" s="21" t="s">
        <v>3027</v>
      </c>
      <c r="I154" s="21">
        <v>308</v>
      </c>
      <c r="J154" s="89">
        <f t="shared" si="4"/>
        <v>0.20039037085230971</v>
      </c>
      <c r="K154" s="94">
        <f>VLOOKUP(H154,'PCT data'!B:K,10,FALSE)</f>
        <v>0.93540268400402815</v>
      </c>
      <c r="L154" s="94">
        <f t="shared" si="5"/>
        <v>0.18744569074381306</v>
      </c>
    </row>
    <row r="155" spans="1:12" x14ac:dyDescent="0.2">
      <c r="A155" s="21" t="s">
        <v>2975</v>
      </c>
      <c r="B155" s="21" t="s">
        <v>3712</v>
      </c>
      <c r="C155" s="21" t="s">
        <v>3713</v>
      </c>
      <c r="D155" s="21" t="s">
        <v>805</v>
      </c>
      <c r="E155" s="21" t="s">
        <v>806</v>
      </c>
      <c r="F155" s="21" t="s">
        <v>3234</v>
      </c>
      <c r="G155" s="21" t="s">
        <v>3235</v>
      </c>
      <c r="H155" s="21" t="s">
        <v>3010</v>
      </c>
      <c r="I155" s="21">
        <v>647</v>
      </c>
      <c r="J155" s="89">
        <f t="shared" si="4"/>
        <v>1</v>
      </c>
      <c r="K155" s="94">
        <f>VLOOKUP(H155,'PCT data'!B:K,10,FALSE)</f>
        <v>0.91550049923798604</v>
      </c>
      <c r="L155" s="94">
        <f t="shared" si="5"/>
        <v>0.91550049923798604</v>
      </c>
    </row>
    <row r="156" spans="1:12" x14ac:dyDescent="0.2">
      <c r="A156" s="21" t="s">
        <v>2975</v>
      </c>
      <c r="B156" s="21" t="s">
        <v>586</v>
      </c>
      <c r="C156" s="21" t="s">
        <v>587</v>
      </c>
      <c r="D156" s="21" t="s">
        <v>807</v>
      </c>
      <c r="E156" s="21" t="s">
        <v>808</v>
      </c>
      <c r="F156" s="21" t="s">
        <v>3236</v>
      </c>
      <c r="G156" s="21" t="s">
        <v>3237</v>
      </c>
      <c r="H156" s="21" t="s">
        <v>3013</v>
      </c>
      <c r="I156" s="21">
        <v>475</v>
      </c>
      <c r="J156" s="89">
        <f t="shared" si="4"/>
        <v>1</v>
      </c>
      <c r="K156" s="94">
        <f>VLOOKUP(H156,'PCT data'!B:K,10,FALSE)</f>
        <v>0.90554940685496443</v>
      </c>
      <c r="L156" s="94">
        <f t="shared" si="5"/>
        <v>0.90554940685496443</v>
      </c>
    </row>
    <row r="157" spans="1:12" x14ac:dyDescent="0.2">
      <c r="A157" s="21" t="s">
        <v>191</v>
      </c>
      <c r="B157" s="21" t="s">
        <v>2383</v>
      </c>
      <c r="C157" s="21" t="s">
        <v>809</v>
      </c>
      <c r="D157" s="21" t="s">
        <v>3076</v>
      </c>
      <c r="E157" s="21" t="s">
        <v>3077</v>
      </c>
      <c r="F157" s="21" t="s">
        <v>3238</v>
      </c>
      <c r="G157" s="21" t="s">
        <v>3239</v>
      </c>
      <c r="H157" s="21" t="s">
        <v>192</v>
      </c>
      <c r="I157" s="21">
        <v>34</v>
      </c>
      <c r="J157" s="89">
        <f t="shared" si="4"/>
        <v>3.8901601830663615E-2</v>
      </c>
      <c r="K157" s="94">
        <f>VLOOKUP(H157,'PCT data'!B:K,10,FALSE)</f>
        <v>1.0249625154512234</v>
      </c>
      <c r="L157" s="94">
        <f t="shared" si="5"/>
        <v>3.9872683667438895E-2</v>
      </c>
    </row>
    <row r="158" spans="1:12" x14ac:dyDescent="0.2">
      <c r="A158" s="21" t="s">
        <v>191</v>
      </c>
      <c r="B158" s="21" t="s">
        <v>2383</v>
      </c>
      <c r="C158" s="21" t="s">
        <v>809</v>
      </c>
      <c r="D158" s="21" t="s">
        <v>3078</v>
      </c>
      <c r="E158" s="21" t="s">
        <v>3079</v>
      </c>
      <c r="F158" s="21" t="s">
        <v>3240</v>
      </c>
      <c r="G158" s="21" t="s">
        <v>3241</v>
      </c>
      <c r="H158" s="21" t="s">
        <v>192</v>
      </c>
      <c r="I158" s="21">
        <v>405</v>
      </c>
      <c r="J158" s="89">
        <f t="shared" si="4"/>
        <v>0.46338672768878719</v>
      </c>
      <c r="K158" s="94">
        <f>VLOOKUP(H158,'PCT data'!B:K,10,FALSE)</f>
        <v>1.0249625154512234</v>
      </c>
      <c r="L158" s="94">
        <f t="shared" si="5"/>
        <v>0.47495402603861042</v>
      </c>
    </row>
    <row r="159" spans="1:12" x14ac:dyDescent="0.2">
      <c r="A159" s="21" t="s">
        <v>3528</v>
      </c>
      <c r="B159" s="21" t="s">
        <v>2377</v>
      </c>
      <c r="C159" s="21" t="s">
        <v>2378</v>
      </c>
      <c r="D159" s="21" t="s">
        <v>3080</v>
      </c>
      <c r="E159" s="21" t="s">
        <v>3081</v>
      </c>
      <c r="F159" s="21" t="s">
        <v>3242</v>
      </c>
      <c r="G159" s="21" t="s">
        <v>3243</v>
      </c>
      <c r="H159" s="21" t="s">
        <v>3544</v>
      </c>
      <c r="I159" s="21">
        <v>540</v>
      </c>
      <c r="J159" s="89">
        <f t="shared" si="4"/>
        <v>1</v>
      </c>
      <c r="K159" s="94">
        <f>VLOOKUP(H159,'PCT data'!B:K,10,FALSE)</f>
        <v>0.97520705353611448</v>
      </c>
      <c r="L159" s="94">
        <f t="shared" si="5"/>
        <v>0.97520705353611448</v>
      </c>
    </row>
    <row r="160" spans="1:12" x14ac:dyDescent="0.2">
      <c r="A160" s="21" t="s">
        <v>191</v>
      </c>
      <c r="B160" s="21" t="s">
        <v>2383</v>
      </c>
      <c r="C160" s="21" t="s">
        <v>3082</v>
      </c>
      <c r="D160" s="21" t="s">
        <v>728</v>
      </c>
      <c r="E160" s="21" t="s">
        <v>729</v>
      </c>
      <c r="F160" s="21" t="s">
        <v>3244</v>
      </c>
      <c r="G160" s="21" t="s">
        <v>3245</v>
      </c>
      <c r="H160" s="21" t="s">
        <v>192</v>
      </c>
      <c r="I160" s="21">
        <v>4</v>
      </c>
      <c r="J160" s="89">
        <f t="shared" si="4"/>
        <v>4.5766590389016018E-3</v>
      </c>
      <c r="K160" s="94">
        <f>VLOOKUP(H160,'PCT data'!B:K,10,FALSE)</f>
        <v>1.0249625154512234</v>
      </c>
      <c r="L160" s="94">
        <f t="shared" si="5"/>
        <v>4.6909039608751648E-3</v>
      </c>
    </row>
    <row r="161" spans="1:12" x14ac:dyDescent="0.2">
      <c r="A161" s="21" t="s">
        <v>191</v>
      </c>
      <c r="B161" s="21" t="s">
        <v>2383</v>
      </c>
      <c r="C161" s="21" t="s">
        <v>3082</v>
      </c>
      <c r="D161" s="21" t="s">
        <v>3083</v>
      </c>
      <c r="E161" s="21" t="s">
        <v>3084</v>
      </c>
      <c r="F161" s="21" t="s">
        <v>3244</v>
      </c>
      <c r="G161" s="21" t="s">
        <v>3245</v>
      </c>
      <c r="H161" s="21" t="s">
        <v>192</v>
      </c>
      <c r="I161" s="21">
        <v>431</v>
      </c>
      <c r="J161" s="89">
        <f t="shared" si="4"/>
        <v>0.49313501144164762</v>
      </c>
      <c r="K161" s="94">
        <f>VLOOKUP(H161,'PCT data'!B:K,10,FALSE)</f>
        <v>1.0249625154512234</v>
      </c>
      <c r="L161" s="94">
        <f t="shared" si="5"/>
        <v>0.50544490178429902</v>
      </c>
    </row>
    <row r="162" spans="1:12" x14ac:dyDescent="0.2">
      <c r="A162" s="21" t="s">
        <v>3496</v>
      </c>
      <c r="B162" s="21" t="s">
        <v>11</v>
      </c>
      <c r="C162" s="21" t="s">
        <v>2328</v>
      </c>
      <c r="D162" s="21" t="s">
        <v>3085</v>
      </c>
      <c r="E162" s="21" t="s">
        <v>3086</v>
      </c>
      <c r="F162" s="21" t="s">
        <v>3246</v>
      </c>
      <c r="G162" s="21" t="s">
        <v>3247</v>
      </c>
      <c r="H162" s="21" t="s">
        <v>3470</v>
      </c>
      <c r="I162" s="21">
        <v>444</v>
      </c>
      <c r="J162" s="89">
        <f t="shared" si="4"/>
        <v>1</v>
      </c>
      <c r="K162" s="94">
        <f>VLOOKUP(H162,'PCT data'!B:K,10,FALSE)</f>
        <v>1.0747179773663313</v>
      </c>
      <c r="L162" s="94">
        <f t="shared" si="5"/>
        <v>1.0747179773663313</v>
      </c>
    </row>
    <row r="163" spans="1:12" x14ac:dyDescent="0.2">
      <c r="A163" s="21" t="s">
        <v>2133</v>
      </c>
      <c r="B163" s="21" t="s">
        <v>596</v>
      </c>
      <c r="C163" s="21" t="s">
        <v>597</v>
      </c>
      <c r="D163" s="21" t="s">
        <v>3087</v>
      </c>
      <c r="E163" s="21" t="s">
        <v>3088</v>
      </c>
      <c r="F163" s="21" t="s">
        <v>3248</v>
      </c>
      <c r="G163" s="21" t="s">
        <v>3249</v>
      </c>
      <c r="H163" s="21" t="s">
        <v>2144</v>
      </c>
      <c r="I163" s="21">
        <v>794</v>
      </c>
      <c r="J163" s="89">
        <f t="shared" si="4"/>
        <v>1</v>
      </c>
      <c r="K163" s="94">
        <f>VLOOKUP(H163,'PCT data'!B:K,10,FALSE)</f>
        <v>0.90554940685496443</v>
      </c>
      <c r="L163" s="94">
        <f t="shared" si="5"/>
        <v>0.90554940685496443</v>
      </c>
    </row>
    <row r="164" spans="1:12" x14ac:dyDescent="0.2">
      <c r="A164" s="21" t="s">
        <v>1167</v>
      </c>
      <c r="B164" s="21" t="s">
        <v>403</v>
      </c>
      <c r="C164" s="21" t="s">
        <v>404</v>
      </c>
      <c r="D164" s="21" t="s">
        <v>3089</v>
      </c>
      <c r="E164" s="21" t="s">
        <v>3090</v>
      </c>
      <c r="F164" s="21" t="s">
        <v>3250</v>
      </c>
      <c r="G164" s="21" t="s">
        <v>3251</v>
      </c>
      <c r="H164" s="21" t="s">
        <v>3462</v>
      </c>
      <c r="I164" s="21">
        <v>392</v>
      </c>
      <c r="J164" s="89">
        <f t="shared" si="4"/>
        <v>1</v>
      </c>
      <c r="K164" s="94">
        <f>VLOOKUP(H164,'PCT data'!B:K,10,FALSE)</f>
        <v>1.0846690697493531</v>
      </c>
      <c r="L164" s="94">
        <f t="shared" si="5"/>
        <v>1.0846690697493531</v>
      </c>
    </row>
    <row r="165" spans="1:12" x14ac:dyDescent="0.2">
      <c r="A165" s="21" t="s">
        <v>1167</v>
      </c>
      <c r="B165" s="21" t="s">
        <v>2267</v>
      </c>
      <c r="C165" s="21" t="s">
        <v>2268</v>
      </c>
      <c r="D165" s="21" t="s">
        <v>3091</v>
      </c>
      <c r="E165" s="21" t="s">
        <v>3092</v>
      </c>
      <c r="F165" s="21" t="s">
        <v>3252</v>
      </c>
      <c r="G165" s="21" t="s">
        <v>3253</v>
      </c>
      <c r="H165" s="21" t="s">
        <v>1175</v>
      </c>
      <c r="I165" s="21">
        <v>108</v>
      </c>
      <c r="J165" s="89">
        <f t="shared" si="4"/>
        <v>0.10546875</v>
      </c>
      <c r="K165" s="94">
        <f>VLOOKUP(H165,'PCT data'!B:K,10,FALSE)</f>
        <v>1.1841799935795587</v>
      </c>
      <c r="L165" s="94">
        <f t="shared" si="5"/>
        <v>0.12489398369784409</v>
      </c>
    </row>
    <row r="166" spans="1:12" x14ac:dyDescent="0.2">
      <c r="A166" s="21" t="s">
        <v>1167</v>
      </c>
      <c r="B166" s="21" t="s">
        <v>2267</v>
      </c>
      <c r="C166" s="21" t="s">
        <v>2268</v>
      </c>
      <c r="D166" s="21" t="s">
        <v>3093</v>
      </c>
      <c r="E166" s="21" t="s">
        <v>3094</v>
      </c>
      <c r="F166" s="21" t="s">
        <v>3254</v>
      </c>
      <c r="G166" s="21" t="s">
        <v>3255</v>
      </c>
      <c r="H166" s="21" t="s">
        <v>3449</v>
      </c>
      <c r="I166" s="21">
        <v>248</v>
      </c>
      <c r="J166" s="89">
        <f t="shared" si="4"/>
        <v>0.2421875</v>
      </c>
      <c r="K166" s="94">
        <f>VLOOKUP(H166,'PCT data'!B:K,10,FALSE)</f>
        <v>1.2040821783456119</v>
      </c>
      <c r="L166" s="94">
        <f t="shared" si="5"/>
        <v>0.29161365256807786</v>
      </c>
    </row>
    <row r="167" spans="1:12" x14ac:dyDescent="0.2">
      <c r="A167" s="21" t="s">
        <v>1167</v>
      </c>
      <c r="B167" s="21" t="s">
        <v>2267</v>
      </c>
      <c r="C167" s="21" t="s">
        <v>2268</v>
      </c>
      <c r="D167" s="21" t="s">
        <v>3095</v>
      </c>
      <c r="E167" s="21" t="s">
        <v>3096</v>
      </c>
      <c r="F167" s="21" t="s">
        <v>3256</v>
      </c>
      <c r="G167" s="21" t="s">
        <v>3257</v>
      </c>
      <c r="H167" s="21" t="s">
        <v>1175</v>
      </c>
      <c r="I167" s="21">
        <v>668</v>
      </c>
      <c r="J167" s="89">
        <f t="shared" si="4"/>
        <v>0.65234375</v>
      </c>
      <c r="K167" s="94">
        <f>VLOOKUP(H167,'PCT data'!B:K,10,FALSE)</f>
        <v>1.1841799935795587</v>
      </c>
      <c r="L167" s="94">
        <f t="shared" si="5"/>
        <v>0.77249241768666521</v>
      </c>
    </row>
    <row r="168" spans="1:12" x14ac:dyDescent="0.2">
      <c r="A168" s="21" t="s">
        <v>2975</v>
      </c>
      <c r="B168" s="21" t="s">
        <v>413</v>
      </c>
      <c r="C168" s="21" t="s">
        <v>3097</v>
      </c>
      <c r="D168" s="21" t="s">
        <v>3098</v>
      </c>
      <c r="E168" s="21" t="s">
        <v>3099</v>
      </c>
      <c r="F168" s="21" t="s">
        <v>3258</v>
      </c>
      <c r="G168" s="21" t="s">
        <v>3259</v>
      </c>
      <c r="H168" s="21" t="s">
        <v>2994</v>
      </c>
      <c r="I168" s="21">
        <v>245</v>
      </c>
      <c r="J168" s="89">
        <f t="shared" si="4"/>
        <v>0.38161993769470404</v>
      </c>
      <c r="K168" s="94">
        <f>VLOOKUP(H168,'PCT data'!B:K,10,FALSE)</f>
        <v>1.0150114230682019</v>
      </c>
      <c r="L168" s="94">
        <f t="shared" si="5"/>
        <v>0.3873485960307001</v>
      </c>
    </row>
    <row r="169" spans="1:12" x14ac:dyDescent="0.2">
      <c r="A169" s="21" t="s">
        <v>2975</v>
      </c>
      <c r="B169" s="21" t="s">
        <v>413</v>
      </c>
      <c r="C169" s="21" t="s">
        <v>3097</v>
      </c>
      <c r="D169" s="21" t="s">
        <v>3100</v>
      </c>
      <c r="E169" s="21" t="s">
        <v>3101</v>
      </c>
      <c r="F169" s="21" t="s">
        <v>3260</v>
      </c>
      <c r="G169" s="21" t="s">
        <v>3261</v>
      </c>
      <c r="H169" s="21" t="s">
        <v>2994</v>
      </c>
      <c r="I169" s="21">
        <v>397</v>
      </c>
      <c r="J169" s="89">
        <f t="shared" si="4"/>
        <v>0.61838006230529596</v>
      </c>
      <c r="K169" s="94">
        <f>VLOOKUP(H169,'PCT data'!B:K,10,FALSE)</f>
        <v>1.0150114230682019</v>
      </c>
      <c r="L169" s="94">
        <f t="shared" si="5"/>
        <v>0.62766282703750187</v>
      </c>
    </row>
    <row r="170" spans="1:12" x14ac:dyDescent="0.2">
      <c r="A170" s="21" t="s">
        <v>3069</v>
      </c>
      <c r="B170" s="21" t="s">
        <v>1341</v>
      </c>
      <c r="C170" s="21" t="s">
        <v>352</v>
      </c>
      <c r="D170" s="21" t="s">
        <v>3102</v>
      </c>
      <c r="E170" s="21" t="s">
        <v>3103</v>
      </c>
      <c r="F170" s="21" t="s">
        <v>3262</v>
      </c>
      <c r="G170" s="21" t="s">
        <v>3263</v>
      </c>
      <c r="H170" s="21" t="s">
        <v>2120</v>
      </c>
      <c r="I170" s="21">
        <v>574</v>
      </c>
      <c r="J170" s="89">
        <f t="shared" si="4"/>
        <v>1</v>
      </c>
      <c r="K170" s="94">
        <f>VLOOKUP(H170,'PCT data'!B:K,10,FALSE)</f>
        <v>0.96525596115309287</v>
      </c>
      <c r="L170" s="94">
        <f t="shared" si="5"/>
        <v>0.96525596115309287</v>
      </c>
    </row>
    <row r="171" spans="1:12" x14ac:dyDescent="0.2">
      <c r="A171" s="21" t="s">
        <v>3069</v>
      </c>
      <c r="B171" s="21" t="s">
        <v>3666</v>
      </c>
      <c r="C171" s="21" t="s">
        <v>3667</v>
      </c>
      <c r="D171" s="21" t="s">
        <v>3104</v>
      </c>
      <c r="E171" s="21" t="s">
        <v>3105</v>
      </c>
      <c r="F171" s="21" t="s">
        <v>3264</v>
      </c>
      <c r="G171" s="21" t="s">
        <v>3265</v>
      </c>
      <c r="H171" s="21" t="s">
        <v>2120</v>
      </c>
      <c r="I171" s="21">
        <v>655</v>
      </c>
      <c r="J171" s="89">
        <f t="shared" si="4"/>
        <v>1</v>
      </c>
      <c r="K171" s="94">
        <f>VLOOKUP(H171,'PCT data'!B:K,10,FALSE)</f>
        <v>0.96525596115309287</v>
      </c>
      <c r="L171" s="94">
        <f t="shared" si="5"/>
        <v>0.96525596115309287</v>
      </c>
    </row>
    <row r="172" spans="1:12" x14ac:dyDescent="0.2">
      <c r="A172" s="21" t="s">
        <v>3528</v>
      </c>
      <c r="B172" s="21" t="s">
        <v>3734</v>
      </c>
      <c r="C172" s="21" t="s">
        <v>3735</v>
      </c>
      <c r="D172" s="21" t="s">
        <v>3106</v>
      </c>
      <c r="E172" s="21" t="s">
        <v>3107</v>
      </c>
      <c r="F172" s="21" t="s">
        <v>3266</v>
      </c>
      <c r="G172" s="21" t="s">
        <v>3267</v>
      </c>
      <c r="H172" s="21" t="s">
        <v>3532</v>
      </c>
      <c r="I172" s="21">
        <v>570</v>
      </c>
      <c r="J172" s="89">
        <f t="shared" si="4"/>
        <v>1</v>
      </c>
      <c r="K172" s="94">
        <f>VLOOKUP(H172,'PCT data'!B:K,10,FALSE)</f>
        <v>0.99510923830215869</v>
      </c>
      <c r="L172" s="94">
        <f t="shared" si="5"/>
        <v>0.99510923830215869</v>
      </c>
    </row>
    <row r="173" spans="1:12" x14ac:dyDescent="0.2">
      <c r="A173" s="21" t="s">
        <v>3069</v>
      </c>
      <c r="B173" s="21" t="s">
        <v>3668</v>
      </c>
      <c r="C173" s="21" t="s">
        <v>3108</v>
      </c>
      <c r="D173" s="21" t="s">
        <v>3109</v>
      </c>
      <c r="E173" s="21" t="s">
        <v>3110</v>
      </c>
      <c r="F173" s="21" t="s">
        <v>3268</v>
      </c>
      <c r="G173" s="21" t="s">
        <v>3269</v>
      </c>
      <c r="H173" s="21" t="s">
        <v>2120</v>
      </c>
      <c r="I173" s="21">
        <v>16</v>
      </c>
      <c r="J173" s="89">
        <f t="shared" si="4"/>
        <v>4.49438202247191E-2</v>
      </c>
      <c r="K173" s="94">
        <f>VLOOKUP(H173,'PCT data'!B:K,10,FALSE)</f>
        <v>0.96525596115309287</v>
      </c>
      <c r="L173" s="94">
        <f t="shared" si="5"/>
        <v>4.3382290388903046E-2</v>
      </c>
    </row>
    <row r="174" spans="1:12" x14ac:dyDescent="0.2">
      <c r="A174" s="21" t="s">
        <v>3069</v>
      </c>
      <c r="B174" s="21" t="s">
        <v>3668</v>
      </c>
      <c r="C174" s="21" t="s">
        <v>3108</v>
      </c>
      <c r="D174" s="21" t="s">
        <v>3111</v>
      </c>
      <c r="E174" s="21" t="s">
        <v>3112</v>
      </c>
      <c r="F174" s="21" t="s">
        <v>3268</v>
      </c>
      <c r="G174" s="21" t="s">
        <v>3269</v>
      </c>
      <c r="H174" s="21" t="s">
        <v>2120</v>
      </c>
      <c r="I174" s="21">
        <v>36</v>
      </c>
      <c r="J174" s="89">
        <f t="shared" si="4"/>
        <v>0.10112359550561797</v>
      </c>
      <c r="K174" s="94">
        <f>VLOOKUP(H174,'PCT data'!B:K,10,FALSE)</f>
        <v>0.96525596115309287</v>
      </c>
      <c r="L174" s="94">
        <f t="shared" si="5"/>
        <v>9.7610153375031858E-2</v>
      </c>
    </row>
    <row r="175" spans="1:12" x14ac:dyDescent="0.2">
      <c r="A175" s="21" t="s">
        <v>3069</v>
      </c>
      <c r="B175" s="21" t="s">
        <v>3668</v>
      </c>
      <c r="C175" s="21" t="s">
        <v>3108</v>
      </c>
      <c r="D175" s="21" t="s">
        <v>3113</v>
      </c>
      <c r="E175" s="21" t="s">
        <v>3114</v>
      </c>
      <c r="F175" s="21" t="s">
        <v>3270</v>
      </c>
      <c r="G175" s="21" t="s">
        <v>3269</v>
      </c>
      <c r="H175" s="21" t="s">
        <v>2120</v>
      </c>
      <c r="I175" s="21">
        <v>59</v>
      </c>
      <c r="J175" s="89">
        <f t="shared" si="4"/>
        <v>0.16573033707865167</v>
      </c>
      <c r="K175" s="94">
        <f>VLOOKUP(H175,'PCT data'!B:K,10,FALSE)</f>
        <v>0.96525596115309287</v>
      </c>
      <c r="L175" s="94">
        <f t="shared" si="5"/>
        <v>0.15997219580907998</v>
      </c>
    </row>
    <row r="176" spans="1:12" x14ac:dyDescent="0.2">
      <c r="A176" s="21" t="s">
        <v>3069</v>
      </c>
      <c r="B176" s="21" t="s">
        <v>3668</v>
      </c>
      <c r="C176" s="21" t="s">
        <v>3108</v>
      </c>
      <c r="D176" s="21" t="s">
        <v>3115</v>
      </c>
      <c r="E176" s="21" t="s">
        <v>3116</v>
      </c>
      <c r="F176" s="21" t="s">
        <v>3271</v>
      </c>
      <c r="G176" s="21" t="s">
        <v>3272</v>
      </c>
      <c r="H176" s="21" t="s">
        <v>2120</v>
      </c>
      <c r="I176" s="21">
        <v>84</v>
      </c>
      <c r="J176" s="89">
        <f t="shared" si="4"/>
        <v>0.23595505617977527</v>
      </c>
      <c r="K176" s="94">
        <f>VLOOKUP(H176,'PCT data'!B:K,10,FALSE)</f>
        <v>0.96525596115309287</v>
      </c>
      <c r="L176" s="94">
        <f t="shared" si="5"/>
        <v>0.22775702454174102</v>
      </c>
    </row>
    <row r="177" spans="1:12" x14ac:dyDescent="0.2">
      <c r="A177" s="21" t="s">
        <v>3069</v>
      </c>
      <c r="B177" s="21" t="s">
        <v>3668</v>
      </c>
      <c r="C177" s="21" t="s">
        <v>3108</v>
      </c>
      <c r="D177" s="21" t="s">
        <v>728</v>
      </c>
      <c r="E177" s="21" t="s">
        <v>729</v>
      </c>
      <c r="F177" s="21" t="s">
        <v>3271</v>
      </c>
      <c r="G177" s="21" t="s">
        <v>3272</v>
      </c>
      <c r="H177" s="21" t="s">
        <v>2120</v>
      </c>
      <c r="I177" s="21">
        <v>161</v>
      </c>
      <c r="J177" s="89">
        <f t="shared" si="4"/>
        <v>0.45224719101123595</v>
      </c>
      <c r="K177" s="94">
        <f>VLOOKUP(H177,'PCT data'!B:K,10,FALSE)</f>
        <v>0.96525596115309287</v>
      </c>
      <c r="L177" s="94">
        <f t="shared" si="5"/>
        <v>0.43653429703833696</v>
      </c>
    </row>
    <row r="178" spans="1:12" x14ac:dyDescent="0.2">
      <c r="A178" s="21" t="s">
        <v>1167</v>
      </c>
      <c r="B178" s="21" t="s">
        <v>2373</v>
      </c>
      <c r="C178" s="21" t="s">
        <v>2374</v>
      </c>
      <c r="D178" s="21" t="s">
        <v>3117</v>
      </c>
      <c r="E178" s="21" t="s">
        <v>3118</v>
      </c>
      <c r="F178" s="21" t="s">
        <v>3273</v>
      </c>
      <c r="G178" s="21" t="s">
        <v>3274</v>
      </c>
      <c r="H178" s="21" t="s">
        <v>3436</v>
      </c>
      <c r="I178" s="21">
        <v>283</v>
      </c>
      <c r="J178" s="89">
        <f t="shared" si="4"/>
        <v>1</v>
      </c>
      <c r="K178" s="94">
        <f>VLOOKUP(H178,'PCT data'!B:K,10,FALSE)</f>
        <v>1.2637887326437416</v>
      </c>
      <c r="L178" s="94">
        <f t="shared" si="5"/>
        <v>1.2637887326437416</v>
      </c>
    </row>
    <row r="179" spans="1:12" x14ac:dyDescent="0.2">
      <c r="A179" s="21" t="s">
        <v>3034</v>
      </c>
      <c r="B179" s="21" t="s">
        <v>2337</v>
      </c>
      <c r="C179" s="21" t="s">
        <v>2338</v>
      </c>
      <c r="D179" s="21" t="s">
        <v>3119</v>
      </c>
      <c r="E179" s="21" t="s">
        <v>3120</v>
      </c>
      <c r="F179" s="21" t="s">
        <v>3275</v>
      </c>
      <c r="G179" s="21" t="s">
        <v>3276</v>
      </c>
      <c r="H179" s="21" t="s">
        <v>3044</v>
      </c>
      <c r="I179" s="21">
        <v>72</v>
      </c>
      <c r="J179" s="89">
        <f t="shared" si="4"/>
        <v>6.0050041701417846E-2</v>
      </c>
      <c r="K179" s="94">
        <f>VLOOKUP(H179,'PCT data'!B:K,10,FALSE)</f>
        <v>1.0249625154512234</v>
      </c>
      <c r="L179" s="94">
        <f t="shared" si="5"/>
        <v>6.1549041795236098E-2</v>
      </c>
    </row>
    <row r="180" spans="1:12" x14ac:dyDescent="0.2">
      <c r="A180" s="21" t="s">
        <v>3034</v>
      </c>
      <c r="B180" s="21" t="s">
        <v>2337</v>
      </c>
      <c r="C180" s="21" t="s">
        <v>2338</v>
      </c>
      <c r="D180" s="21" t="s">
        <v>3121</v>
      </c>
      <c r="E180" s="21" t="s">
        <v>3122</v>
      </c>
      <c r="F180" s="21" t="s">
        <v>3277</v>
      </c>
      <c r="G180" s="21" t="s">
        <v>3278</v>
      </c>
      <c r="H180" s="21" t="s">
        <v>3044</v>
      </c>
      <c r="I180" s="21">
        <v>82</v>
      </c>
      <c r="J180" s="89">
        <f t="shared" si="4"/>
        <v>6.8390325271059219E-2</v>
      </c>
      <c r="K180" s="94">
        <f>VLOOKUP(H180,'PCT data'!B:K,10,FALSE)</f>
        <v>1.0249625154512234</v>
      </c>
      <c r="L180" s="94">
        <f t="shared" si="5"/>
        <v>7.0097519822352225E-2</v>
      </c>
    </row>
    <row r="181" spans="1:12" x14ac:dyDescent="0.2">
      <c r="A181" s="21" t="s">
        <v>3034</v>
      </c>
      <c r="B181" s="21" t="s">
        <v>2337</v>
      </c>
      <c r="C181" s="21" t="s">
        <v>2338</v>
      </c>
      <c r="D181" s="21" t="s">
        <v>3123</v>
      </c>
      <c r="E181" s="21" t="s">
        <v>3124</v>
      </c>
      <c r="F181" s="21" t="s">
        <v>3279</v>
      </c>
      <c r="G181" s="21" t="s">
        <v>3280</v>
      </c>
      <c r="H181" s="21" t="s">
        <v>3638</v>
      </c>
      <c r="I181" s="21">
        <v>305</v>
      </c>
      <c r="J181" s="89">
        <f t="shared" si="4"/>
        <v>0.2543786488740617</v>
      </c>
      <c r="K181" s="94">
        <f>VLOOKUP(H181,'PCT data'!B:K,10,FALSE)</f>
        <v>0.94535377638704965</v>
      </c>
      <c r="L181" s="94">
        <f t="shared" si="5"/>
        <v>0.24047781634532955</v>
      </c>
    </row>
    <row r="182" spans="1:12" x14ac:dyDescent="0.2">
      <c r="A182" s="21" t="s">
        <v>3034</v>
      </c>
      <c r="B182" s="21" t="s">
        <v>2337</v>
      </c>
      <c r="C182" s="21" t="s">
        <v>2338</v>
      </c>
      <c r="D182" s="21" t="s">
        <v>3125</v>
      </c>
      <c r="E182" s="21" t="s">
        <v>3126</v>
      </c>
      <c r="F182" s="21" t="s">
        <v>3281</v>
      </c>
      <c r="G182" s="21" t="s">
        <v>3282</v>
      </c>
      <c r="H182" s="21" t="s">
        <v>3044</v>
      </c>
      <c r="I182" s="21">
        <v>740</v>
      </c>
      <c r="J182" s="89">
        <f t="shared" si="4"/>
        <v>0.61718098415346123</v>
      </c>
      <c r="K182" s="94">
        <f>VLOOKUP(H182,'PCT data'!B:K,10,FALSE)</f>
        <v>1.0249625154512234</v>
      </c>
      <c r="L182" s="94">
        <f t="shared" si="5"/>
        <v>0.63258737400659326</v>
      </c>
    </row>
    <row r="183" spans="1:12" x14ac:dyDescent="0.2">
      <c r="A183" s="21" t="s">
        <v>1167</v>
      </c>
      <c r="B183" s="21" t="s">
        <v>401</v>
      </c>
      <c r="C183" s="21" t="s">
        <v>402</v>
      </c>
      <c r="D183" s="21" t="s">
        <v>3127</v>
      </c>
      <c r="E183" s="21" t="s">
        <v>3128</v>
      </c>
      <c r="F183" s="21" t="s">
        <v>3283</v>
      </c>
      <c r="G183" s="21" t="s">
        <v>3284</v>
      </c>
      <c r="H183" s="21" t="s">
        <v>3460</v>
      </c>
      <c r="I183" s="21">
        <v>53</v>
      </c>
      <c r="J183" s="89">
        <f t="shared" si="4"/>
        <v>1</v>
      </c>
      <c r="K183" s="94">
        <f>VLOOKUP(H183,'PCT data'!B:K,10,FALSE)</f>
        <v>1.2040821783456119</v>
      </c>
      <c r="L183" s="94">
        <f t="shared" si="5"/>
        <v>1.2040821783456119</v>
      </c>
    </row>
    <row r="184" spans="1:12" x14ac:dyDescent="0.2">
      <c r="A184" s="21" t="s">
        <v>3496</v>
      </c>
      <c r="B184" s="21" t="s">
        <v>387</v>
      </c>
      <c r="C184" s="21" t="s">
        <v>388</v>
      </c>
      <c r="D184" s="21" t="s">
        <v>728</v>
      </c>
      <c r="E184" s="21" t="s">
        <v>729</v>
      </c>
      <c r="F184" s="21" t="s">
        <v>3285</v>
      </c>
      <c r="G184" s="21" t="s">
        <v>3286</v>
      </c>
      <c r="H184" s="21" t="s">
        <v>3510</v>
      </c>
      <c r="I184" s="21">
        <v>7</v>
      </c>
      <c r="J184" s="89">
        <f t="shared" si="4"/>
        <v>1.12E-2</v>
      </c>
      <c r="K184" s="94">
        <f>VLOOKUP(H184,'PCT data'!B:K,10,FALSE)</f>
        <v>1.0647668849833098</v>
      </c>
      <c r="L184" s="94">
        <f t="shared" si="5"/>
        <v>1.1925389111813071E-2</v>
      </c>
    </row>
    <row r="185" spans="1:12" x14ac:dyDescent="0.2">
      <c r="A185" s="21" t="s">
        <v>3496</v>
      </c>
      <c r="B185" s="21" t="s">
        <v>387</v>
      </c>
      <c r="C185" s="21" t="s">
        <v>388</v>
      </c>
      <c r="D185" s="21" t="s">
        <v>3129</v>
      </c>
      <c r="E185" s="21" t="s">
        <v>3130</v>
      </c>
      <c r="F185" s="21" t="s">
        <v>3285</v>
      </c>
      <c r="G185" s="21" t="s">
        <v>3286</v>
      </c>
      <c r="H185" s="21" t="s">
        <v>3510</v>
      </c>
      <c r="I185" s="21">
        <v>618</v>
      </c>
      <c r="J185" s="89">
        <f t="shared" si="4"/>
        <v>0.98880000000000001</v>
      </c>
      <c r="K185" s="94">
        <f>VLOOKUP(H185,'PCT data'!B:K,10,FALSE)</f>
        <v>1.0647668849833098</v>
      </c>
      <c r="L185" s="94">
        <f t="shared" si="5"/>
        <v>1.0528414958714969</v>
      </c>
    </row>
    <row r="186" spans="1:12" x14ac:dyDescent="0.2">
      <c r="A186" s="21" t="s">
        <v>3496</v>
      </c>
      <c r="B186" s="21" t="s">
        <v>3704</v>
      </c>
      <c r="C186" s="21" t="s">
        <v>3705</v>
      </c>
      <c r="D186" s="21" t="s">
        <v>3131</v>
      </c>
      <c r="E186" s="21" t="s">
        <v>3132</v>
      </c>
      <c r="F186" s="21" t="s">
        <v>3287</v>
      </c>
      <c r="G186" s="21" t="s">
        <v>3288</v>
      </c>
      <c r="H186" s="21" t="s">
        <v>3512</v>
      </c>
      <c r="I186" s="21">
        <v>80</v>
      </c>
      <c r="J186" s="89">
        <f t="shared" si="4"/>
        <v>1</v>
      </c>
      <c r="K186" s="94">
        <f>VLOOKUP(H186,'PCT data'!B:K,10,FALSE)</f>
        <v>1.0548157926002883</v>
      </c>
      <c r="L186" s="94">
        <f t="shared" si="5"/>
        <v>1.0548157926002883</v>
      </c>
    </row>
    <row r="187" spans="1:12" x14ac:dyDescent="0.2">
      <c r="A187" s="21" t="s">
        <v>1167</v>
      </c>
      <c r="B187" s="21" t="s">
        <v>3688</v>
      </c>
      <c r="C187" s="21" t="s">
        <v>3689</v>
      </c>
      <c r="D187" s="21" t="s">
        <v>3133</v>
      </c>
      <c r="E187" s="21" t="s">
        <v>3134</v>
      </c>
      <c r="F187" s="21" t="s">
        <v>3289</v>
      </c>
      <c r="G187" s="21" t="s">
        <v>3290</v>
      </c>
      <c r="H187" s="21" t="s">
        <v>465</v>
      </c>
      <c r="I187" s="21">
        <v>40</v>
      </c>
      <c r="J187" s="89">
        <f t="shared" si="4"/>
        <v>8.0645161290322578E-2</v>
      </c>
      <c r="K187" s="94">
        <f>VLOOKUP(H187,'PCT data'!B:K,10,FALSE)</f>
        <v>1.154326716430494</v>
      </c>
      <c r="L187" s="94">
        <f t="shared" si="5"/>
        <v>9.3090864228265638E-2</v>
      </c>
    </row>
    <row r="188" spans="1:12" x14ac:dyDescent="0.2">
      <c r="A188" s="21" t="s">
        <v>1167</v>
      </c>
      <c r="B188" s="21" t="s">
        <v>3688</v>
      </c>
      <c r="C188" s="21" t="s">
        <v>3689</v>
      </c>
      <c r="D188" s="21" t="s">
        <v>3135</v>
      </c>
      <c r="E188" s="21" t="s">
        <v>3136</v>
      </c>
      <c r="F188" s="21" t="s">
        <v>3291</v>
      </c>
      <c r="G188" s="21" t="s">
        <v>3292</v>
      </c>
      <c r="H188" s="21" t="s">
        <v>465</v>
      </c>
      <c r="I188" s="21">
        <v>45</v>
      </c>
      <c r="J188" s="89">
        <f t="shared" si="4"/>
        <v>9.0725806451612906E-2</v>
      </c>
      <c r="K188" s="94">
        <f>VLOOKUP(H188,'PCT data'!B:K,10,FALSE)</f>
        <v>1.154326716430494</v>
      </c>
      <c r="L188" s="94">
        <f t="shared" si="5"/>
        <v>0.10472722225679885</v>
      </c>
    </row>
    <row r="189" spans="1:12" x14ac:dyDescent="0.2">
      <c r="A189" s="21" t="s">
        <v>1167</v>
      </c>
      <c r="B189" s="21" t="s">
        <v>3688</v>
      </c>
      <c r="C189" s="21" t="s">
        <v>3689</v>
      </c>
      <c r="D189" s="21" t="s">
        <v>728</v>
      </c>
      <c r="E189" s="21" t="s">
        <v>729</v>
      </c>
      <c r="F189" s="21" t="s">
        <v>3293</v>
      </c>
      <c r="G189" s="21" t="s">
        <v>3294</v>
      </c>
      <c r="H189" s="21" t="s">
        <v>3470</v>
      </c>
      <c r="I189" s="21">
        <v>64</v>
      </c>
      <c r="J189" s="89">
        <f t="shared" si="4"/>
        <v>0.12903225806451613</v>
      </c>
      <c r="K189" s="94">
        <f>VLOOKUP(H189,'PCT data'!B:K,10,FALSE)</f>
        <v>1.0747179773663313</v>
      </c>
      <c r="L189" s="94">
        <f t="shared" si="5"/>
        <v>0.13867328740210727</v>
      </c>
    </row>
    <row r="190" spans="1:12" x14ac:dyDescent="0.2">
      <c r="A190" s="21" t="s">
        <v>1167</v>
      </c>
      <c r="B190" s="21" t="s">
        <v>3688</v>
      </c>
      <c r="C190" s="21" t="s">
        <v>3689</v>
      </c>
      <c r="D190" s="21" t="s">
        <v>3137</v>
      </c>
      <c r="E190" s="21" t="s">
        <v>3138</v>
      </c>
      <c r="F190" s="21" t="s">
        <v>963</v>
      </c>
      <c r="G190" s="21" t="s">
        <v>964</v>
      </c>
      <c r="H190" s="21" t="s">
        <v>3474</v>
      </c>
      <c r="I190" s="21">
        <v>71</v>
      </c>
      <c r="J190" s="89">
        <f t="shared" si="4"/>
        <v>0.14314516129032259</v>
      </c>
      <c r="K190" s="94">
        <f>VLOOKUP(H190,'PCT data'!B:K,10,FALSE)</f>
        <v>1.1443756240474725</v>
      </c>
      <c r="L190" s="94">
        <f t="shared" si="5"/>
        <v>0.16381183328098903</v>
      </c>
    </row>
    <row r="191" spans="1:12" x14ac:dyDescent="0.2">
      <c r="A191" s="21" t="s">
        <v>1167</v>
      </c>
      <c r="B191" s="21" t="s">
        <v>3688</v>
      </c>
      <c r="C191" s="21" t="s">
        <v>3689</v>
      </c>
      <c r="D191" s="21" t="s">
        <v>3139</v>
      </c>
      <c r="E191" s="21" t="s">
        <v>3140</v>
      </c>
      <c r="F191" s="21" t="s">
        <v>3295</v>
      </c>
      <c r="G191" s="21" t="s">
        <v>3294</v>
      </c>
      <c r="H191" s="21" t="s">
        <v>3470</v>
      </c>
      <c r="I191" s="21">
        <v>84</v>
      </c>
      <c r="J191" s="89">
        <f t="shared" si="4"/>
        <v>0.16935483870967741</v>
      </c>
      <c r="K191" s="94">
        <f>VLOOKUP(H191,'PCT data'!B:K,10,FALSE)</f>
        <v>1.0747179773663313</v>
      </c>
      <c r="L191" s="94">
        <f t="shared" si="5"/>
        <v>0.18200868971526579</v>
      </c>
    </row>
    <row r="192" spans="1:12" x14ac:dyDescent="0.2">
      <c r="A192" s="21" t="s">
        <v>1167</v>
      </c>
      <c r="B192" s="21" t="s">
        <v>3688</v>
      </c>
      <c r="C192" s="21" t="s">
        <v>3689</v>
      </c>
      <c r="D192" s="21" t="s">
        <v>3141</v>
      </c>
      <c r="E192" s="21" t="s">
        <v>3142</v>
      </c>
      <c r="F192" s="21" t="s">
        <v>3296</v>
      </c>
      <c r="G192" s="21" t="s">
        <v>941</v>
      </c>
      <c r="H192" s="21" t="s">
        <v>458</v>
      </c>
      <c r="I192" s="21">
        <v>93</v>
      </c>
      <c r="J192" s="89">
        <f t="shared" si="4"/>
        <v>0.1875</v>
      </c>
      <c r="K192" s="94">
        <f>VLOOKUP(H192,'PCT data'!B:K,10,FALSE)</f>
        <v>1.1145223468984178</v>
      </c>
      <c r="L192" s="94">
        <f t="shared" si="5"/>
        <v>0.20897294004345335</v>
      </c>
    </row>
    <row r="193" spans="1:12" x14ac:dyDescent="0.2">
      <c r="A193" s="21" t="s">
        <v>1167</v>
      </c>
      <c r="B193" s="21" t="s">
        <v>3688</v>
      </c>
      <c r="C193" s="21" t="s">
        <v>3689</v>
      </c>
      <c r="D193" s="21" t="s">
        <v>3143</v>
      </c>
      <c r="E193" s="21" t="s">
        <v>3144</v>
      </c>
      <c r="F193" s="21" t="s">
        <v>936</v>
      </c>
      <c r="G193" s="21" t="s">
        <v>937</v>
      </c>
      <c r="H193" s="21" t="s">
        <v>465</v>
      </c>
      <c r="I193" s="21">
        <v>99</v>
      </c>
      <c r="J193" s="89">
        <f t="shared" si="4"/>
        <v>0.19959677419354838</v>
      </c>
      <c r="K193" s="94">
        <f>VLOOKUP(H193,'PCT data'!B:K,10,FALSE)</f>
        <v>1.154326716430494</v>
      </c>
      <c r="L193" s="94">
        <f t="shared" si="5"/>
        <v>0.23039988896495747</v>
      </c>
    </row>
    <row r="194" spans="1:12" x14ac:dyDescent="0.2">
      <c r="A194" s="21" t="s">
        <v>3496</v>
      </c>
      <c r="B194" s="21" t="s">
        <v>685</v>
      </c>
      <c r="C194" s="21" t="s">
        <v>3145</v>
      </c>
      <c r="D194" s="21" t="s">
        <v>3146</v>
      </c>
      <c r="E194" s="21" t="s">
        <v>3147</v>
      </c>
      <c r="F194" s="21" t="s">
        <v>3297</v>
      </c>
      <c r="G194" s="21" t="s">
        <v>3298</v>
      </c>
      <c r="H194" s="21" t="s">
        <v>3512</v>
      </c>
      <c r="I194" s="21">
        <v>131</v>
      </c>
      <c r="J194" s="89">
        <f t="shared" si="4"/>
        <v>0.13435897435897437</v>
      </c>
      <c r="K194" s="94">
        <f>VLOOKUP(H194,'PCT data'!B:K,10,FALSE)</f>
        <v>1.0548157926002883</v>
      </c>
      <c r="L194" s="94">
        <f t="shared" si="5"/>
        <v>0.14172396803142337</v>
      </c>
    </row>
    <row r="195" spans="1:12" x14ac:dyDescent="0.2">
      <c r="A195" s="21" t="s">
        <v>3496</v>
      </c>
      <c r="B195" s="21" t="s">
        <v>685</v>
      </c>
      <c r="C195" s="21" t="s">
        <v>3145</v>
      </c>
      <c r="D195" s="21" t="s">
        <v>3148</v>
      </c>
      <c r="E195" s="21" t="s">
        <v>3149</v>
      </c>
      <c r="F195" s="21" t="s">
        <v>3299</v>
      </c>
      <c r="G195" s="21" t="s">
        <v>3300</v>
      </c>
      <c r="H195" s="21" t="s">
        <v>3512</v>
      </c>
      <c r="I195" s="21">
        <v>443</v>
      </c>
      <c r="J195" s="89">
        <f t="shared" ref="J195:J258" si="6">I195/SUMIF(B:B,B195,I:I)</f>
        <v>0.45435897435897438</v>
      </c>
      <c r="K195" s="94">
        <f>VLOOKUP(H195,'PCT data'!B:K,10,FALSE)</f>
        <v>1.0548157926002883</v>
      </c>
      <c r="L195" s="94">
        <f t="shared" ref="L195:L258" si="7">K195*J195</f>
        <v>0.47926502166351564</v>
      </c>
    </row>
    <row r="196" spans="1:12" x14ac:dyDescent="0.2">
      <c r="A196" s="21" t="s">
        <v>3496</v>
      </c>
      <c r="B196" s="21" t="s">
        <v>685</v>
      </c>
      <c r="C196" s="21" t="s">
        <v>3150</v>
      </c>
      <c r="D196" s="21" t="s">
        <v>3151</v>
      </c>
      <c r="E196" s="21" t="s">
        <v>3152</v>
      </c>
      <c r="F196" s="21" t="s">
        <v>3301</v>
      </c>
      <c r="G196" s="21" t="s">
        <v>3302</v>
      </c>
      <c r="H196" s="21" t="s">
        <v>3512</v>
      </c>
      <c r="I196" s="21">
        <v>401</v>
      </c>
      <c r="J196" s="89">
        <f t="shared" si="6"/>
        <v>0.41128205128205131</v>
      </c>
      <c r="K196" s="94">
        <f>VLOOKUP(H196,'PCT data'!B:K,10,FALSE)</f>
        <v>1.0548157926002883</v>
      </c>
      <c r="L196" s="94">
        <f t="shared" si="7"/>
        <v>0.43382680290534936</v>
      </c>
    </row>
    <row r="197" spans="1:12" x14ac:dyDescent="0.2">
      <c r="A197" s="21" t="s">
        <v>1167</v>
      </c>
      <c r="B197" s="21" t="s">
        <v>612</v>
      </c>
      <c r="C197" s="21" t="s">
        <v>613</v>
      </c>
      <c r="D197" s="21" t="s">
        <v>3153</v>
      </c>
      <c r="E197" s="21" t="s">
        <v>3154</v>
      </c>
      <c r="F197" s="21" t="s">
        <v>3303</v>
      </c>
      <c r="G197" s="21" t="s">
        <v>3304</v>
      </c>
      <c r="H197" s="21" t="s">
        <v>3439</v>
      </c>
      <c r="I197" s="21">
        <v>81</v>
      </c>
      <c r="J197" s="89">
        <f t="shared" si="6"/>
        <v>0.39705882352941174</v>
      </c>
      <c r="K197" s="94">
        <f>VLOOKUP(H197,'PCT data'!B:K,10,FALSE)</f>
        <v>1.2836909174097848</v>
      </c>
      <c r="L197" s="94">
        <f t="shared" si="7"/>
        <v>0.50970080544212037</v>
      </c>
    </row>
    <row r="198" spans="1:12" x14ac:dyDescent="0.2">
      <c r="A198" s="21" t="s">
        <v>1167</v>
      </c>
      <c r="B198" s="21" t="s">
        <v>612</v>
      </c>
      <c r="C198" s="21" t="s">
        <v>613</v>
      </c>
      <c r="D198" s="21" t="s">
        <v>3155</v>
      </c>
      <c r="E198" s="21" t="s">
        <v>3156</v>
      </c>
      <c r="F198" s="21" t="s">
        <v>3305</v>
      </c>
      <c r="G198" s="21" t="s">
        <v>3306</v>
      </c>
      <c r="H198" s="21" t="s">
        <v>3444</v>
      </c>
      <c r="I198" s="21">
        <v>123</v>
      </c>
      <c r="J198" s="89">
        <f t="shared" si="6"/>
        <v>0.6029411764705882</v>
      </c>
      <c r="K198" s="94">
        <f>VLOOKUP(H198,'PCT data'!B:K,10,FALSE)</f>
        <v>1.1443756240474725</v>
      </c>
      <c r="L198" s="94">
        <f t="shared" si="7"/>
        <v>0.68999118508744661</v>
      </c>
    </row>
    <row r="199" spans="1:12" x14ac:dyDescent="0.2">
      <c r="A199" s="21" t="s">
        <v>2133</v>
      </c>
      <c r="B199" s="21" t="s">
        <v>2279</v>
      </c>
      <c r="C199" s="21" t="s">
        <v>2280</v>
      </c>
      <c r="D199" s="21" t="s">
        <v>3157</v>
      </c>
      <c r="E199" s="21" t="s">
        <v>3158</v>
      </c>
      <c r="F199" s="21" t="s">
        <v>3307</v>
      </c>
      <c r="G199" s="21" t="s">
        <v>3308</v>
      </c>
      <c r="H199" s="21" t="s">
        <v>2138</v>
      </c>
      <c r="I199" s="21">
        <v>44</v>
      </c>
      <c r="J199" s="89">
        <f t="shared" si="6"/>
        <v>0.17741935483870969</v>
      </c>
      <c r="K199" s="94">
        <f>VLOOKUP(H199,'PCT data'!B:K,10,FALSE)</f>
        <v>0.94535377638704965</v>
      </c>
      <c r="L199" s="94">
        <f t="shared" si="7"/>
        <v>0.16772405710092816</v>
      </c>
    </row>
    <row r="200" spans="1:12" x14ac:dyDescent="0.2">
      <c r="A200" s="21" t="s">
        <v>2133</v>
      </c>
      <c r="B200" s="21" t="s">
        <v>2279</v>
      </c>
      <c r="C200" s="21" t="s">
        <v>2280</v>
      </c>
      <c r="D200" s="21" t="s">
        <v>3159</v>
      </c>
      <c r="E200" s="21" t="s">
        <v>3160</v>
      </c>
      <c r="F200" s="21" t="s">
        <v>3309</v>
      </c>
      <c r="G200" s="21" t="s">
        <v>3310</v>
      </c>
      <c r="H200" s="21" t="s">
        <v>2135</v>
      </c>
      <c r="I200" s="21">
        <v>204</v>
      </c>
      <c r="J200" s="89">
        <f t="shared" si="6"/>
        <v>0.82258064516129037</v>
      </c>
      <c r="K200" s="94">
        <f>VLOOKUP(H200,'PCT data'!B:K,10,FALSE)</f>
        <v>0.94535377638704965</v>
      </c>
      <c r="L200" s="94">
        <f t="shared" si="7"/>
        <v>0.77762971928612157</v>
      </c>
    </row>
    <row r="201" spans="1:12" x14ac:dyDescent="0.2">
      <c r="A201" s="21" t="s">
        <v>2975</v>
      </c>
      <c r="B201" s="21" t="s">
        <v>3722</v>
      </c>
      <c r="C201" s="21" t="s">
        <v>3723</v>
      </c>
      <c r="D201" s="21" t="s">
        <v>3161</v>
      </c>
      <c r="E201" s="21" t="s">
        <v>3162</v>
      </c>
      <c r="F201" s="21" t="s">
        <v>3311</v>
      </c>
      <c r="G201" s="21" t="s">
        <v>1077</v>
      </c>
      <c r="H201" s="21" t="s">
        <v>2979</v>
      </c>
      <c r="I201" s="21">
        <v>174</v>
      </c>
      <c r="J201" s="89">
        <f t="shared" si="6"/>
        <v>0.17452357071213642</v>
      </c>
      <c r="K201" s="94">
        <f>VLOOKUP(H201,'PCT data'!B:K,10,FALSE)</f>
        <v>0.91550049923798604</v>
      </c>
      <c r="L201" s="94">
        <f t="shared" si="7"/>
        <v>0.15977641611575685</v>
      </c>
    </row>
    <row r="202" spans="1:12" x14ac:dyDescent="0.2">
      <c r="A202" s="21" t="s">
        <v>2975</v>
      </c>
      <c r="B202" s="21" t="s">
        <v>3722</v>
      </c>
      <c r="C202" s="21" t="s">
        <v>3723</v>
      </c>
      <c r="D202" s="21" t="s">
        <v>3163</v>
      </c>
      <c r="E202" s="21" t="s">
        <v>3164</v>
      </c>
      <c r="F202" s="21" t="s">
        <v>3312</v>
      </c>
      <c r="G202" s="21" t="s">
        <v>3313</v>
      </c>
      <c r="H202" s="21" t="s">
        <v>2979</v>
      </c>
      <c r="I202" s="21">
        <v>823</v>
      </c>
      <c r="J202" s="89">
        <f t="shared" si="6"/>
        <v>0.82547642928786358</v>
      </c>
      <c r="K202" s="94">
        <f>VLOOKUP(H202,'PCT data'!B:K,10,FALSE)</f>
        <v>0.91550049923798604</v>
      </c>
      <c r="L202" s="94">
        <f t="shared" si="7"/>
        <v>0.75572408312222916</v>
      </c>
    </row>
    <row r="203" spans="1:12" x14ac:dyDescent="0.2">
      <c r="A203" s="21" t="s">
        <v>1127</v>
      </c>
      <c r="B203" s="21" t="s">
        <v>393</v>
      </c>
      <c r="C203" s="21" t="s">
        <v>394</v>
      </c>
      <c r="D203" s="21" t="s">
        <v>3165</v>
      </c>
      <c r="E203" s="21" t="s">
        <v>3166</v>
      </c>
      <c r="F203" s="21" t="s">
        <v>3314</v>
      </c>
      <c r="G203" s="21" t="s">
        <v>3315</v>
      </c>
      <c r="H203" s="21" t="s">
        <v>1151</v>
      </c>
      <c r="I203" s="21">
        <v>24</v>
      </c>
      <c r="J203" s="89">
        <f t="shared" si="6"/>
        <v>3.0927835051546393E-2</v>
      </c>
      <c r="K203" s="94">
        <f>VLOOKUP(H203,'PCT data'!B:K,10,FALSE)</f>
        <v>1.0249625154512234</v>
      </c>
      <c r="L203" s="94">
        <f t="shared" si="7"/>
        <v>3.1699871611893506E-2</v>
      </c>
    </row>
    <row r="204" spans="1:12" x14ac:dyDescent="0.2">
      <c r="A204" s="21" t="s">
        <v>1127</v>
      </c>
      <c r="B204" s="21" t="s">
        <v>393</v>
      </c>
      <c r="C204" s="21" t="s">
        <v>394</v>
      </c>
      <c r="D204" s="21" t="s">
        <v>3167</v>
      </c>
      <c r="E204" s="21" t="s">
        <v>3168</v>
      </c>
      <c r="F204" s="21" t="s">
        <v>3316</v>
      </c>
      <c r="G204" s="21" t="s">
        <v>3317</v>
      </c>
      <c r="H204" s="21" t="s">
        <v>1151</v>
      </c>
      <c r="I204" s="21">
        <v>26</v>
      </c>
      <c r="J204" s="89">
        <f t="shared" si="6"/>
        <v>3.3505154639175257E-2</v>
      </c>
      <c r="K204" s="94">
        <f>VLOOKUP(H204,'PCT data'!B:K,10,FALSE)</f>
        <v>1.0249625154512234</v>
      </c>
      <c r="L204" s="94">
        <f t="shared" si="7"/>
        <v>3.4341527579551299E-2</v>
      </c>
    </row>
    <row r="205" spans="1:12" x14ac:dyDescent="0.2">
      <c r="A205" s="21" t="s">
        <v>1127</v>
      </c>
      <c r="B205" s="21" t="s">
        <v>393</v>
      </c>
      <c r="C205" s="21" t="s">
        <v>394</v>
      </c>
      <c r="D205" s="21" t="s">
        <v>3169</v>
      </c>
      <c r="E205" s="21" t="s">
        <v>3170</v>
      </c>
      <c r="F205" s="21" t="s">
        <v>3318</v>
      </c>
      <c r="G205" s="21" t="s">
        <v>3319</v>
      </c>
      <c r="H205" s="21" t="s">
        <v>1151</v>
      </c>
      <c r="I205" s="21">
        <v>129</v>
      </c>
      <c r="J205" s="89">
        <f t="shared" si="6"/>
        <v>0.16623711340206185</v>
      </c>
      <c r="K205" s="94">
        <f>VLOOKUP(H205,'PCT data'!B:K,10,FALSE)</f>
        <v>1.0249625154512234</v>
      </c>
      <c r="L205" s="94">
        <f t="shared" si="7"/>
        <v>0.1703868099139276</v>
      </c>
    </row>
    <row r="206" spans="1:12" x14ac:dyDescent="0.2">
      <c r="A206" s="21" t="s">
        <v>1127</v>
      </c>
      <c r="B206" s="21" t="s">
        <v>393</v>
      </c>
      <c r="C206" s="21" t="s">
        <v>394</v>
      </c>
      <c r="D206" s="21" t="s">
        <v>3171</v>
      </c>
      <c r="E206" s="21" t="s">
        <v>3172</v>
      </c>
      <c r="F206" s="21" t="s">
        <v>3320</v>
      </c>
      <c r="G206" s="21" t="s">
        <v>3321</v>
      </c>
      <c r="H206" s="21" t="s">
        <v>1151</v>
      </c>
      <c r="I206" s="21">
        <v>597</v>
      </c>
      <c r="J206" s="89">
        <f t="shared" si="6"/>
        <v>0.76932989690721654</v>
      </c>
      <c r="K206" s="94">
        <f>VLOOKUP(H206,'PCT data'!B:K,10,FALSE)</f>
        <v>1.0249625154512234</v>
      </c>
      <c r="L206" s="94">
        <f t="shared" si="7"/>
        <v>0.78853430634585109</v>
      </c>
    </row>
    <row r="207" spans="1:12" x14ac:dyDescent="0.2">
      <c r="A207" s="21" t="s">
        <v>1167</v>
      </c>
      <c r="B207" s="21" t="s">
        <v>2316</v>
      </c>
      <c r="C207" s="21" t="s">
        <v>2317</v>
      </c>
      <c r="D207" s="21" t="s">
        <v>3173</v>
      </c>
      <c r="E207" s="21" t="s">
        <v>3174</v>
      </c>
      <c r="F207" s="21" t="s">
        <v>3322</v>
      </c>
      <c r="G207" s="21" t="s">
        <v>3323</v>
      </c>
      <c r="H207" s="21" t="s">
        <v>3439</v>
      </c>
      <c r="I207" s="21">
        <v>429</v>
      </c>
      <c r="J207" s="89">
        <f t="shared" si="6"/>
        <v>1</v>
      </c>
      <c r="K207" s="94">
        <f>VLOOKUP(H207,'PCT data'!B:K,10,FALSE)</f>
        <v>1.2836909174097848</v>
      </c>
      <c r="L207" s="94">
        <f t="shared" si="7"/>
        <v>1.2836909174097848</v>
      </c>
    </row>
    <row r="208" spans="1:12" x14ac:dyDescent="0.2">
      <c r="A208" s="21" t="s">
        <v>1127</v>
      </c>
      <c r="B208" s="21" t="s">
        <v>1322</v>
      </c>
      <c r="C208" s="21" t="s">
        <v>1323</v>
      </c>
      <c r="D208" s="21" t="s">
        <v>3175</v>
      </c>
      <c r="E208" s="21" t="s">
        <v>3176</v>
      </c>
      <c r="F208" s="21" t="s">
        <v>3324</v>
      </c>
      <c r="G208" s="21" t="s">
        <v>3325</v>
      </c>
      <c r="H208" s="21" t="s">
        <v>1133</v>
      </c>
      <c r="I208" s="21">
        <v>266</v>
      </c>
      <c r="J208" s="89">
        <f t="shared" si="6"/>
        <v>1</v>
      </c>
      <c r="K208" s="94">
        <f>VLOOKUP(H208,'PCT data'!B:K,10,FALSE)</f>
        <v>0.97520705353611448</v>
      </c>
      <c r="L208" s="94">
        <f t="shared" si="7"/>
        <v>0.97520705353611448</v>
      </c>
    </row>
    <row r="209" spans="1:12" x14ac:dyDescent="0.2">
      <c r="A209" s="21" t="s">
        <v>1127</v>
      </c>
      <c r="B209" s="21" t="s">
        <v>604</v>
      </c>
      <c r="C209" s="21" t="s">
        <v>605</v>
      </c>
      <c r="D209" s="21" t="s">
        <v>3177</v>
      </c>
      <c r="E209" s="21" t="s">
        <v>3178</v>
      </c>
      <c r="F209" s="21" t="s">
        <v>3326</v>
      </c>
      <c r="G209" s="21" t="s">
        <v>3327</v>
      </c>
      <c r="H209" s="21" t="s">
        <v>1159</v>
      </c>
      <c r="I209" s="21">
        <v>511</v>
      </c>
      <c r="J209" s="89">
        <f t="shared" si="6"/>
        <v>1</v>
      </c>
      <c r="K209" s="94">
        <f>VLOOKUP(H209,'PCT data'!B:K,10,FALSE)</f>
        <v>1.0548157926002883</v>
      </c>
      <c r="L209" s="94">
        <f t="shared" si="7"/>
        <v>1.0548157926002883</v>
      </c>
    </row>
    <row r="210" spans="1:12" x14ac:dyDescent="0.2">
      <c r="A210" s="21" t="s">
        <v>1167</v>
      </c>
      <c r="B210" s="21" t="s">
        <v>1324</v>
      </c>
      <c r="C210" s="21" t="s">
        <v>1325</v>
      </c>
      <c r="D210" s="21" t="s">
        <v>3179</v>
      </c>
      <c r="E210" s="21" t="s">
        <v>3180</v>
      </c>
      <c r="F210" s="21" t="s">
        <v>3328</v>
      </c>
      <c r="G210" s="21" t="s">
        <v>3329</v>
      </c>
      <c r="H210" s="21" t="s">
        <v>3449</v>
      </c>
      <c r="I210" s="21">
        <v>50</v>
      </c>
      <c r="J210" s="89">
        <f t="shared" si="6"/>
        <v>0.11210762331838565</v>
      </c>
      <c r="K210" s="94">
        <f>VLOOKUP(H210,'PCT data'!B:K,10,FALSE)</f>
        <v>1.2040821783456119</v>
      </c>
      <c r="L210" s="94">
        <f t="shared" si="7"/>
        <v>0.13498679129435112</v>
      </c>
    </row>
    <row r="211" spans="1:12" x14ac:dyDescent="0.2">
      <c r="A211" s="21" t="s">
        <v>1167</v>
      </c>
      <c r="B211" s="21" t="s">
        <v>1324</v>
      </c>
      <c r="C211" s="21" t="s">
        <v>1325</v>
      </c>
      <c r="D211" s="21" t="s">
        <v>3181</v>
      </c>
      <c r="E211" s="21" t="s">
        <v>3182</v>
      </c>
      <c r="F211" s="21" t="s">
        <v>3328</v>
      </c>
      <c r="G211" s="21" t="s">
        <v>3329</v>
      </c>
      <c r="H211" s="21" t="s">
        <v>3449</v>
      </c>
      <c r="I211" s="21">
        <v>396</v>
      </c>
      <c r="J211" s="89">
        <f t="shared" si="6"/>
        <v>0.88789237668161436</v>
      </c>
      <c r="K211" s="94">
        <f>VLOOKUP(H211,'PCT data'!B:K,10,FALSE)</f>
        <v>1.2040821783456119</v>
      </c>
      <c r="L211" s="94">
        <f t="shared" si="7"/>
        <v>1.0690953870512607</v>
      </c>
    </row>
    <row r="212" spans="1:12" x14ac:dyDescent="0.2">
      <c r="A212" s="21" t="s">
        <v>2133</v>
      </c>
      <c r="B212" s="21" t="s">
        <v>2389</v>
      </c>
      <c r="C212" s="21" t="s">
        <v>2390</v>
      </c>
      <c r="D212" s="21" t="s">
        <v>3183</v>
      </c>
      <c r="E212" s="21" t="s">
        <v>3184</v>
      </c>
      <c r="F212" s="21" t="s">
        <v>3330</v>
      </c>
      <c r="G212" s="21" t="s">
        <v>3331</v>
      </c>
      <c r="H212" s="21" t="s">
        <v>1401</v>
      </c>
      <c r="I212" s="21">
        <v>260</v>
      </c>
      <c r="J212" s="89">
        <f t="shared" si="6"/>
        <v>0.14994232987312572</v>
      </c>
      <c r="K212" s="94">
        <f>VLOOKUP(H212,'PCT data'!B:K,10,FALSE)</f>
        <v>0.95530486877007126</v>
      </c>
      <c r="L212" s="94">
        <f t="shared" si="7"/>
        <v>0.1432406377625251</v>
      </c>
    </row>
    <row r="213" spans="1:12" x14ac:dyDescent="0.2">
      <c r="A213" s="21" t="s">
        <v>2133</v>
      </c>
      <c r="B213" s="21" t="s">
        <v>2389</v>
      </c>
      <c r="C213" s="21" t="s">
        <v>2390</v>
      </c>
      <c r="D213" s="21" t="s">
        <v>3185</v>
      </c>
      <c r="E213" s="21" t="s">
        <v>3186</v>
      </c>
      <c r="F213" s="21" t="s">
        <v>3332</v>
      </c>
      <c r="G213" s="21" t="s">
        <v>3333</v>
      </c>
      <c r="H213" s="21" t="s">
        <v>2148</v>
      </c>
      <c r="I213" s="21">
        <v>595</v>
      </c>
      <c r="J213" s="89">
        <f t="shared" si="6"/>
        <v>0.34313725490196079</v>
      </c>
      <c r="K213" s="94">
        <f>VLOOKUP(H213,'PCT data'!B:K,10,FALSE)</f>
        <v>0.94535377638704965</v>
      </c>
      <c r="L213" s="94">
        <f t="shared" si="7"/>
        <v>0.3243860997406543</v>
      </c>
    </row>
    <row r="214" spans="1:12" x14ac:dyDescent="0.2">
      <c r="A214" s="21" t="s">
        <v>2133</v>
      </c>
      <c r="B214" s="21" t="s">
        <v>2389</v>
      </c>
      <c r="C214" s="21" t="s">
        <v>2390</v>
      </c>
      <c r="D214" s="21" t="s">
        <v>3187</v>
      </c>
      <c r="E214" s="21" t="s">
        <v>3188</v>
      </c>
      <c r="F214" s="21" t="s">
        <v>3334</v>
      </c>
      <c r="G214" s="21" t="s">
        <v>3335</v>
      </c>
      <c r="H214" s="21" t="s">
        <v>2148</v>
      </c>
      <c r="I214" s="21">
        <v>879</v>
      </c>
      <c r="J214" s="89">
        <f t="shared" si="6"/>
        <v>0.50692041522491349</v>
      </c>
      <c r="K214" s="94">
        <f>VLOOKUP(H214,'PCT data'!B:K,10,FALSE)</f>
        <v>0.94535377638704965</v>
      </c>
      <c r="L214" s="94">
        <f t="shared" si="7"/>
        <v>0.47921912886056323</v>
      </c>
    </row>
    <row r="215" spans="1:12" x14ac:dyDescent="0.2">
      <c r="A215" s="21" t="s">
        <v>708</v>
      </c>
      <c r="B215" s="21" t="s">
        <v>2367</v>
      </c>
      <c r="C215" s="21" t="s">
        <v>2368</v>
      </c>
      <c r="D215" s="21" t="s">
        <v>3189</v>
      </c>
      <c r="E215" s="21" t="s">
        <v>3190</v>
      </c>
      <c r="F215" s="21" t="s">
        <v>3336</v>
      </c>
      <c r="G215" s="21" t="s">
        <v>3337</v>
      </c>
      <c r="H215" s="21" t="s">
        <v>714</v>
      </c>
      <c r="I215" s="21">
        <v>63</v>
      </c>
      <c r="J215" s="89">
        <f t="shared" si="6"/>
        <v>8.3333333333333329E-2</v>
      </c>
      <c r="K215" s="94">
        <f>VLOOKUP(H215,'PCT data'!B:K,10,FALSE)</f>
        <v>0.97520705353611448</v>
      </c>
      <c r="L215" s="94">
        <f t="shared" si="7"/>
        <v>8.1267254461342864E-2</v>
      </c>
    </row>
    <row r="216" spans="1:12" x14ac:dyDescent="0.2">
      <c r="A216" s="21" t="s">
        <v>708</v>
      </c>
      <c r="B216" s="21" t="s">
        <v>2367</v>
      </c>
      <c r="C216" s="21" t="s">
        <v>2368</v>
      </c>
      <c r="D216" s="21" t="s">
        <v>3191</v>
      </c>
      <c r="E216" s="21" t="s">
        <v>3192</v>
      </c>
      <c r="F216" s="21" t="s">
        <v>3338</v>
      </c>
      <c r="G216" s="21" t="s">
        <v>3339</v>
      </c>
      <c r="H216" s="21" t="s">
        <v>714</v>
      </c>
      <c r="I216" s="21">
        <v>693</v>
      </c>
      <c r="J216" s="89">
        <f t="shared" si="6"/>
        <v>0.91666666666666663</v>
      </c>
      <c r="K216" s="94">
        <f>VLOOKUP(H216,'PCT data'!B:K,10,FALSE)</f>
        <v>0.97520705353611448</v>
      </c>
      <c r="L216" s="94">
        <f t="shared" si="7"/>
        <v>0.89393979907477161</v>
      </c>
    </row>
    <row r="217" spans="1:12" x14ac:dyDescent="0.2">
      <c r="A217" s="21" t="s">
        <v>3034</v>
      </c>
      <c r="B217" s="21" t="s">
        <v>363</v>
      </c>
      <c r="C217" s="21" t="s">
        <v>364</v>
      </c>
      <c r="D217" s="21" t="s">
        <v>3193</v>
      </c>
      <c r="E217" s="21" t="s">
        <v>3194</v>
      </c>
      <c r="F217" s="21" t="s">
        <v>3340</v>
      </c>
      <c r="G217" s="21" t="s">
        <v>3341</v>
      </c>
      <c r="H217" s="21" t="s">
        <v>3052</v>
      </c>
      <c r="I217" s="21">
        <v>21</v>
      </c>
      <c r="J217" s="89">
        <f t="shared" si="6"/>
        <v>9.9573257467994308E-3</v>
      </c>
      <c r="K217" s="94">
        <f>VLOOKUP(H217,'PCT data'!B:K,10,FALSE)</f>
        <v>0.97520705353611448</v>
      </c>
      <c r="L217" s="94">
        <f t="shared" si="7"/>
        <v>9.7104543026355628E-3</v>
      </c>
    </row>
    <row r="218" spans="1:12" x14ac:dyDescent="0.2">
      <c r="A218" s="21" t="s">
        <v>3034</v>
      </c>
      <c r="B218" s="21" t="s">
        <v>363</v>
      </c>
      <c r="C218" s="21" t="s">
        <v>364</v>
      </c>
      <c r="D218" s="21" t="s">
        <v>3195</v>
      </c>
      <c r="E218" s="21" t="s">
        <v>3196</v>
      </c>
      <c r="F218" s="21" t="s">
        <v>3342</v>
      </c>
      <c r="G218" s="21" t="s">
        <v>3343</v>
      </c>
      <c r="H218" s="21" t="s">
        <v>3052</v>
      </c>
      <c r="I218" s="21">
        <v>75</v>
      </c>
      <c r="J218" s="89">
        <f t="shared" si="6"/>
        <v>3.5561877667140827E-2</v>
      </c>
      <c r="K218" s="94">
        <f>VLOOKUP(H218,'PCT data'!B:K,10,FALSE)</f>
        <v>0.97520705353611448</v>
      </c>
      <c r="L218" s="94">
        <f t="shared" si="7"/>
        <v>3.4680193937984161E-2</v>
      </c>
    </row>
    <row r="219" spans="1:12" x14ac:dyDescent="0.2">
      <c r="A219" s="21" t="s">
        <v>3034</v>
      </c>
      <c r="B219" s="21" t="s">
        <v>363</v>
      </c>
      <c r="C219" s="21" t="s">
        <v>364</v>
      </c>
      <c r="D219" s="21" t="s">
        <v>3197</v>
      </c>
      <c r="E219" s="21" t="s">
        <v>3198</v>
      </c>
      <c r="F219" s="21" t="s">
        <v>3344</v>
      </c>
      <c r="G219" s="21" t="s">
        <v>3345</v>
      </c>
      <c r="H219" s="21" t="s">
        <v>3052</v>
      </c>
      <c r="I219" s="21">
        <v>996</v>
      </c>
      <c r="J219" s="89">
        <f t="shared" si="6"/>
        <v>0.47226173541963018</v>
      </c>
      <c r="K219" s="94">
        <f>VLOOKUP(H219,'PCT data'!B:K,10,FALSE)</f>
        <v>0.97520705353611448</v>
      </c>
      <c r="L219" s="94">
        <f t="shared" si="7"/>
        <v>0.4605529754964296</v>
      </c>
    </row>
    <row r="220" spans="1:12" x14ac:dyDescent="0.2">
      <c r="A220" s="21" t="s">
        <v>3034</v>
      </c>
      <c r="B220" s="21" t="s">
        <v>363</v>
      </c>
      <c r="C220" s="21" t="s">
        <v>364</v>
      </c>
      <c r="D220" s="21" t="s">
        <v>3199</v>
      </c>
      <c r="E220" s="21" t="s">
        <v>3200</v>
      </c>
      <c r="F220" s="21" t="s">
        <v>3346</v>
      </c>
      <c r="G220" s="21" t="s">
        <v>3347</v>
      </c>
      <c r="H220" s="21" t="s">
        <v>3052</v>
      </c>
      <c r="I220" s="21">
        <v>1017</v>
      </c>
      <c r="J220" s="89">
        <f t="shared" si="6"/>
        <v>0.4822190611664296</v>
      </c>
      <c r="K220" s="94">
        <f>VLOOKUP(H220,'PCT data'!B:K,10,FALSE)</f>
        <v>0.97520705353611448</v>
      </c>
      <c r="L220" s="94">
        <f t="shared" si="7"/>
        <v>0.47026342979906516</v>
      </c>
    </row>
    <row r="221" spans="1:12" x14ac:dyDescent="0.2">
      <c r="A221" s="21" t="s">
        <v>2975</v>
      </c>
      <c r="B221" s="21" t="s">
        <v>699</v>
      </c>
      <c r="C221" s="21" t="s">
        <v>700</v>
      </c>
      <c r="D221" s="21" t="s">
        <v>3201</v>
      </c>
      <c r="E221" s="21" t="s">
        <v>3202</v>
      </c>
      <c r="F221" s="21" t="s">
        <v>3348</v>
      </c>
      <c r="G221" s="21" t="s">
        <v>3349</v>
      </c>
      <c r="H221" s="21" t="s">
        <v>3033</v>
      </c>
      <c r="I221" s="21">
        <v>19</v>
      </c>
      <c r="J221" s="89">
        <f t="shared" si="6"/>
        <v>2.6388888888888889E-2</v>
      </c>
      <c r="K221" s="94">
        <f>VLOOKUP(H221,'PCT data'!B:K,10,FALSE)</f>
        <v>0.88564722208892122</v>
      </c>
      <c r="L221" s="94">
        <f t="shared" si="7"/>
        <v>2.3371246138457643E-2</v>
      </c>
    </row>
    <row r="222" spans="1:12" x14ac:dyDescent="0.2">
      <c r="A222" s="21" t="s">
        <v>2975</v>
      </c>
      <c r="B222" s="21" t="s">
        <v>699</v>
      </c>
      <c r="C222" s="21" t="s">
        <v>700</v>
      </c>
      <c r="D222" s="21" t="s">
        <v>3203</v>
      </c>
      <c r="E222" s="21" t="s">
        <v>3204</v>
      </c>
      <c r="F222" s="21" t="s">
        <v>3350</v>
      </c>
      <c r="G222" s="21" t="s">
        <v>3351</v>
      </c>
      <c r="H222" s="21" t="s">
        <v>3033</v>
      </c>
      <c r="I222" s="21">
        <v>67</v>
      </c>
      <c r="J222" s="89">
        <f t="shared" si="6"/>
        <v>9.3055555555555558E-2</v>
      </c>
      <c r="K222" s="94">
        <f>VLOOKUP(H222,'PCT data'!B:K,10,FALSE)</f>
        <v>0.88564722208892122</v>
      </c>
      <c r="L222" s="94">
        <f t="shared" si="7"/>
        <v>8.2414394277719058E-2</v>
      </c>
    </row>
    <row r="223" spans="1:12" x14ac:dyDescent="0.2">
      <c r="A223" s="21" t="s">
        <v>2975</v>
      </c>
      <c r="B223" s="21" t="s">
        <v>699</v>
      </c>
      <c r="C223" s="21" t="s">
        <v>700</v>
      </c>
      <c r="D223" s="21" t="s">
        <v>3205</v>
      </c>
      <c r="E223" s="21" t="s">
        <v>3206</v>
      </c>
      <c r="F223" s="21" t="s">
        <v>3352</v>
      </c>
      <c r="G223" s="21" t="s">
        <v>3353</v>
      </c>
      <c r="H223" s="21" t="s">
        <v>3002</v>
      </c>
      <c r="I223" s="21">
        <v>116</v>
      </c>
      <c r="J223" s="89">
        <f t="shared" si="6"/>
        <v>0.16111111111111112</v>
      </c>
      <c r="K223" s="94">
        <f>VLOOKUP(H223,'PCT data'!B:K,10,FALSE)</f>
        <v>0.91550049923798604</v>
      </c>
      <c r="L223" s="94">
        <f t="shared" si="7"/>
        <v>0.14749730265500888</v>
      </c>
    </row>
    <row r="224" spans="1:12" x14ac:dyDescent="0.2">
      <c r="A224" s="21" t="s">
        <v>2975</v>
      </c>
      <c r="B224" s="21" t="s">
        <v>699</v>
      </c>
      <c r="C224" s="21" t="s">
        <v>700</v>
      </c>
      <c r="D224" s="21" t="s">
        <v>3207</v>
      </c>
      <c r="E224" s="21" t="s">
        <v>3208</v>
      </c>
      <c r="F224" s="21" t="s">
        <v>3354</v>
      </c>
      <c r="G224" s="21" t="s">
        <v>3355</v>
      </c>
      <c r="H224" s="21" t="s">
        <v>3033</v>
      </c>
      <c r="I224" s="21">
        <v>518</v>
      </c>
      <c r="J224" s="89">
        <f t="shared" si="6"/>
        <v>0.71944444444444444</v>
      </c>
      <c r="K224" s="94">
        <f>VLOOKUP(H224,'PCT data'!B:K,10,FALSE)</f>
        <v>0.88564722208892122</v>
      </c>
      <c r="L224" s="94">
        <f t="shared" si="7"/>
        <v>0.63717397366952944</v>
      </c>
    </row>
    <row r="225" spans="1:12" x14ac:dyDescent="0.2">
      <c r="A225" s="21" t="s">
        <v>2133</v>
      </c>
      <c r="B225" s="21" t="s">
        <v>614</v>
      </c>
      <c r="C225" s="21" t="s">
        <v>3209</v>
      </c>
      <c r="D225" s="21" t="s">
        <v>3210</v>
      </c>
      <c r="E225" s="21" t="s">
        <v>3211</v>
      </c>
      <c r="F225" s="21" t="s">
        <v>3356</v>
      </c>
      <c r="G225" s="21" t="s">
        <v>3357</v>
      </c>
      <c r="H225" s="21" t="s">
        <v>2138</v>
      </c>
      <c r="I225" s="21">
        <v>137</v>
      </c>
      <c r="J225" s="89">
        <f t="shared" si="6"/>
        <v>1</v>
      </c>
      <c r="K225" s="94">
        <f>VLOOKUP(H225,'PCT data'!B:K,10,FALSE)</f>
        <v>0.94535377638704965</v>
      </c>
      <c r="L225" s="94">
        <f t="shared" si="7"/>
        <v>0.94535377638704965</v>
      </c>
    </row>
    <row r="226" spans="1:12" x14ac:dyDescent="0.2">
      <c r="A226" s="21" t="s">
        <v>2133</v>
      </c>
      <c r="B226" s="21" t="s">
        <v>3880</v>
      </c>
      <c r="C226" s="21" t="s">
        <v>3881</v>
      </c>
      <c r="D226" s="21" t="s">
        <v>3212</v>
      </c>
      <c r="E226" s="21" t="s">
        <v>3213</v>
      </c>
      <c r="F226" s="21" t="s">
        <v>3358</v>
      </c>
      <c r="G226" s="21" t="s">
        <v>3359</v>
      </c>
      <c r="H226" s="21" t="s">
        <v>2138</v>
      </c>
      <c r="I226" s="21">
        <v>460</v>
      </c>
      <c r="J226" s="89">
        <f t="shared" si="6"/>
        <v>0.44273339749759383</v>
      </c>
      <c r="K226" s="94">
        <f>VLOOKUP(H226,'PCT data'!B:K,10,FALSE)</f>
        <v>0.94535377638704965</v>
      </c>
      <c r="L226" s="94">
        <f t="shared" si="7"/>
        <v>0.41853968925701907</v>
      </c>
    </row>
    <row r="227" spans="1:12" x14ac:dyDescent="0.2">
      <c r="A227" s="21" t="s">
        <v>2133</v>
      </c>
      <c r="B227" s="21" t="s">
        <v>3880</v>
      </c>
      <c r="C227" s="21" t="s">
        <v>3881</v>
      </c>
      <c r="D227" s="21" t="s">
        <v>3214</v>
      </c>
      <c r="E227" s="21" t="s">
        <v>1928</v>
      </c>
      <c r="F227" s="21" t="s">
        <v>3360</v>
      </c>
      <c r="G227" s="21" t="s">
        <v>1052</v>
      </c>
      <c r="H227" s="21" t="s">
        <v>2138</v>
      </c>
      <c r="I227" s="21">
        <v>579</v>
      </c>
      <c r="J227" s="89">
        <f t="shared" si="6"/>
        <v>0.55726660250240612</v>
      </c>
      <c r="K227" s="94">
        <f>VLOOKUP(H227,'PCT data'!B:K,10,FALSE)</f>
        <v>0.94535377638704965</v>
      </c>
      <c r="L227" s="94">
        <f t="shared" si="7"/>
        <v>0.52681408713003053</v>
      </c>
    </row>
    <row r="228" spans="1:12" x14ac:dyDescent="0.2">
      <c r="A228" s="21" t="s">
        <v>1167</v>
      </c>
      <c r="B228" s="21" t="s">
        <v>3878</v>
      </c>
      <c r="C228" s="21" t="s">
        <v>3215</v>
      </c>
      <c r="D228" s="21" t="s">
        <v>3216</v>
      </c>
      <c r="E228" s="21" t="s">
        <v>3217</v>
      </c>
      <c r="F228" s="21" t="s">
        <v>3361</v>
      </c>
      <c r="G228" s="21" t="s">
        <v>3362</v>
      </c>
      <c r="H228" s="21" t="s">
        <v>3436</v>
      </c>
      <c r="I228" s="21">
        <v>35</v>
      </c>
      <c r="J228" s="89">
        <f t="shared" si="6"/>
        <v>3.5000000000000003E-2</v>
      </c>
      <c r="K228" s="94">
        <f>VLOOKUP(H228,'PCT data'!B:K,10,FALSE)</f>
        <v>1.2637887326437416</v>
      </c>
      <c r="L228" s="94">
        <f t="shared" si="7"/>
        <v>4.423260564253096E-2</v>
      </c>
    </row>
    <row r="229" spans="1:12" x14ac:dyDescent="0.2">
      <c r="A229" s="21" t="s">
        <v>1167</v>
      </c>
      <c r="B229" s="21" t="s">
        <v>3878</v>
      </c>
      <c r="C229" s="21" t="s">
        <v>3215</v>
      </c>
      <c r="D229" s="21" t="s">
        <v>3218</v>
      </c>
      <c r="E229" s="21" t="s">
        <v>3219</v>
      </c>
      <c r="F229" s="21" t="s">
        <v>3363</v>
      </c>
      <c r="G229" s="21" t="s">
        <v>3364</v>
      </c>
      <c r="H229" s="21" t="s">
        <v>3451</v>
      </c>
      <c r="I229" s="21">
        <v>85</v>
      </c>
      <c r="J229" s="89">
        <f t="shared" si="6"/>
        <v>8.5000000000000006E-2</v>
      </c>
      <c r="K229" s="94">
        <f>VLOOKUP(H229,'PCT data'!B:K,10,FALSE)</f>
        <v>1.2737398250267631</v>
      </c>
      <c r="L229" s="94">
        <f t="shared" si="7"/>
        <v>0.10826788512727487</v>
      </c>
    </row>
    <row r="230" spans="1:12" x14ac:dyDescent="0.2">
      <c r="A230" s="21" t="s">
        <v>1167</v>
      </c>
      <c r="B230" s="21" t="s">
        <v>3878</v>
      </c>
      <c r="C230" s="21" t="s">
        <v>3215</v>
      </c>
      <c r="D230" s="21" t="s">
        <v>3220</v>
      </c>
      <c r="E230" s="21" t="s">
        <v>3221</v>
      </c>
      <c r="F230" s="21" t="s">
        <v>3365</v>
      </c>
      <c r="G230" s="21" t="s">
        <v>3274</v>
      </c>
      <c r="H230" s="21" t="s">
        <v>3436</v>
      </c>
      <c r="I230" s="21">
        <v>212</v>
      </c>
      <c r="J230" s="89">
        <f t="shared" si="6"/>
        <v>0.21199999999999999</v>
      </c>
      <c r="K230" s="94">
        <f>VLOOKUP(H230,'PCT data'!B:K,10,FALSE)</f>
        <v>1.2637887326437416</v>
      </c>
      <c r="L230" s="94">
        <f t="shared" si="7"/>
        <v>0.2679232113204732</v>
      </c>
    </row>
    <row r="231" spans="1:12" x14ac:dyDescent="0.2">
      <c r="A231" s="21" t="s">
        <v>1167</v>
      </c>
      <c r="B231" s="21" t="s">
        <v>3878</v>
      </c>
      <c r="C231" s="21" t="s">
        <v>3215</v>
      </c>
      <c r="D231" s="21" t="s">
        <v>3222</v>
      </c>
      <c r="E231" s="21" t="s">
        <v>3223</v>
      </c>
      <c r="F231" s="21" t="s">
        <v>3361</v>
      </c>
      <c r="G231" s="21" t="s">
        <v>3362</v>
      </c>
      <c r="H231" s="21" t="s">
        <v>3436</v>
      </c>
      <c r="I231" s="21">
        <v>668</v>
      </c>
      <c r="J231" s="89">
        <f t="shared" si="6"/>
        <v>0.66800000000000004</v>
      </c>
      <c r="K231" s="94">
        <f>VLOOKUP(H231,'PCT data'!B:K,10,FALSE)</f>
        <v>1.2637887326437416</v>
      </c>
      <c r="L231" s="94">
        <f t="shared" si="7"/>
        <v>0.84421087340601941</v>
      </c>
    </row>
    <row r="232" spans="1:12" x14ac:dyDescent="0.2">
      <c r="A232" s="21" t="s">
        <v>1167</v>
      </c>
      <c r="B232" s="21" t="s">
        <v>3714</v>
      </c>
      <c r="C232" s="21" t="s">
        <v>2158</v>
      </c>
      <c r="D232" s="21" t="s">
        <v>2159</v>
      </c>
      <c r="E232" s="21" t="s">
        <v>3825</v>
      </c>
      <c r="F232" s="21" t="s">
        <v>3366</v>
      </c>
      <c r="G232" s="21" t="s">
        <v>3367</v>
      </c>
      <c r="H232" s="21" t="s">
        <v>3480</v>
      </c>
      <c r="I232" s="21">
        <v>145</v>
      </c>
      <c r="J232" s="89">
        <f t="shared" si="6"/>
        <v>0.35024154589371981</v>
      </c>
      <c r="K232" s="94">
        <f>VLOOKUP(H232,'PCT data'!B:K,10,FALSE)</f>
        <v>1.1045712545153963</v>
      </c>
      <c r="L232" s="94">
        <f t="shared" si="7"/>
        <v>0.38686674373123781</v>
      </c>
    </row>
    <row r="233" spans="1:12" x14ac:dyDescent="0.2">
      <c r="A233" s="21" t="s">
        <v>1167</v>
      </c>
      <c r="B233" s="21" t="s">
        <v>3714</v>
      </c>
      <c r="C233" s="21" t="s">
        <v>2158</v>
      </c>
      <c r="D233" s="21" t="s">
        <v>2160</v>
      </c>
      <c r="E233" s="21" t="s">
        <v>2161</v>
      </c>
      <c r="F233" s="21" t="s">
        <v>3398</v>
      </c>
      <c r="G233" s="21" t="s">
        <v>3304</v>
      </c>
      <c r="H233" s="21" t="s">
        <v>3439</v>
      </c>
      <c r="I233" s="21">
        <v>269</v>
      </c>
      <c r="J233" s="89">
        <f t="shared" si="6"/>
        <v>0.64975845410628019</v>
      </c>
      <c r="K233" s="94">
        <f>VLOOKUP(H233,'PCT data'!B:K,10,FALSE)</f>
        <v>1.2836909174097848</v>
      </c>
      <c r="L233" s="94">
        <f t="shared" si="7"/>
        <v>0.83408902604645441</v>
      </c>
    </row>
    <row r="234" spans="1:12" x14ac:dyDescent="0.2">
      <c r="A234" s="21" t="s">
        <v>708</v>
      </c>
      <c r="B234" s="21" t="s">
        <v>602</v>
      </c>
      <c r="C234" s="21" t="s">
        <v>603</v>
      </c>
      <c r="D234" s="21" t="s">
        <v>2162</v>
      </c>
      <c r="E234" s="21" t="s">
        <v>2163</v>
      </c>
      <c r="F234" s="21" t="s">
        <v>3399</v>
      </c>
      <c r="G234" s="21" t="s">
        <v>3400</v>
      </c>
      <c r="H234" s="21" t="s">
        <v>716</v>
      </c>
      <c r="I234" s="21">
        <v>80</v>
      </c>
      <c r="J234" s="89">
        <f t="shared" si="6"/>
        <v>4.6296296296296294E-2</v>
      </c>
      <c r="K234" s="94">
        <f>VLOOKUP(H234,'PCT data'!B:K,10,FALSE)</f>
        <v>0.97520705353611448</v>
      </c>
      <c r="L234" s="94">
        <f t="shared" si="7"/>
        <v>4.5148474700746039E-2</v>
      </c>
    </row>
    <row r="235" spans="1:12" x14ac:dyDescent="0.2">
      <c r="A235" s="21" t="s">
        <v>708</v>
      </c>
      <c r="B235" s="21" t="s">
        <v>602</v>
      </c>
      <c r="C235" s="21" t="s">
        <v>603</v>
      </c>
      <c r="D235" s="21" t="s">
        <v>2164</v>
      </c>
      <c r="E235" s="21" t="s">
        <v>2165</v>
      </c>
      <c r="F235" s="21" t="s">
        <v>3401</v>
      </c>
      <c r="G235" s="21" t="s">
        <v>3402</v>
      </c>
      <c r="H235" s="21" t="s">
        <v>716</v>
      </c>
      <c r="I235" s="21">
        <v>303</v>
      </c>
      <c r="J235" s="89">
        <f t="shared" si="6"/>
        <v>0.17534722222222221</v>
      </c>
      <c r="K235" s="94">
        <f>VLOOKUP(H235,'PCT data'!B:K,10,FALSE)</f>
        <v>0.97520705353611448</v>
      </c>
      <c r="L235" s="94">
        <f t="shared" si="7"/>
        <v>0.1709998479290756</v>
      </c>
    </row>
    <row r="236" spans="1:12" x14ac:dyDescent="0.2">
      <c r="A236" s="21" t="s">
        <v>708</v>
      </c>
      <c r="B236" s="21" t="s">
        <v>602</v>
      </c>
      <c r="C236" s="21" t="s">
        <v>603</v>
      </c>
      <c r="D236" s="21" t="s">
        <v>2166</v>
      </c>
      <c r="E236" s="21" t="s">
        <v>2167</v>
      </c>
      <c r="F236" s="21" t="s">
        <v>3403</v>
      </c>
      <c r="G236" s="21" t="s">
        <v>3404</v>
      </c>
      <c r="H236" s="21" t="s">
        <v>716</v>
      </c>
      <c r="I236" s="21">
        <v>672</v>
      </c>
      <c r="J236" s="89">
        <f t="shared" si="6"/>
        <v>0.3888888888888889</v>
      </c>
      <c r="K236" s="94">
        <f>VLOOKUP(H236,'PCT data'!B:K,10,FALSE)</f>
        <v>0.97520705353611448</v>
      </c>
      <c r="L236" s="94">
        <f t="shared" si="7"/>
        <v>0.37924718748626673</v>
      </c>
    </row>
    <row r="237" spans="1:12" x14ac:dyDescent="0.2">
      <c r="A237" s="21" t="s">
        <v>708</v>
      </c>
      <c r="B237" s="21" t="s">
        <v>602</v>
      </c>
      <c r="C237" s="21" t="s">
        <v>603</v>
      </c>
      <c r="D237" s="21" t="s">
        <v>2168</v>
      </c>
      <c r="E237" s="21" t="s">
        <v>2169</v>
      </c>
      <c r="F237" s="21" t="s">
        <v>3405</v>
      </c>
      <c r="G237" s="21" t="s">
        <v>3406</v>
      </c>
      <c r="H237" s="21" t="s">
        <v>716</v>
      </c>
      <c r="I237" s="21">
        <v>673</v>
      </c>
      <c r="J237" s="89">
        <f t="shared" si="6"/>
        <v>0.38946759259259262</v>
      </c>
      <c r="K237" s="94">
        <f>VLOOKUP(H237,'PCT data'!B:K,10,FALSE)</f>
        <v>0.97520705353611448</v>
      </c>
      <c r="L237" s="94">
        <f t="shared" si="7"/>
        <v>0.3798115434200261</v>
      </c>
    </row>
    <row r="238" spans="1:12" x14ac:dyDescent="0.2">
      <c r="A238" s="21" t="s">
        <v>3528</v>
      </c>
      <c r="B238" s="21" t="s">
        <v>2371</v>
      </c>
      <c r="C238" s="21" t="s">
        <v>2372</v>
      </c>
      <c r="D238" s="21" t="s">
        <v>2170</v>
      </c>
      <c r="E238" s="21" t="s">
        <v>2171</v>
      </c>
      <c r="F238" s="21" t="s">
        <v>3407</v>
      </c>
      <c r="G238" s="21" t="s">
        <v>3408</v>
      </c>
      <c r="H238" s="21" t="s">
        <v>3530</v>
      </c>
      <c r="I238" s="21">
        <v>56</v>
      </c>
      <c r="J238" s="89">
        <f t="shared" si="6"/>
        <v>4.6434494195688222E-2</v>
      </c>
      <c r="K238" s="94">
        <f>VLOOKUP(H238,'PCT data'!B:K,10,FALSE)</f>
        <v>0.97520705353611448</v>
      </c>
      <c r="L238" s="94">
        <f t="shared" si="7"/>
        <v>4.5283246267016922E-2</v>
      </c>
    </row>
    <row r="239" spans="1:12" x14ac:dyDescent="0.2">
      <c r="A239" s="21" t="s">
        <v>3528</v>
      </c>
      <c r="B239" s="21" t="s">
        <v>2371</v>
      </c>
      <c r="C239" s="21" t="s">
        <v>2372</v>
      </c>
      <c r="D239" s="21" t="s">
        <v>2172</v>
      </c>
      <c r="E239" s="21" t="s">
        <v>2173</v>
      </c>
      <c r="F239" s="21" t="s">
        <v>3409</v>
      </c>
      <c r="G239" s="21" t="s">
        <v>3410</v>
      </c>
      <c r="H239" s="21" t="s">
        <v>3530</v>
      </c>
      <c r="I239" s="21">
        <v>432</v>
      </c>
      <c r="J239" s="89">
        <f t="shared" si="6"/>
        <v>0.35820895522388058</v>
      </c>
      <c r="K239" s="94">
        <f>VLOOKUP(H239,'PCT data'!B:K,10,FALSE)</f>
        <v>0.97520705353611448</v>
      </c>
      <c r="L239" s="94">
        <f t="shared" si="7"/>
        <v>0.34932789977413053</v>
      </c>
    </row>
    <row r="240" spans="1:12" x14ac:dyDescent="0.2">
      <c r="A240" s="21" t="s">
        <v>3528</v>
      </c>
      <c r="B240" s="21" t="s">
        <v>2371</v>
      </c>
      <c r="C240" s="21" t="s">
        <v>2372</v>
      </c>
      <c r="D240" s="21" t="s">
        <v>2174</v>
      </c>
      <c r="E240" s="21" t="s">
        <v>2175</v>
      </c>
      <c r="F240" s="21" t="s">
        <v>3411</v>
      </c>
      <c r="G240" s="21" t="s">
        <v>3412</v>
      </c>
      <c r="H240" s="21" t="s">
        <v>3530</v>
      </c>
      <c r="I240" s="21">
        <v>718</v>
      </c>
      <c r="J240" s="89">
        <f t="shared" si="6"/>
        <v>0.59535655058043113</v>
      </c>
      <c r="K240" s="94">
        <f>VLOOKUP(H240,'PCT data'!B:K,10,FALSE)</f>
        <v>0.97520705353611448</v>
      </c>
      <c r="L240" s="94">
        <f t="shared" si="7"/>
        <v>0.58059590749496692</v>
      </c>
    </row>
    <row r="241" spans="1:12" x14ac:dyDescent="0.2">
      <c r="A241" s="21" t="s">
        <v>708</v>
      </c>
      <c r="B241" s="21" t="s">
        <v>3676</v>
      </c>
      <c r="C241" s="21" t="s">
        <v>3677</v>
      </c>
      <c r="D241" s="21" t="s">
        <v>2176</v>
      </c>
      <c r="E241" s="21" t="s">
        <v>2177</v>
      </c>
      <c r="F241" s="21" t="s">
        <v>3413</v>
      </c>
      <c r="G241" s="21" t="s">
        <v>3414</v>
      </c>
      <c r="H241" s="21" t="s">
        <v>3587</v>
      </c>
      <c r="I241" s="21">
        <v>12</v>
      </c>
      <c r="J241" s="89">
        <f t="shared" si="6"/>
        <v>9.2236740968485772E-3</v>
      </c>
      <c r="K241" s="94">
        <f>VLOOKUP(H241,'PCT data'!B:K,10,FALSE)</f>
        <v>1.0249625154512234</v>
      </c>
      <c r="L241" s="94">
        <f t="shared" si="7"/>
        <v>9.453920204008209E-3</v>
      </c>
    </row>
    <row r="242" spans="1:12" x14ac:dyDescent="0.2">
      <c r="A242" s="21" t="s">
        <v>708</v>
      </c>
      <c r="B242" s="21" t="s">
        <v>3676</v>
      </c>
      <c r="C242" s="21" t="s">
        <v>3677</v>
      </c>
      <c r="D242" s="21" t="s">
        <v>2178</v>
      </c>
      <c r="E242" s="21" t="s">
        <v>2179</v>
      </c>
      <c r="F242" s="21" t="s">
        <v>3415</v>
      </c>
      <c r="G242" s="21" t="s">
        <v>3416</v>
      </c>
      <c r="H242" s="21" t="s">
        <v>3587</v>
      </c>
      <c r="I242" s="21">
        <v>19</v>
      </c>
      <c r="J242" s="89">
        <f t="shared" si="6"/>
        <v>1.4604150653343582E-2</v>
      </c>
      <c r="K242" s="94">
        <f>VLOOKUP(H242,'PCT data'!B:K,10,FALSE)</f>
        <v>1.0249625154512234</v>
      </c>
      <c r="L242" s="94">
        <f t="shared" si="7"/>
        <v>1.4968706989679666E-2</v>
      </c>
    </row>
    <row r="243" spans="1:12" x14ac:dyDescent="0.2">
      <c r="A243" s="21" t="s">
        <v>708</v>
      </c>
      <c r="B243" s="21" t="s">
        <v>3676</v>
      </c>
      <c r="C243" s="21" t="s">
        <v>3677</v>
      </c>
      <c r="D243" s="21" t="s">
        <v>728</v>
      </c>
      <c r="E243" s="21" t="s">
        <v>729</v>
      </c>
      <c r="F243" s="21" t="s">
        <v>3417</v>
      </c>
      <c r="G243" s="21" t="s">
        <v>3418</v>
      </c>
      <c r="H243" s="21" t="s">
        <v>642</v>
      </c>
      <c r="I243" s="21">
        <v>42</v>
      </c>
      <c r="J243" s="89">
        <f t="shared" si="6"/>
        <v>3.2282859338970023E-2</v>
      </c>
      <c r="K243" s="94">
        <f>VLOOKUP(H243,'PCT data'!B:K,10,FALSE)</f>
        <v>0.99510923830215869</v>
      </c>
      <c r="L243" s="94">
        <f t="shared" si="7"/>
        <v>3.2124971567018192E-2</v>
      </c>
    </row>
    <row r="244" spans="1:12" x14ac:dyDescent="0.2">
      <c r="A244" s="21" t="s">
        <v>708</v>
      </c>
      <c r="B244" s="21" t="s">
        <v>3676</v>
      </c>
      <c r="C244" s="21" t="s">
        <v>3677</v>
      </c>
      <c r="D244" s="21" t="s">
        <v>2180</v>
      </c>
      <c r="E244" s="21" t="s">
        <v>2181</v>
      </c>
      <c r="F244" s="21" t="s">
        <v>3419</v>
      </c>
      <c r="G244" s="21" t="s">
        <v>3420</v>
      </c>
      <c r="H244" s="21" t="s">
        <v>3587</v>
      </c>
      <c r="I244" s="21">
        <v>42</v>
      </c>
      <c r="J244" s="89">
        <f t="shared" si="6"/>
        <v>3.2282859338970023E-2</v>
      </c>
      <c r="K244" s="94">
        <f>VLOOKUP(H244,'PCT data'!B:K,10,FALSE)</f>
        <v>1.0249625154512234</v>
      </c>
      <c r="L244" s="94">
        <f t="shared" si="7"/>
        <v>3.3088720714028734E-2</v>
      </c>
    </row>
    <row r="245" spans="1:12" x14ac:dyDescent="0.2">
      <c r="A245" s="21" t="s">
        <v>708</v>
      </c>
      <c r="B245" s="21" t="s">
        <v>3676</v>
      </c>
      <c r="C245" s="21" t="s">
        <v>3677</v>
      </c>
      <c r="D245" s="21" t="s">
        <v>2182</v>
      </c>
      <c r="E245" s="21" t="s">
        <v>2183</v>
      </c>
      <c r="F245" s="21" t="s">
        <v>3421</v>
      </c>
      <c r="G245" s="21" t="s">
        <v>3422</v>
      </c>
      <c r="H245" s="21" t="s">
        <v>3587</v>
      </c>
      <c r="I245" s="21">
        <v>48</v>
      </c>
      <c r="J245" s="89">
        <f t="shared" si="6"/>
        <v>3.6894696387394309E-2</v>
      </c>
      <c r="K245" s="94">
        <f>VLOOKUP(H245,'PCT data'!B:K,10,FALSE)</f>
        <v>1.0249625154512234</v>
      </c>
      <c r="L245" s="94">
        <f t="shared" si="7"/>
        <v>3.7815680816032836E-2</v>
      </c>
    </row>
    <row r="246" spans="1:12" x14ac:dyDescent="0.2">
      <c r="A246" s="21" t="s">
        <v>708</v>
      </c>
      <c r="B246" s="21" t="s">
        <v>3676</v>
      </c>
      <c r="C246" s="21" t="s">
        <v>3677</v>
      </c>
      <c r="D246" s="21" t="s">
        <v>2184</v>
      </c>
      <c r="E246" s="21" t="s">
        <v>2185</v>
      </c>
      <c r="F246" s="21" t="s">
        <v>3423</v>
      </c>
      <c r="G246" s="21" t="s">
        <v>3424</v>
      </c>
      <c r="H246" s="21" t="s">
        <v>3587</v>
      </c>
      <c r="I246" s="21">
        <v>54</v>
      </c>
      <c r="J246" s="89">
        <f t="shared" si="6"/>
        <v>4.1506533435818602E-2</v>
      </c>
      <c r="K246" s="94">
        <f>VLOOKUP(H246,'PCT data'!B:K,10,FALSE)</f>
        <v>1.0249625154512234</v>
      </c>
      <c r="L246" s="94">
        <f t="shared" si="7"/>
        <v>4.2542640918036945E-2</v>
      </c>
    </row>
    <row r="247" spans="1:12" x14ac:dyDescent="0.2">
      <c r="A247" s="21" t="s">
        <v>708</v>
      </c>
      <c r="B247" s="21" t="s">
        <v>3676</v>
      </c>
      <c r="C247" s="21" t="s">
        <v>3677</v>
      </c>
      <c r="D247" s="21" t="s">
        <v>2186</v>
      </c>
      <c r="E247" s="21" t="s">
        <v>2187</v>
      </c>
      <c r="F247" s="21" t="s">
        <v>3425</v>
      </c>
      <c r="G247" s="21" t="s">
        <v>3426</v>
      </c>
      <c r="H247" s="21" t="s">
        <v>3587</v>
      </c>
      <c r="I247" s="21">
        <v>78</v>
      </c>
      <c r="J247" s="89">
        <f t="shared" si="6"/>
        <v>5.9953881629515759E-2</v>
      </c>
      <c r="K247" s="94">
        <f>VLOOKUP(H247,'PCT data'!B:K,10,FALSE)</f>
        <v>1.0249625154512234</v>
      </c>
      <c r="L247" s="94">
        <f t="shared" si="7"/>
        <v>6.1450481326053366E-2</v>
      </c>
    </row>
    <row r="248" spans="1:12" x14ac:dyDescent="0.2">
      <c r="A248" s="21" t="s">
        <v>708</v>
      </c>
      <c r="B248" s="21" t="s">
        <v>3676</v>
      </c>
      <c r="C248" s="21" t="s">
        <v>3677</v>
      </c>
      <c r="D248" s="21" t="s">
        <v>2188</v>
      </c>
      <c r="E248" s="21" t="s">
        <v>2189</v>
      </c>
      <c r="F248" s="21" t="s">
        <v>3427</v>
      </c>
      <c r="G248" s="21" t="s">
        <v>3428</v>
      </c>
      <c r="H248" s="21" t="s">
        <v>3587</v>
      </c>
      <c r="I248" s="21">
        <v>101</v>
      </c>
      <c r="J248" s="89">
        <f t="shared" si="6"/>
        <v>7.7632590315142191E-2</v>
      </c>
      <c r="K248" s="94">
        <f>VLOOKUP(H248,'PCT data'!B:K,10,FALSE)</f>
        <v>1.0249625154512234</v>
      </c>
      <c r="L248" s="94">
        <f t="shared" si="7"/>
        <v>7.9570495050402423E-2</v>
      </c>
    </row>
    <row r="249" spans="1:12" x14ac:dyDescent="0.2">
      <c r="A249" s="21" t="s">
        <v>708</v>
      </c>
      <c r="B249" s="21" t="s">
        <v>3676</v>
      </c>
      <c r="C249" s="21" t="s">
        <v>3677</v>
      </c>
      <c r="D249" s="21" t="s">
        <v>2190</v>
      </c>
      <c r="E249" s="21" t="s">
        <v>2191</v>
      </c>
      <c r="F249" s="21" t="s">
        <v>3429</v>
      </c>
      <c r="G249" s="21" t="s">
        <v>3430</v>
      </c>
      <c r="H249" s="21" t="s">
        <v>3587</v>
      </c>
      <c r="I249" s="21">
        <v>369</v>
      </c>
      <c r="J249" s="89">
        <f t="shared" si="6"/>
        <v>0.28362797847809379</v>
      </c>
      <c r="K249" s="94">
        <f>VLOOKUP(H249,'PCT data'!B:K,10,FALSE)</f>
        <v>1.0249625154512234</v>
      </c>
      <c r="L249" s="94">
        <f t="shared" si="7"/>
        <v>0.29070804627325247</v>
      </c>
    </row>
    <row r="250" spans="1:12" x14ac:dyDescent="0.2">
      <c r="A250" s="21" t="s">
        <v>708</v>
      </c>
      <c r="B250" s="21" t="s">
        <v>3676</v>
      </c>
      <c r="C250" s="21" t="s">
        <v>3677</v>
      </c>
      <c r="D250" s="21" t="s">
        <v>2192</v>
      </c>
      <c r="E250" s="21" t="s">
        <v>2193</v>
      </c>
      <c r="F250" s="21" t="s">
        <v>3417</v>
      </c>
      <c r="G250" s="21" t="s">
        <v>3418</v>
      </c>
      <c r="H250" s="21" t="s">
        <v>642</v>
      </c>
      <c r="I250" s="21">
        <v>536</v>
      </c>
      <c r="J250" s="89">
        <f t="shared" si="6"/>
        <v>0.41199077632590314</v>
      </c>
      <c r="K250" s="94">
        <f>VLOOKUP(H250,'PCT data'!B:K,10,FALSE)</f>
        <v>0.99510923830215869</v>
      </c>
      <c r="L250" s="94">
        <f t="shared" si="7"/>
        <v>0.40997582761718449</v>
      </c>
    </row>
    <row r="251" spans="1:12" x14ac:dyDescent="0.2">
      <c r="A251" s="21" t="s">
        <v>3069</v>
      </c>
      <c r="B251" s="21" t="s">
        <v>2329</v>
      </c>
      <c r="C251" s="21" t="s">
        <v>2330</v>
      </c>
      <c r="D251" s="21" t="s">
        <v>2194</v>
      </c>
      <c r="E251" s="21" t="s">
        <v>2195</v>
      </c>
      <c r="F251" s="21" t="s">
        <v>3431</v>
      </c>
      <c r="G251" s="21" t="s">
        <v>3432</v>
      </c>
      <c r="H251" s="21" t="s">
        <v>3073</v>
      </c>
      <c r="I251" s="21">
        <v>451</v>
      </c>
      <c r="J251" s="89">
        <f t="shared" si="6"/>
        <v>0.41682070240295749</v>
      </c>
      <c r="K251" s="94">
        <f>VLOOKUP(H251,'PCT data'!B:K,10,FALSE)</f>
        <v>0.89559831447194282</v>
      </c>
      <c r="L251" s="94">
        <f t="shared" si="7"/>
        <v>0.3733039185091</v>
      </c>
    </row>
    <row r="252" spans="1:12" x14ac:dyDescent="0.2">
      <c r="A252" s="21" t="s">
        <v>3069</v>
      </c>
      <c r="B252" s="21" t="s">
        <v>2329</v>
      </c>
      <c r="C252" s="21" t="s">
        <v>2330</v>
      </c>
      <c r="D252" s="21" t="s">
        <v>2196</v>
      </c>
      <c r="E252" s="21" t="s">
        <v>2197</v>
      </c>
      <c r="F252" s="21" t="s">
        <v>3433</v>
      </c>
      <c r="G252" s="21" t="s">
        <v>3434</v>
      </c>
      <c r="H252" s="21" t="s">
        <v>3073</v>
      </c>
      <c r="I252" s="21">
        <v>631</v>
      </c>
      <c r="J252" s="89">
        <f t="shared" si="6"/>
        <v>0.58317929759704257</v>
      </c>
      <c r="K252" s="94">
        <f>VLOOKUP(H252,'PCT data'!B:K,10,FALSE)</f>
        <v>0.89559831447194282</v>
      </c>
      <c r="L252" s="94">
        <f t="shared" si="7"/>
        <v>0.52229439596284288</v>
      </c>
    </row>
    <row r="253" spans="1:12" x14ac:dyDescent="0.2">
      <c r="A253" s="21" t="s">
        <v>191</v>
      </c>
      <c r="B253" s="21" t="s">
        <v>3682</v>
      </c>
      <c r="C253" s="21" t="s">
        <v>2198</v>
      </c>
      <c r="D253" s="21" t="s">
        <v>2199</v>
      </c>
      <c r="E253" s="21" t="s">
        <v>2200</v>
      </c>
      <c r="F253" s="21" t="s">
        <v>12</v>
      </c>
      <c r="G253" s="21" t="s">
        <v>1065</v>
      </c>
      <c r="H253" s="21" t="s">
        <v>201</v>
      </c>
      <c r="I253" s="21">
        <v>174</v>
      </c>
      <c r="J253" s="89">
        <f t="shared" si="6"/>
        <v>0.12654545454545454</v>
      </c>
      <c r="K253" s="94">
        <f>VLOOKUP(H253,'PCT data'!B:K,10,FALSE)</f>
        <v>0.99510923830215869</v>
      </c>
      <c r="L253" s="94">
        <f t="shared" si="7"/>
        <v>0.12592655088332771</v>
      </c>
    </row>
    <row r="254" spans="1:12" x14ac:dyDescent="0.2">
      <c r="A254" s="21" t="s">
        <v>191</v>
      </c>
      <c r="B254" s="21" t="s">
        <v>3682</v>
      </c>
      <c r="C254" s="21" t="s">
        <v>2198</v>
      </c>
      <c r="D254" s="21" t="s">
        <v>2201</v>
      </c>
      <c r="E254" s="21" t="s">
        <v>2202</v>
      </c>
      <c r="F254" s="21" t="s">
        <v>13</v>
      </c>
      <c r="G254" s="21" t="s">
        <v>14</v>
      </c>
      <c r="H254" s="21" t="s">
        <v>201</v>
      </c>
      <c r="I254" s="21">
        <v>225</v>
      </c>
      <c r="J254" s="89">
        <f t="shared" si="6"/>
        <v>0.16363636363636364</v>
      </c>
      <c r="K254" s="94">
        <f>VLOOKUP(H254,'PCT data'!B:K,10,FALSE)</f>
        <v>0.99510923830215869</v>
      </c>
      <c r="L254" s="94">
        <f t="shared" si="7"/>
        <v>0.16283605717671687</v>
      </c>
    </row>
    <row r="255" spans="1:12" x14ac:dyDescent="0.2">
      <c r="A255" s="21" t="s">
        <v>191</v>
      </c>
      <c r="B255" s="21" t="s">
        <v>3682</v>
      </c>
      <c r="C255" s="21" t="s">
        <v>2198</v>
      </c>
      <c r="D255" s="21" t="s">
        <v>2203</v>
      </c>
      <c r="E255" s="21" t="s">
        <v>2204</v>
      </c>
      <c r="F255" s="21" t="s">
        <v>15</v>
      </c>
      <c r="G255" s="21" t="s">
        <v>16</v>
      </c>
      <c r="H255" s="21" t="s">
        <v>201</v>
      </c>
      <c r="I255" s="21">
        <v>837</v>
      </c>
      <c r="J255" s="89">
        <f t="shared" si="6"/>
        <v>0.60872727272727267</v>
      </c>
      <c r="K255" s="94">
        <f>VLOOKUP(H255,'PCT data'!B:K,10,FALSE)</f>
        <v>0.99510923830215869</v>
      </c>
      <c r="L255" s="94">
        <f t="shared" si="7"/>
        <v>0.60575013269738676</v>
      </c>
    </row>
    <row r="256" spans="1:12" x14ac:dyDescent="0.2">
      <c r="A256" s="21" t="s">
        <v>3496</v>
      </c>
      <c r="B256" s="21" t="s">
        <v>3384</v>
      </c>
      <c r="C256" s="21" t="s">
        <v>3385</v>
      </c>
      <c r="D256" s="21" t="s">
        <v>2205</v>
      </c>
      <c r="E256" s="21" t="s">
        <v>2206</v>
      </c>
      <c r="F256" s="21" t="s">
        <v>17</v>
      </c>
      <c r="G256" s="21" t="s">
        <v>18</v>
      </c>
      <c r="H256" s="21" t="s">
        <v>3498</v>
      </c>
      <c r="I256" s="21">
        <v>67</v>
      </c>
      <c r="J256" s="89">
        <f t="shared" si="6"/>
        <v>0.10618066561014262</v>
      </c>
      <c r="K256" s="94">
        <f>VLOOKUP(H256,'PCT data'!B:K,10,FALSE)</f>
        <v>1.1045712545153963</v>
      </c>
      <c r="L256" s="94">
        <f t="shared" si="7"/>
        <v>0.11728411101827503</v>
      </c>
    </row>
    <row r="257" spans="1:12" x14ac:dyDescent="0.2">
      <c r="A257" s="21" t="s">
        <v>3496</v>
      </c>
      <c r="B257" s="21" t="s">
        <v>3384</v>
      </c>
      <c r="C257" s="21" t="s">
        <v>3385</v>
      </c>
      <c r="D257" s="21" t="s">
        <v>2207</v>
      </c>
      <c r="E257" s="21" t="s">
        <v>2208</v>
      </c>
      <c r="F257" s="21" t="s">
        <v>19</v>
      </c>
      <c r="G257" s="21" t="s">
        <v>20</v>
      </c>
      <c r="H257" s="21" t="s">
        <v>3498</v>
      </c>
      <c r="I257" s="21">
        <v>564</v>
      </c>
      <c r="J257" s="89">
        <f t="shared" si="6"/>
        <v>0.89381933438985739</v>
      </c>
      <c r="K257" s="94">
        <f>VLOOKUP(H257,'PCT data'!B:K,10,FALSE)</f>
        <v>1.1045712545153963</v>
      </c>
      <c r="L257" s="94">
        <f t="shared" si="7"/>
        <v>0.98728714349712121</v>
      </c>
    </row>
    <row r="258" spans="1:12" x14ac:dyDescent="0.2">
      <c r="A258" s="21" t="s">
        <v>3496</v>
      </c>
      <c r="B258" s="21" t="s">
        <v>582</v>
      </c>
      <c r="C258" s="21" t="s">
        <v>583</v>
      </c>
      <c r="D258" s="21" t="s">
        <v>2209</v>
      </c>
      <c r="E258" s="21" t="s">
        <v>2210</v>
      </c>
      <c r="F258" s="21" t="s">
        <v>21</v>
      </c>
      <c r="G258" s="21" t="s">
        <v>22</v>
      </c>
      <c r="H258" s="21" t="s">
        <v>3498</v>
      </c>
      <c r="I258" s="21">
        <v>493</v>
      </c>
      <c r="J258" s="89">
        <f t="shared" si="6"/>
        <v>1</v>
      </c>
      <c r="K258" s="94">
        <f>VLOOKUP(H258,'PCT data'!B:K,10,FALSE)</f>
        <v>1.1045712545153963</v>
      </c>
      <c r="L258" s="94">
        <f t="shared" si="7"/>
        <v>1.1045712545153963</v>
      </c>
    </row>
    <row r="259" spans="1:12" x14ac:dyDescent="0.2">
      <c r="A259" s="21" t="s">
        <v>708</v>
      </c>
      <c r="B259" s="21" t="s">
        <v>556</v>
      </c>
      <c r="C259" s="21" t="s">
        <v>2211</v>
      </c>
      <c r="D259" s="21" t="s">
        <v>2212</v>
      </c>
      <c r="E259" s="21" t="s">
        <v>2213</v>
      </c>
      <c r="F259" s="21" t="s">
        <v>23</v>
      </c>
      <c r="G259" s="21" t="s">
        <v>24</v>
      </c>
      <c r="H259" s="21" t="s">
        <v>3046</v>
      </c>
      <c r="I259" s="21">
        <v>201</v>
      </c>
      <c r="J259" s="89">
        <f t="shared" ref="J259:J322" si="8">I259/SUMIF(B:B,B259,I:I)</f>
        <v>0.16904962153069805</v>
      </c>
      <c r="K259" s="94">
        <f>VLOOKUP(H259,'PCT data'!B:K,10,FALSE)</f>
        <v>0.97520705353611448</v>
      </c>
      <c r="L259" s="94">
        <f t="shared" ref="L259:L322" si="9">K259*J259</f>
        <v>0.16485838331434735</v>
      </c>
    </row>
    <row r="260" spans="1:12" x14ac:dyDescent="0.2">
      <c r="A260" s="21" t="s">
        <v>708</v>
      </c>
      <c r="B260" s="21" t="s">
        <v>556</v>
      </c>
      <c r="C260" s="21" t="s">
        <v>2211</v>
      </c>
      <c r="D260" s="21" t="s">
        <v>2214</v>
      </c>
      <c r="E260" s="21" t="s">
        <v>2215</v>
      </c>
      <c r="F260" s="21" t="s">
        <v>25</v>
      </c>
      <c r="G260" s="21" t="s">
        <v>26</v>
      </c>
      <c r="H260" s="21" t="s">
        <v>644</v>
      </c>
      <c r="I260" s="21">
        <v>988</v>
      </c>
      <c r="J260" s="89">
        <f t="shared" si="8"/>
        <v>0.83095037846930198</v>
      </c>
      <c r="K260" s="94">
        <f>VLOOKUP(H260,'PCT data'!B:K,10,FALSE)</f>
        <v>1.0050603306851802</v>
      </c>
      <c r="L260" s="94">
        <f t="shared" si="9"/>
        <v>0.83515526216733227</v>
      </c>
    </row>
    <row r="261" spans="1:12" x14ac:dyDescent="0.2">
      <c r="A261" s="21" t="s">
        <v>2975</v>
      </c>
      <c r="B261" s="21" t="s">
        <v>670</v>
      </c>
      <c r="C261" s="21" t="s">
        <v>671</v>
      </c>
      <c r="D261" s="21" t="s">
        <v>2216</v>
      </c>
      <c r="E261" s="21" t="s">
        <v>2217</v>
      </c>
      <c r="F261" s="21" t="s">
        <v>27</v>
      </c>
      <c r="G261" s="21" t="s">
        <v>28</v>
      </c>
      <c r="H261" s="21" t="s">
        <v>2994</v>
      </c>
      <c r="I261" s="21">
        <v>113</v>
      </c>
      <c r="J261" s="89">
        <f t="shared" si="8"/>
        <v>0.12625698324022347</v>
      </c>
      <c r="K261" s="94">
        <f>VLOOKUP(H261,'PCT data'!B:K,10,FALSE)</f>
        <v>1.0150114230682019</v>
      </c>
      <c r="L261" s="94">
        <f t="shared" si="9"/>
        <v>0.12815228023095734</v>
      </c>
    </row>
    <row r="262" spans="1:12" x14ac:dyDescent="0.2">
      <c r="A262" s="21" t="s">
        <v>2975</v>
      </c>
      <c r="B262" s="21" t="s">
        <v>670</v>
      </c>
      <c r="C262" s="21" t="s">
        <v>671</v>
      </c>
      <c r="D262" s="21" t="s">
        <v>2218</v>
      </c>
      <c r="E262" s="21" t="s">
        <v>2219</v>
      </c>
      <c r="F262" s="21" t="s">
        <v>29</v>
      </c>
      <c r="G262" s="21" t="s">
        <v>30</v>
      </c>
      <c r="H262" s="21" t="s">
        <v>2994</v>
      </c>
      <c r="I262" s="21">
        <v>317</v>
      </c>
      <c r="J262" s="89">
        <f t="shared" si="8"/>
        <v>0.35418994413407823</v>
      </c>
      <c r="K262" s="94">
        <f>VLOOKUP(H262,'PCT data'!B:K,10,FALSE)</f>
        <v>1.0150114230682019</v>
      </c>
      <c r="L262" s="94">
        <f t="shared" si="9"/>
        <v>0.35950683923197768</v>
      </c>
    </row>
    <row r="263" spans="1:12" x14ac:dyDescent="0.2">
      <c r="A263" s="21" t="s">
        <v>2975</v>
      </c>
      <c r="B263" s="21" t="s">
        <v>670</v>
      </c>
      <c r="C263" s="21" t="s">
        <v>671</v>
      </c>
      <c r="D263" s="21" t="s">
        <v>2220</v>
      </c>
      <c r="E263" s="21" t="s">
        <v>2221</v>
      </c>
      <c r="F263" s="21" t="s">
        <v>31</v>
      </c>
      <c r="G263" s="21" t="s">
        <v>32</v>
      </c>
      <c r="H263" s="21" t="s">
        <v>3610</v>
      </c>
      <c r="I263" s="21">
        <v>465</v>
      </c>
      <c r="J263" s="89">
        <f t="shared" si="8"/>
        <v>0.51955307262569828</v>
      </c>
      <c r="K263" s="94">
        <f>VLOOKUP(H263,'PCT data'!B:K,10,FALSE)</f>
        <v>0.89559831447194282</v>
      </c>
      <c r="L263" s="94">
        <f t="shared" si="9"/>
        <v>0.46531085612229428</v>
      </c>
    </row>
    <row r="264" spans="1:12" x14ac:dyDescent="0.2">
      <c r="A264" s="21" t="s">
        <v>1167</v>
      </c>
      <c r="B264" s="21" t="s">
        <v>550</v>
      </c>
      <c r="C264" s="21" t="s">
        <v>551</v>
      </c>
      <c r="D264" s="21" t="s">
        <v>2222</v>
      </c>
      <c r="E264" s="21" t="s">
        <v>2223</v>
      </c>
      <c r="F264" s="21" t="s">
        <v>33</v>
      </c>
      <c r="G264" s="21" t="s">
        <v>34</v>
      </c>
      <c r="H264" s="21" t="s">
        <v>3453</v>
      </c>
      <c r="I264" s="21">
        <v>12</v>
      </c>
      <c r="J264" s="89">
        <f t="shared" si="8"/>
        <v>1.3544018058690745E-2</v>
      </c>
      <c r="K264" s="94">
        <f>VLOOKUP(H264,'PCT data'!B:K,10,FALSE)</f>
        <v>1.2140332707286337</v>
      </c>
      <c r="L264" s="94">
        <f t="shared" si="9"/>
        <v>1.6442888542600002E-2</v>
      </c>
    </row>
    <row r="265" spans="1:12" x14ac:dyDescent="0.2">
      <c r="A265" s="21" t="s">
        <v>1167</v>
      </c>
      <c r="B265" s="21" t="s">
        <v>550</v>
      </c>
      <c r="C265" s="21" t="s">
        <v>551</v>
      </c>
      <c r="D265" s="21" t="s">
        <v>2224</v>
      </c>
      <c r="E265" s="21" t="s">
        <v>2225</v>
      </c>
      <c r="F265" s="21" t="s">
        <v>35</v>
      </c>
      <c r="G265" s="21" t="s">
        <v>36</v>
      </c>
      <c r="H265" s="21" t="s">
        <v>3458</v>
      </c>
      <c r="I265" s="21">
        <v>18</v>
      </c>
      <c r="J265" s="89">
        <f t="shared" si="8"/>
        <v>2.0316027088036117E-2</v>
      </c>
      <c r="K265" s="94">
        <f>VLOOKUP(H265,'PCT data'!B:K,10,FALSE)</f>
        <v>1.154326716430494</v>
      </c>
      <c r="L265" s="94">
        <f t="shared" si="9"/>
        <v>2.3451332839445702E-2</v>
      </c>
    </row>
    <row r="266" spans="1:12" x14ac:dyDescent="0.2">
      <c r="A266" s="21" t="s">
        <v>1167</v>
      </c>
      <c r="B266" s="21" t="s">
        <v>550</v>
      </c>
      <c r="C266" s="21" t="s">
        <v>551</v>
      </c>
      <c r="D266" s="21" t="s">
        <v>2226</v>
      </c>
      <c r="E266" s="21" t="s">
        <v>2227</v>
      </c>
      <c r="F266" s="21" t="s">
        <v>37</v>
      </c>
      <c r="G266" s="21" t="s">
        <v>38</v>
      </c>
      <c r="H266" s="21" t="s">
        <v>3453</v>
      </c>
      <c r="I266" s="21">
        <v>28</v>
      </c>
      <c r="J266" s="89">
        <f t="shared" si="8"/>
        <v>3.160270880361174E-2</v>
      </c>
      <c r="K266" s="94">
        <f>VLOOKUP(H266,'PCT data'!B:K,10,FALSE)</f>
        <v>1.2140332707286337</v>
      </c>
      <c r="L266" s="94">
        <f t="shared" si="9"/>
        <v>3.8366739932733346E-2</v>
      </c>
    </row>
    <row r="267" spans="1:12" x14ac:dyDescent="0.2">
      <c r="A267" s="21" t="s">
        <v>1167</v>
      </c>
      <c r="B267" s="21" t="s">
        <v>550</v>
      </c>
      <c r="C267" s="21" t="s">
        <v>551</v>
      </c>
      <c r="D267" s="21" t="s">
        <v>2228</v>
      </c>
      <c r="E267" s="21" t="s">
        <v>2229</v>
      </c>
      <c r="F267" s="21" t="s">
        <v>39</v>
      </c>
      <c r="G267" s="21" t="s">
        <v>986</v>
      </c>
      <c r="H267" s="21" t="s">
        <v>3482</v>
      </c>
      <c r="I267" s="21">
        <v>29</v>
      </c>
      <c r="J267" s="89">
        <f t="shared" si="8"/>
        <v>3.2731376975169299E-2</v>
      </c>
      <c r="K267" s="94">
        <f>VLOOKUP(H267,'PCT data'!B:K,10,FALSE)</f>
        <v>1.1145223468984178</v>
      </c>
      <c r="L267" s="94">
        <f t="shared" si="9"/>
        <v>3.6479851083582523E-2</v>
      </c>
    </row>
    <row r="268" spans="1:12" x14ac:dyDescent="0.2">
      <c r="A268" s="21" t="s">
        <v>1167</v>
      </c>
      <c r="B268" s="21" t="s">
        <v>550</v>
      </c>
      <c r="C268" s="21" t="s">
        <v>551</v>
      </c>
      <c r="D268" s="21" t="s">
        <v>2230</v>
      </c>
      <c r="E268" s="21" t="s">
        <v>2231</v>
      </c>
      <c r="F268" s="21" t="s">
        <v>40</v>
      </c>
      <c r="G268" s="21" t="s">
        <v>41</v>
      </c>
      <c r="H268" s="21" t="s">
        <v>3453</v>
      </c>
      <c r="I268" s="21">
        <v>29</v>
      </c>
      <c r="J268" s="89">
        <f t="shared" si="8"/>
        <v>3.2731376975169299E-2</v>
      </c>
      <c r="K268" s="94">
        <f>VLOOKUP(H268,'PCT data'!B:K,10,FALSE)</f>
        <v>1.2140332707286337</v>
      </c>
      <c r="L268" s="94">
        <f t="shared" si="9"/>
        <v>3.9736980644616678E-2</v>
      </c>
    </row>
    <row r="269" spans="1:12" x14ac:dyDescent="0.2">
      <c r="A269" s="21" t="s">
        <v>1167</v>
      </c>
      <c r="B269" s="21" t="s">
        <v>550</v>
      </c>
      <c r="C269" s="21" t="s">
        <v>551</v>
      </c>
      <c r="D269" s="21" t="s">
        <v>728</v>
      </c>
      <c r="E269" s="21" t="s">
        <v>729</v>
      </c>
      <c r="F269" s="21" t="s">
        <v>42</v>
      </c>
      <c r="G269" s="21" t="s">
        <v>43</v>
      </c>
      <c r="H269" s="21" t="s">
        <v>3447</v>
      </c>
      <c r="I269" s="21">
        <v>70</v>
      </c>
      <c r="J269" s="89">
        <f t="shared" si="8"/>
        <v>7.900677200902935E-2</v>
      </c>
      <c r="K269" s="94">
        <f>VLOOKUP(H269,'PCT data'!B:K,10,FALSE)</f>
        <v>1.2140332707286337</v>
      </c>
      <c r="L269" s="94">
        <f t="shared" si="9"/>
        <v>9.5916849831833365E-2</v>
      </c>
    </row>
    <row r="270" spans="1:12" x14ac:dyDescent="0.2">
      <c r="A270" s="21" t="s">
        <v>1167</v>
      </c>
      <c r="B270" s="21" t="s">
        <v>550</v>
      </c>
      <c r="C270" s="21" t="s">
        <v>551</v>
      </c>
      <c r="D270" s="21" t="s">
        <v>2232</v>
      </c>
      <c r="E270" s="21" t="s">
        <v>2233</v>
      </c>
      <c r="F270" s="21" t="s">
        <v>44</v>
      </c>
      <c r="G270" s="21" t="s">
        <v>34</v>
      </c>
      <c r="H270" s="21" t="s">
        <v>3453</v>
      </c>
      <c r="I270" s="21">
        <v>134</v>
      </c>
      <c r="J270" s="89">
        <f t="shared" si="8"/>
        <v>0.15124153498871332</v>
      </c>
      <c r="K270" s="94">
        <f>VLOOKUP(H270,'PCT data'!B:K,10,FALSE)</f>
        <v>1.2140332707286337</v>
      </c>
      <c r="L270" s="94">
        <f t="shared" si="9"/>
        <v>0.18361225539236672</v>
      </c>
    </row>
    <row r="271" spans="1:12" x14ac:dyDescent="0.2">
      <c r="A271" s="21" t="s">
        <v>1167</v>
      </c>
      <c r="B271" s="21" t="s">
        <v>550</v>
      </c>
      <c r="C271" s="21" t="s">
        <v>551</v>
      </c>
      <c r="D271" s="21" t="s">
        <v>2234</v>
      </c>
      <c r="E271" s="21" t="s">
        <v>2235</v>
      </c>
      <c r="F271" s="21" t="s">
        <v>42</v>
      </c>
      <c r="G271" s="21" t="s">
        <v>43</v>
      </c>
      <c r="H271" s="21" t="s">
        <v>3447</v>
      </c>
      <c r="I271" s="21">
        <v>185</v>
      </c>
      <c r="J271" s="89">
        <f t="shared" si="8"/>
        <v>0.20880361173814899</v>
      </c>
      <c r="K271" s="94">
        <f>VLOOKUP(H271,'PCT data'!B:K,10,FALSE)</f>
        <v>1.2140332707286337</v>
      </c>
      <c r="L271" s="94">
        <f t="shared" si="9"/>
        <v>0.25349453169841674</v>
      </c>
    </row>
    <row r="272" spans="1:12" x14ac:dyDescent="0.2">
      <c r="A272" s="21" t="s">
        <v>1167</v>
      </c>
      <c r="B272" s="21" t="s">
        <v>550</v>
      </c>
      <c r="C272" s="21" t="s">
        <v>551</v>
      </c>
      <c r="D272" s="21" t="s">
        <v>2236</v>
      </c>
      <c r="E272" s="21" t="s">
        <v>2237</v>
      </c>
      <c r="F272" s="21" t="s">
        <v>45</v>
      </c>
      <c r="G272" s="21" t="s">
        <v>46</v>
      </c>
      <c r="H272" s="21" t="s">
        <v>458</v>
      </c>
      <c r="I272" s="21">
        <v>381</v>
      </c>
      <c r="J272" s="89">
        <f t="shared" si="8"/>
        <v>0.43002257336343114</v>
      </c>
      <c r="K272" s="94">
        <f>VLOOKUP(H272,'PCT data'!B:K,10,FALSE)</f>
        <v>1.1145223468984178</v>
      </c>
      <c r="L272" s="94">
        <f t="shared" si="9"/>
        <v>0.47926976768430829</v>
      </c>
    </row>
    <row r="273" spans="1:12" x14ac:dyDescent="0.2">
      <c r="A273" s="21" t="s">
        <v>1127</v>
      </c>
      <c r="B273" s="21" t="s">
        <v>2273</v>
      </c>
      <c r="C273" s="21" t="s">
        <v>2238</v>
      </c>
      <c r="D273" s="21" t="s">
        <v>2239</v>
      </c>
      <c r="E273" s="21" t="s">
        <v>2240</v>
      </c>
      <c r="F273" s="21" t="s">
        <v>47</v>
      </c>
      <c r="G273" s="21" t="s">
        <v>48</v>
      </c>
      <c r="H273" s="21" t="s">
        <v>1149</v>
      </c>
      <c r="I273" s="21">
        <v>14</v>
      </c>
      <c r="J273" s="89">
        <f t="shared" si="8"/>
        <v>4.8951048951048952E-2</v>
      </c>
      <c r="K273" s="94">
        <f>VLOOKUP(H273,'PCT data'!B:K,10,FALSE)</f>
        <v>1.0548157926002883</v>
      </c>
      <c r="L273" s="94">
        <f t="shared" si="9"/>
        <v>5.1634339497916217E-2</v>
      </c>
    </row>
    <row r="274" spans="1:12" x14ac:dyDescent="0.2">
      <c r="A274" s="21" t="s">
        <v>1127</v>
      </c>
      <c r="B274" s="21" t="s">
        <v>2273</v>
      </c>
      <c r="C274" s="21" t="s">
        <v>2238</v>
      </c>
      <c r="D274" s="21" t="s">
        <v>2241</v>
      </c>
      <c r="E274" s="21" t="s">
        <v>2242</v>
      </c>
      <c r="F274" s="21" t="s">
        <v>49</v>
      </c>
      <c r="G274" s="21" t="s">
        <v>863</v>
      </c>
      <c r="H274" s="21" t="s">
        <v>1149</v>
      </c>
      <c r="I274" s="21">
        <v>16</v>
      </c>
      <c r="J274" s="89">
        <f t="shared" si="8"/>
        <v>5.5944055944055944E-2</v>
      </c>
      <c r="K274" s="94">
        <f>VLOOKUP(H274,'PCT data'!B:K,10,FALSE)</f>
        <v>1.0548157926002883</v>
      </c>
      <c r="L274" s="94">
        <f t="shared" si="9"/>
        <v>5.9010673711904243E-2</v>
      </c>
    </row>
    <row r="275" spans="1:12" x14ac:dyDescent="0.2">
      <c r="A275" s="21" t="s">
        <v>1127</v>
      </c>
      <c r="B275" s="21" t="s">
        <v>2273</v>
      </c>
      <c r="C275" s="21" t="s">
        <v>2238</v>
      </c>
      <c r="D275" s="21" t="s">
        <v>2243</v>
      </c>
      <c r="E275" s="21" t="s">
        <v>2244</v>
      </c>
      <c r="F275" s="21" t="s">
        <v>50</v>
      </c>
      <c r="G275" s="21" t="s">
        <v>51</v>
      </c>
      <c r="H275" s="21" t="s">
        <v>1131</v>
      </c>
      <c r="I275" s="21">
        <v>16</v>
      </c>
      <c r="J275" s="89">
        <f t="shared" si="8"/>
        <v>5.5944055944055944E-2</v>
      </c>
      <c r="K275" s="94">
        <f>VLOOKUP(H275,'PCT data'!B:K,10,FALSE)</f>
        <v>1.0150114230682019</v>
      </c>
      <c r="L275" s="94">
        <f t="shared" si="9"/>
        <v>5.6783855835983325E-2</v>
      </c>
    </row>
    <row r="276" spans="1:12" x14ac:dyDescent="0.2">
      <c r="A276" s="21" t="s">
        <v>1127</v>
      </c>
      <c r="B276" s="21" t="s">
        <v>2273</v>
      </c>
      <c r="C276" s="21" t="s">
        <v>2238</v>
      </c>
      <c r="D276" s="21" t="s">
        <v>2245</v>
      </c>
      <c r="E276" s="21" t="s">
        <v>2246</v>
      </c>
      <c r="F276" s="21" t="s">
        <v>52</v>
      </c>
      <c r="G276" s="21" t="s">
        <v>53</v>
      </c>
      <c r="H276" s="21" t="s">
        <v>1149</v>
      </c>
      <c r="I276" s="21">
        <v>16</v>
      </c>
      <c r="J276" s="89">
        <f t="shared" si="8"/>
        <v>5.5944055944055944E-2</v>
      </c>
      <c r="K276" s="94">
        <f>VLOOKUP(H276,'PCT data'!B:K,10,FALSE)</f>
        <v>1.0548157926002883</v>
      </c>
      <c r="L276" s="94">
        <f t="shared" si="9"/>
        <v>5.9010673711904243E-2</v>
      </c>
    </row>
    <row r="277" spans="1:12" x14ac:dyDescent="0.2">
      <c r="A277" s="21" t="s">
        <v>1127</v>
      </c>
      <c r="B277" s="21" t="s">
        <v>2273</v>
      </c>
      <c r="C277" s="21" t="s">
        <v>2238</v>
      </c>
      <c r="D277" s="21" t="s">
        <v>2247</v>
      </c>
      <c r="E277" s="21" t="s">
        <v>2248</v>
      </c>
      <c r="F277" s="21" t="s">
        <v>54</v>
      </c>
      <c r="G277" s="21" t="s">
        <v>55</v>
      </c>
      <c r="H277" s="21" t="s">
        <v>1131</v>
      </c>
      <c r="I277" s="21">
        <v>16</v>
      </c>
      <c r="J277" s="89">
        <f t="shared" si="8"/>
        <v>5.5944055944055944E-2</v>
      </c>
      <c r="K277" s="94">
        <f>VLOOKUP(H277,'PCT data'!B:K,10,FALSE)</f>
        <v>1.0150114230682019</v>
      </c>
      <c r="L277" s="94">
        <f t="shared" si="9"/>
        <v>5.6783855835983325E-2</v>
      </c>
    </row>
    <row r="278" spans="1:12" x14ac:dyDescent="0.2">
      <c r="A278" s="21" t="s">
        <v>1127</v>
      </c>
      <c r="B278" s="21" t="s">
        <v>2273</v>
      </c>
      <c r="C278" s="21" t="s">
        <v>2238</v>
      </c>
      <c r="D278" s="21" t="s">
        <v>2249</v>
      </c>
      <c r="E278" s="21" t="s">
        <v>2250</v>
      </c>
      <c r="F278" s="21" t="s">
        <v>56</v>
      </c>
      <c r="G278" s="21" t="s">
        <v>57</v>
      </c>
      <c r="H278" s="21" t="s">
        <v>1131</v>
      </c>
      <c r="I278" s="21">
        <v>16</v>
      </c>
      <c r="J278" s="89">
        <f t="shared" si="8"/>
        <v>5.5944055944055944E-2</v>
      </c>
      <c r="K278" s="94">
        <f>VLOOKUP(H278,'PCT data'!B:K,10,FALSE)</f>
        <v>1.0150114230682019</v>
      </c>
      <c r="L278" s="94">
        <f t="shared" si="9"/>
        <v>5.6783855835983325E-2</v>
      </c>
    </row>
    <row r="279" spans="1:12" x14ac:dyDescent="0.2">
      <c r="A279" s="21" t="s">
        <v>1127</v>
      </c>
      <c r="B279" s="21" t="s">
        <v>2273</v>
      </c>
      <c r="C279" s="21" t="s">
        <v>2238</v>
      </c>
      <c r="D279" s="21" t="s">
        <v>2251</v>
      </c>
      <c r="E279" s="21" t="s">
        <v>2252</v>
      </c>
      <c r="F279" s="21" t="s">
        <v>52</v>
      </c>
      <c r="G279" s="21" t="s">
        <v>53</v>
      </c>
      <c r="H279" s="21" t="s">
        <v>1149</v>
      </c>
      <c r="I279" s="21">
        <v>21</v>
      </c>
      <c r="J279" s="89">
        <f t="shared" si="8"/>
        <v>7.3426573426573424E-2</v>
      </c>
      <c r="K279" s="94">
        <f>VLOOKUP(H279,'PCT data'!B:K,10,FALSE)</f>
        <v>1.0548157926002883</v>
      </c>
      <c r="L279" s="94">
        <f t="shared" si="9"/>
        <v>7.7451509246874314E-2</v>
      </c>
    </row>
    <row r="280" spans="1:12" x14ac:dyDescent="0.2">
      <c r="A280" s="21" t="s">
        <v>1127</v>
      </c>
      <c r="B280" s="21" t="s">
        <v>2273</v>
      </c>
      <c r="C280" s="21" t="s">
        <v>2238</v>
      </c>
      <c r="D280" s="21" t="s">
        <v>2253</v>
      </c>
      <c r="E280" s="21" t="s">
        <v>2254</v>
      </c>
      <c r="F280" s="21" t="s">
        <v>54</v>
      </c>
      <c r="G280" s="21" t="s">
        <v>55</v>
      </c>
      <c r="H280" s="21" t="s">
        <v>1131</v>
      </c>
      <c r="I280" s="21">
        <v>25</v>
      </c>
      <c r="J280" s="89">
        <f t="shared" si="8"/>
        <v>8.7412587412587409E-2</v>
      </c>
      <c r="K280" s="94">
        <f>VLOOKUP(H280,'PCT data'!B:K,10,FALSE)</f>
        <v>1.0150114230682019</v>
      </c>
      <c r="L280" s="94">
        <f t="shared" si="9"/>
        <v>8.8724774743723936E-2</v>
      </c>
    </row>
    <row r="281" spans="1:12" x14ac:dyDescent="0.2">
      <c r="A281" s="21" t="s">
        <v>1127</v>
      </c>
      <c r="B281" s="21" t="s">
        <v>2273</v>
      </c>
      <c r="C281" s="21" t="s">
        <v>2238</v>
      </c>
      <c r="D281" s="21" t="s">
        <v>2255</v>
      </c>
      <c r="E281" s="21" t="s">
        <v>2256</v>
      </c>
      <c r="F281" s="21" t="s">
        <v>58</v>
      </c>
      <c r="G281" s="21" t="s">
        <v>57</v>
      </c>
      <c r="H281" s="21" t="s">
        <v>1131</v>
      </c>
      <c r="I281" s="21">
        <v>26</v>
      </c>
      <c r="J281" s="89">
        <f t="shared" si="8"/>
        <v>9.0909090909090912E-2</v>
      </c>
      <c r="K281" s="94">
        <f>VLOOKUP(H281,'PCT data'!B:K,10,FALSE)</f>
        <v>1.0150114230682019</v>
      </c>
      <c r="L281" s="94">
        <f t="shared" si="9"/>
        <v>9.2273765733472901E-2</v>
      </c>
    </row>
    <row r="282" spans="1:12" x14ac:dyDescent="0.2">
      <c r="A282" s="21" t="s">
        <v>1127</v>
      </c>
      <c r="B282" s="21" t="s">
        <v>2273</v>
      </c>
      <c r="C282" s="21" t="s">
        <v>2238</v>
      </c>
      <c r="D282" s="21" t="s">
        <v>2257</v>
      </c>
      <c r="E282" s="21" t="s">
        <v>2258</v>
      </c>
      <c r="F282" s="21" t="s">
        <v>59</v>
      </c>
      <c r="G282" s="21" t="s">
        <v>60</v>
      </c>
      <c r="H282" s="21" t="s">
        <v>1149</v>
      </c>
      <c r="I282" s="21">
        <v>35</v>
      </c>
      <c r="J282" s="89">
        <f t="shared" si="8"/>
        <v>0.12237762237762238</v>
      </c>
      <c r="K282" s="94">
        <f>VLOOKUP(H282,'PCT data'!B:K,10,FALSE)</f>
        <v>1.0548157926002883</v>
      </c>
      <c r="L282" s="94">
        <f t="shared" si="9"/>
        <v>0.12908584874479054</v>
      </c>
    </row>
    <row r="283" spans="1:12" x14ac:dyDescent="0.2">
      <c r="A283" s="21" t="s">
        <v>1127</v>
      </c>
      <c r="B283" s="21" t="s">
        <v>2273</v>
      </c>
      <c r="C283" s="21" t="s">
        <v>2238</v>
      </c>
      <c r="D283" s="21" t="s">
        <v>728</v>
      </c>
      <c r="E283" s="21" t="s">
        <v>729</v>
      </c>
      <c r="F283" s="21" t="s">
        <v>52</v>
      </c>
      <c r="G283" s="21" t="s">
        <v>53</v>
      </c>
      <c r="H283" s="21" t="s">
        <v>1149</v>
      </c>
      <c r="I283" s="21">
        <v>85</v>
      </c>
      <c r="J283" s="89">
        <f t="shared" si="8"/>
        <v>0.29720279720279719</v>
      </c>
      <c r="K283" s="94">
        <f>VLOOKUP(H283,'PCT data'!B:K,10,FALSE)</f>
        <v>1.0548157926002883</v>
      </c>
      <c r="L283" s="94">
        <f t="shared" si="9"/>
        <v>0.3134942040944913</v>
      </c>
    </row>
    <row r="284" spans="1:12" x14ac:dyDescent="0.2">
      <c r="A284" s="21" t="s">
        <v>1167</v>
      </c>
      <c r="B284" s="21" t="s">
        <v>3664</v>
      </c>
      <c r="C284" s="21" t="s">
        <v>3665</v>
      </c>
      <c r="D284" s="21" t="s">
        <v>2259</v>
      </c>
      <c r="E284" s="21" t="s">
        <v>2260</v>
      </c>
      <c r="F284" s="21" t="s">
        <v>61</v>
      </c>
      <c r="G284" s="21" t="s">
        <v>62</v>
      </c>
      <c r="H284" s="21" t="s">
        <v>3468</v>
      </c>
      <c r="I284" s="21">
        <v>168</v>
      </c>
      <c r="J284" s="89">
        <f t="shared" si="8"/>
        <v>0.24207492795389049</v>
      </c>
      <c r="K284" s="94">
        <f>VLOOKUP(H284,'PCT data'!B:K,10,FALSE)</f>
        <v>1.1443756240474725</v>
      </c>
      <c r="L284" s="94">
        <f t="shared" si="9"/>
        <v>0.27702464674348037</v>
      </c>
    </row>
    <row r="285" spans="1:12" x14ac:dyDescent="0.2">
      <c r="A285" s="21" t="s">
        <v>1167</v>
      </c>
      <c r="B285" s="21" t="s">
        <v>3664</v>
      </c>
      <c r="C285" s="21" t="s">
        <v>3665</v>
      </c>
      <c r="D285" s="21" t="s">
        <v>2261</v>
      </c>
      <c r="E285" s="21" t="s">
        <v>1178</v>
      </c>
      <c r="F285" s="21" t="s">
        <v>63</v>
      </c>
      <c r="G285" s="21" t="s">
        <v>64</v>
      </c>
      <c r="H285" s="21" t="s">
        <v>3468</v>
      </c>
      <c r="I285" s="21">
        <v>526</v>
      </c>
      <c r="J285" s="89">
        <f t="shared" si="8"/>
        <v>0.75792507204610948</v>
      </c>
      <c r="K285" s="94">
        <f>VLOOKUP(H285,'PCT data'!B:K,10,FALSE)</f>
        <v>1.1443756240474725</v>
      </c>
      <c r="L285" s="94">
        <f t="shared" si="9"/>
        <v>0.86735097730399213</v>
      </c>
    </row>
    <row r="286" spans="1:12" x14ac:dyDescent="0.2">
      <c r="A286" s="21" t="s">
        <v>1167</v>
      </c>
      <c r="B286" s="21" t="s">
        <v>3224</v>
      </c>
      <c r="C286" s="21" t="s">
        <v>2262</v>
      </c>
      <c r="D286" s="21" t="s">
        <v>1179</v>
      </c>
      <c r="E286" s="21" t="s">
        <v>1180</v>
      </c>
      <c r="F286" s="21" t="s">
        <v>65</v>
      </c>
      <c r="G286" s="21" t="s">
        <v>66</v>
      </c>
      <c r="H286" s="21" t="s">
        <v>1171</v>
      </c>
      <c r="I286" s="21">
        <v>430</v>
      </c>
      <c r="J286" s="89">
        <f t="shared" si="8"/>
        <v>0.48478015783540024</v>
      </c>
      <c r="K286" s="94">
        <f>VLOOKUP(H286,'PCT data'!B:K,10,FALSE)</f>
        <v>1.1344245316644608</v>
      </c>
      <c r="L286" s="94">
        <f t="shared" si="9"/>
        <v>0.54994650351264729</v>
      </c>
    </row>
    <row r="287" spans="1:12" x14ac:dyDescent="0.2">
      <c r="A287" s="21" t="s">
        <v>1167</v>
      </c>
      <c r="B287" s="21" t="s">
        <v>3224</v>
      </c>
      <c r="C287" s="21" t="s">
        <v>2262</v>
      </c>
      <c r="D287" s="21" t="s">
        <v>1181</v>
      </c>
      <c r="E287" s="21" t="s">
        <v>1182</v>
      </c>
      <c r="F287" s="21" t="s">
        <v>67</v>
      </c>
      <c r="G287" s="21" t="s">
        <v>68</v>
      </c>
      <c r="H287" s="21" t="s">
        <v>3466</v>
      </c>
      <c r="I287" s="21">
        <v>457</v>
      </c>
      <c r="J287" s="89">
        <f t="shared" si="8"/>
        <v>0.51521984216459982</v>
      </c>
      <c r="K287" s="94">
        <f>VLOOKUP(H287,'PCT data'!B:K,10,FALSE)</f>
        <v>1.1045712545153963</v>
      </c>
      <c r="L287" s="94">
        <f t="shared" si="9"/>
        <v>0.56909702741097645</v>
      </c>
    </row>
    <row r="288" spans="1:12" x14ac:dyDescent="0.2">
      <c r="A288" s="21" t="s">
        <v>1167</v>
      </c>
      <c r="B288" s="21" t="s">
        <v>2363</v>
      </c>
      <c r="C288" s="21" t="s">
        <v>2364</v>
      </c>
      <c r="D288" s="21" t="s">
        <v>1183</v>
      </c>
      <c r="E288" s="21" t="s">
        <v>1184</v>
      </c>
      <c r="F288" s="21" t="s">
        <v>69</v>
      </c>
      <c r="G288" s="21" t="s">
        <v>70</v>
      </c>
      <c r="H288" s="21" t="s">
        <v>3498</v>
      </c>
      <c r="I288" s="21">
        <v>306</v>
      </c>
      <c r="J288" s="89">
        <f t="shared" si="8"/>
        <v>0.37135922330097088</v>
      </c>
      <c r="K288" s="94">
        <f>VLOOKUP(H288,'PCT data'!B:K,10,FALSE)</f>
        <v>1.1045712545153963</v>
      </c>
      <c r="L288" s="94">
        <f t="shared" si="9"/>
        <v>0.41019272315741656</v>
      </c>
    </row>
    <row r="289" spans="1:12" x14ac:dyDescent="0.2">
      <c r="A289" s="21" t="s">
        <v>1167</v>
      </c>
      <c r="B289" s="21" t="s">
        <v>2363</v>
      </c>
      <c r="C289" s="21" t="s">
        <v>2364</v>
      </c>
      <c r="D289" s="21" t="s">
        <v>1185</v>
      </c>
      <c r="E289" s="21" t="s">
        <v>1186</v>
      </c>
      <c r="F289" s="21" t="s">
        <v>71</v>
      </c>
      <c r="G289" s="21" t="s">
        <v>72</v>
      </c>
      <c r="H289" s="21" t="s">
        <v>3444</v>
      </c>
      <c r="I289" s="21">
        <v>518</v>
      </c>
      <c r="J289" s="89">
        <f t="shared" si="8"/>
        <v>0.62864077669902918</v>
      </c>
      <c r="K289" s="94">
        <f>VLOOKUP(H289,'PCT data'!B:K,10,FALSE)</f>
        <v>1.1443756240474725</v>
      </c>
      <c r="L289" s="94">
        <f t="shared" si="9"/>
        <v>0.71940118113663931</v>
      </c>
    </row>
    <row r="290" spans="1:12" x14ac:dyDescent="0.2">
      <c r="A290" s="21" t="s">
        <v>3496</v>
      </c>
      <c r="B290" s="21" t="s">
        <v>2351</v>
      </c>
      <c r="C290" s="21" t="s">
        <v>2352</v>
      </c>
      <c r="D290" s="21" t="s">
        <v>1187</v>
      </c>
      <c r="E290" s="21" t="s">
        <v>1188</v>
      </c>
      <c r="F290" s="21" t="s">
        <v>73</v>
      </c>
      <c r="G290" s="21" t="s">
        <v>74</v>
      </c>
      <c r="H290" s="21" t="s">
        <v>3503</v>
      </c>
      <c r="I290" s="21">
        <v>260</v>
      </c>
      <c r="J290" s="89">
        <f t="shared" si="8"/>
        <v>0.25974025974025972</v>
      </c>
      <c r="K290" s="94">
        <f>VLOOKUP(H290,'PCT data'!B:K,10,FALSE)</f>
        <v>1.0448647002172666</v>
      </c>
      <c r="L290" s="94">
        <f t="shared" si="9"/>
        <v>0.27139342862786142</v>
      </c>
    </row>
    <row r="291" spans="1:12" x14ac:dyDescent="0.2">
      <c r="A291" s="21" t="s">
        <v>3496</v>
      </c>
      <c r="B291" s="21" t="s">
        <v>2351</v>
      </c>
      <c r="C291" s="21" t="s">
        <v>2352</v>
      </c>
      <c r="D291" s="21" t="s">
        <v>1189</v>
      </c>
      <c r="E291" s="21" t="s">
        <v>1190</v>
      </c>
      <c r="F291" s="21" t="s">
        <v>75</v>
      </c>
      <c r="G291" s="21" t="s">
        <v>76</v>
      </c>
      <c r="H291" s="21" t="s">
        <v>3503</v>
      </c>
      <c r="I291" s="21">
        <v>346</v>
      </c>
      <c r="J291" s="89">
        <f t="shared" si="8"/>
        <v>0.34565434565434566</v>
      </c>
      <c r="K291" s="94">
        <f>VLOOKUP(H291,'PCT data'!B:K,10,FALSE)</f>
        <v>1.0448647002172666</v>
      </c>
      <c r="L291" s="94">
        <f t="shared" si="9"/>
        <v>0.36116202425092336</v>
      </c>
    </row>
    <row r="292" spans="1:12" x14ac:dyDescent="0.2">
      <c r="A292" s="21" t="s">
        <v>3496</v>
      </c>
      <c r="B292" s="21" t="s">
        <v>2351</v>
      </c>
      <c r="C292" s="21" t="s">
        <v>2352</v>
      </c>
      <c r="D292" s="21" t="s">
        <v>1191</v>
      </c>
      <c r="E292" s="21" t="s">
        <v>1192</v>
      </c>
      <c r="F292" s="21" t="s">
        <v>77</v>
      </c>
      <c r="G292" s="21" t="s">
        <v>78</v>
      </c>
      <c r="H292" s="21" t="s">
        <v>3503</v>
      </c>
      <c r="I292" s="21">
        <v>395</v>
      </c>
      <c r="J292" s="89">
        <f t="shared" si="8"/>
        <v>0.39460539460539462</v>
      </c>
      <c r="K292" s="94">
        <f>VLOOKUP(H292,'PCT data'!B:K,10,FALSE)</f>
        <v>1.0448647002172666</v>
      </c>
      <c r="L292" s="94">
        <f t="shared" si="9"/>
        <v>0.41230924733848184</v>
      </c>
    </row>
    <row r="293" spans="1:12" x14ac:dyDescent="0.2">
      <c r="A293" s="21" t="s">
        <v>708</v>
      </c>
      <c r="B293" s="21" t="s">
        <v>3660</v>
      </c>
      <c r="C293" s="21" t="s">
        <v>3661</v>
      </c>
      <c r="D293" s="21" t="s">
        <v>1193</v>
      </c>
      <c r="E293" s="21" t="s">
        <v>1194</v>
      </c>
      <c r="F293" s="21" t="s">
        <v>79</v>
      </c>
      <c r="G293" s="21" t="s">
        <v>80</v>
      </c>
      <c r="H293" s="21" t="s">
        <v>639</v>
      </c>
      <c r="I293" s="21">
        <v>245</v>
      </c>
      <c r="J293" s="89">
        <f t="shared" si="8"/>
        <v>0.330188679245283</v>
      </c>
      <c r="K293" s="94">
        <f>VLOOKUP(H293,'PCT data'!B:K,10,FALSE)</f>
        <v>0.97520705353611448</v>
      </c>
      <c r="L293" s="94">
        <f t="shared" si="9"/>
        <v>0.32200232899777365</v>
      </c>
    </row>
    <row r="294" spans="1:12" x14ac:dyDescent="0.2">
      <c r="A294" s="21" t="s">
        <v>708</v>
      </c>
      <c r="B294" s="21" t="s">
        <v>3660</v>
      </c>
      <c r="C294" s="21" t="s">
        <v>3661</v>
      </c>
      <c r="D294" s="21" t="s">
        <v>1195</v>
      </c>
      <c r="E294" s="21" t="s">
        <v>1196</v>
      </c>
      <c r="F294" s="21" t="s">
        <v>81</v>
      </c>
      <c r="G294" s="21" t="s">
        <v>82</v>
      </c>
      <c r="H294" s="21" t="s">
        <v>3591</v>
      </c>
      <c r="I294" s="21">
        <v>497</v>
      </c>
      <c r="J294" s="89">
        <f t="shared" si="8"/>
        <v>0.66981132075471694</v>
      </c>
      <c r="K294" s="94">
        <f>VLOOKUP(H294,'PCT data'!B:K,10,FALSE)</f>
        <v>0.96525596115309287</v>
      </c>
      <c r="L294" s="94">
        <f t="shared" si="9"/>
        <v>0.64653937020631691</v>
      </c>
    </row>
    <row r="295" spans="1:12" x14ac:dyDescent="0.2">
      <c r="A295" s="21" t="s">
        <v>2975</v>
      </c>
      <c r="B295" s="21" t="s">
        <v>571</v>
      </c>
      <c r="C295" s="21" t="s">
        <v>572</v>
      </c>
      <c r="D295" s="21" t="s">
        <v>1197</v>
      </c>
      <c r="E295" s="21" t="s">
        <v>1198</v>
      </c>
      <c r="F295" s="21" t="s">
        <v>83</v>
      </c>
      <c r="G295" s="21" t="s">
        <v>84</v>
      </c>
      <c r="H295" s="21" t="s">
        <v>3002</v>
      </c>
      <c r="I295" s="21">
        <v>142</v>
      </c>
      <c r="J295" s="89">
        <f t="shared" si="8"/>
        <v>0.27255278310940501</v>
      </c>
      <c r="K295" s="94">
        <f>VLOOKUP(H295,'PCT data'!B:K,10,FALSE)</f>
        <v>0.91550049923798604</v>
      </c>
      <c r="L295" s="94">
        <f t="shared" si="9"/>
        <v>0.24952220900536282</v>
      </c>
    </row>
    <row r="296" spans="1:12" x14ac:dyDescent="0.2">
      <c r="A296" s="21" t="s">
        <v>2975</v>
      </c>
      <c r="B296" s="21" t="s">
        <v>571</v>
      </c>
      <c r="C296" s="21" t="s">
        <v>572</v>
      </c>
      <c r="D296" s="21" t="s">
        <v>1199</v>
      </c>
      <c r="E296" s="21" t="s">
        <v>1200</v>
      </c>
      <c r="F296" s="21" t="s">
        <v>85</v>
      </c>
      <c r="G296" s="21" t="s">
        <v>86</v>
      </c>
      <c r="H296" s="21" t="s">
        <v>3019</v>
      </c>
      <c r="I296" s="21">
        <v>379</v>
      </c>
      <c r="J296" s="89">
        <f t="shared" si="8"/>
        <v>0.72744721689059499</v>
      </c>
      <c r="K296" s="94">
        <f>VLOOKUP(H296,'PCT data'!B:K,10,FALSE)</f>
        <v>0.91550049923798604</v>
      </c>
      <c r="L296" s="94">
        <f t="shared" si="9"/>
        <v>0.66597829023262323</v>
      </c>
    </row>
    <row r="297" spans="1:12" x14ac:dyDescent="0.2">
      <c r="A297" s="21" t="s">
        <v>191</v>
      </c>
      <c r="B297" s="21" t="s">
        <v>2385</v>
      </c>
      <c r="C297" s="21" t="s">
        <v>1201</v>
      </c>
      <c r="D297" s="21" t="s">
        <v>1202</v>
      </c>
      <c r="E297" s="21" t="s">
        <v>1203</v>
      </c>
      <c r="F297" s="21" t="s">
        <v>87</v>
      </c>
      <c r="G297" s="21" t="s">
        <v>88</v>
      </c>
      <c r="H297" s="21" t="s">
        <v>192</v>
      </c>
      <c r="I297" s="21">
        <v>14</v>
      </c>
      <c r="J297" s="89">
        <f t="shared" si="8"/>
        <v>1.7699115044247787E-2</v>
      </c>
      <c r="K297" s="94">
        <f>VLOOKUP(H297,'PCT data'!B:K,10,FALSE)</f>
        <v>1.0249625154512234</v>
      </c>
      <c r="L297" s="94">
        <f t="shared" si="9"/>
        <v>1.8140929477012804E-2</v>
      </c>
    </row>
    <row r="298" spans="1:12" x14ac:dyDescent="0.2">
      <c r="A298" s="21" t="s">
        <v>191</v>
      </c>
      <c r="B298" s="21" t="s">
        <v>2385</v>
      </c>
      <c r="C298" s="21" t="s">
        <v>1201</v>
      </c>
      <c r="D298" s="21" t="s">
        <v>1204</v>
      </c>
      <c r="E298" s="21" t="s">
        <v>1205</v>
      </c>
      <c r="F298" s="21" t="s">
        <v>89</v>
      </c>
      <c r="G298" s="21" t="s">
        <v>90</v>
      </c>
      <c r="H298" s="21" t="s">
        <v>192</v>
      </c>
      <c r="I298" s="21">
        <v>18</v>
      </c>
      <c r="J298" s="89">
        <f t="shared" si="8"/>
        <v>2.2756005056890013E-2</v>
      </c>
      <c r="K298" s="94">
        <f>VLOOKUP(H298,'PCT data'!B:K,10,FALSE)</f>
        <v>1.0249625154512234</v>
      </c>
      <c r="L298" s="94">
        <f t="shared" si="9"/>
        <v>2.3324052184730749E-2</v>
      </c>
    </row>
    <row r="299" spans="1:12" x14ac:dyDescent="0.2">
      <c r="A299" s="21" t="s">
        <v>191</v>
      </c>
      <c r="B299" s="21" t="s">
        <v>2385</v>
      </c>
      <c r="C299" s="21" t="s">
        <v>1201</v>
      </c>
      <c r="D299" s="21" t="s">
        <v>1206</v>
      </c>
      <c r="E299" s="21" t="s">
        <v>1207</v>
      </c>
      <c r="F299" s="21" t="s">
        <v>91</v>
      </c>
      <c r="G299" s="21" t="s">
        <v>92</v>
      </c>
      <c r="H299" s="21" t="s">
        <v>192</v>
      </c>
      <c r="I299" s="21">
        <v>20</v>
      </c>
      <c r="J299" s="89">
        <f t="shared" si="8"/>
        <v>2.5284450063211124E-2</v>
      </c>
      <c r="K299" s="94">
        <f>VLOOKUP(H299,'PCT data'!B:K,10,FALSE)</f>
        <v>1.0249625154512234</v>
      </c>
      <c r="L299" s="94">
        <f t="shared" si="9"/>
        <v>2.5915613538589719E-2</v>
      </c>
    </row>
    <row r="300" spans="1:12" x14ac:dyDescent="0.2">
      <c r="A300" s="21" t="s">
        <v>191</v>
      </c>
      <c r="B300" s="21" t="s">
        <v>2385</v>
      </c>
      <c r="C300" s="21" t="s">
        <v>1201</v>
      </c>
      <c r="D300" s="21" t="s">
        <v>1208</v>
      </c>
      <c r="E300" s="21" t="s">
        <v>1209</v>
      </c>
      <c r="F300" s="21" t="s">
        <v>93</v>
      </c>
      <c r="G300" s="21" t="s">
        <v>94</v>
      </c>
      <c r="H300" s="21" t="s">
        <v>192</v>
      </c>
      <c r="I300" s="21">
        <v>20</v>
      </c>
      <c r="J300" s="89">
        <f t="shared" si="8"/>
        <v>2.5284450063211124E-2</v>
      </c>
      <c r="K300" s="94">
        <f>VLOOKUP(H300,'PCT data'!B:K,10,FALSE)</f>
        <v>1.0249625154512234</v>
      </c>
      <c r="L300" s="94">
        <f t="shared" si="9"/>
        <v>2.5915613538589719E-2</v>
      </c>
    </row>
    <row r="301" spans="1:12" x14ac:dyDescent="0.2">
      <c r="A301" s="21" t="s">
        <v>191</v>
      </c>
      <c r="B301" s="21" t="s">
        <v>2385</v>
      </c>
      <c r="C301" s="21" t="s">
        <v>1201</v>
      </c>
      <c r="D301" s="21" t="s">
        <v>1210</v>
      </c>
      <c r="E301" s="21" t="s">
        <v>1211</v>
      </c>
      <c r="F301" s="21" t="s">
        <v>89</v>
      </c>
      <c r="G301" s="21" t="s">
        <v>90</v>
      </c>
      <c r="H301" s="21" t="s">
        <v>192</v>
      </c>
      <c r="I301" s="21">
        <v>25</v>
      </c>
      <c r="J301" s="89">
        <f t="shared" si="8"/>
        <v>3.1605562579013903E-2</v>
      </c>
      <c r="K301" s="94">
        <f>VLOOKUP(H301,'PCT data'!B:K,10,FALSE)</f>
        <v>1.0249625154512234</v>
      </c>
      <c r="L301" s="94">
        <f t="shared" si="9"/>
        <v>3.2394516923237145E-2</v>
      </c>
    </row>
    <row r="302" spans="1:12" x14ac:dyDescent="0.2">
      <c r="A302" s="21" t="s">
        <v>191</v>
      </c>
      <c r="B302" s="21" t="s">
        <v>2385</v>
      </c>
      <c r="C302" s="21" t="s">
        <v>1201</v>
      </c>
      <c r="D302" s="21" t="s">
        <v>1212</v>
      </c>
      <c r="E302" s="21" t="s">
        <v>1213</v>
      </c>
      <c r="F302" s="21" t="s">
        <v>95</v>
      </c>
      <c r="G302" s="21" t="s">
        <v>96</v>
      </c>
      <c r="H302" s="21" t="s">
        <v>192</v>
      </c>
      <c r="I302" s="21">
        <v>27</v>
      </c>
      <c r="J302" s="89">
        <f t="shared" si="8"/>
        <v>3.4134007585335017E-2</v>
      </c>
      <c r="K302" s="94">
        <f>VLOOKUP(H302,'PCT data'!B:K,10,FALSE)</f>
        <v>1.0249625154512234</v>
      </c>
      <c r="L302" s="94">
        <f t="shared" si="9"/>
        <v>3.4986078277096121E-2</v>
      </c>
    </row>
    <row r="303" spans="1:12" x14ac:dyDescent="0.2">
      <c r="A303" s="21" t="s">
        <v>191</v>
      </c>
      <c r="B303" s="21" t="s">
        <v>2385</v>
      </c>
      <c r="C303" s="21" t="s">
        <v>1201</v>
      </c>
      <c r="D303" s="21" t="s">
        <v>1214</v>
      </c>
      <c r="E303" s="21" t="s">
        <v>1215</v>
      </c>
      <c r="F303" s="21" t="s">
        <v>97</v>
      </c>
      <c r="G303" s="21" t="s">
        <v>88</v>
      </c>
      <c r="H303" s="21" t="s">
        <v>192</v>
      </c>
      <c r="I303" s="21">
        <v>28</v>
      </c>
      <c r="J303" s="89">
        <f t="shared" si="8"/>
        <v>3.5398230088495575E-2</v>
      </c>
      <c r="K303" s="94">
        <f>VLOOKUP(H303,'PCT data'!B:K,10,FALSE)</f>
        <v>1.0249625154512234</v>
      </c>
      <c r="L303" s="94">
        <f t="shared" si="9"/>
        <v>3.6281858954025609E-2</v>
      </c>
    </row>
    <row r="304" spans="1:12" x14ac:dyDescent="0.2">
      <c r="A304" s="21" t="s">
        <v>191</v>
      </c>
      <c r="B304" s="21" t="s">
        <v>2385</v>
      </c>
      <c r="C304" s="21" t="s">
        <v>1201</v>
      </c>
      <c r="D304" s="21" t="s">
        <v>1216</v>
      </c>
      <c r="E304" s="21" t="s">
        <v>1217</v>
      </c>
      <c r="F304" s="21" t="s">
        <v>98</v>
      </c>
      <c r="G304" s="21" t="s">
        <v>90</v>
      </c>
      <c r="H304" s="21" t="s">
        <v>192</v>
      </c>
      <c r="I304" s="21">
        <v>36</v>
      </c>
      <c r="J304" s="89">
        <f t="shared" si="8"/>
        <v>4.5512010113780026E-2</v>
      </c>
      <c r="K304" s="94">
        <f>VLOOKUP(H304,'PCT data'!B:K,10,FALSE)</f>
        <v>1.0249625154512234</v>
      </c>
      <c r="L304" s="94">
        <f t="shared" si="9"/>
        <v>4.6648104369461499E-2</v>
      </c>
    </row>
    <row r="305" spans="1:12" x14ac:dyDescent="0.2">
      <c r="A305" s="21" t="s">
        <v>191</v>
      </c>
      <c r="B305" s="21" t="s">
        <v>2385</v>
      </c>
      <c r="C305" s="21" t="s">
        <v>1201</v>
      </c>
      <c r="D305" s="21" t="s">
        <v>1218</v>
      </c>
      <c r="E305" s="21" t="s">
        <v>1219</v>
      </c>
      <c r="F305" s="21" t="s">
        <v>99</v>
      </c>
      <c r="G305" s="21" t="s">
        <v>3241</v>
      </c>
      <c r="H305" s="21" t="s">
        <v>192</v>
      </c>
      <c r="I305" s="21">
        <v>45</v>
      </c>
      <c r="J305" s="89">
        <f t="shared" si="8"/>
        <v>5.6890012642225034E-2</v>
      </c>
      <c r="K305" s="94">
        <f>VLOOKUP(H305,'PCT data'!B:K,10,FALSE)</f>
        <v>1.0249625154512234</v>
      </c>
      <c r="L305" s="94">
        <f t="shared" si="9"/>
        <v>5.831013046182687E-2</v>
      </c>
    </row>
    <row r="306" spans="1:12" x14ac:dyDescent="0.2">
      <c r="A306" s="21" t="s">
        <v>191</v>
      </c>
      <c r="B306" s="21" t="s">
        <v>2385</v>
      </c>
      <c r="C306" s="21" t="s">
        <v>1201</v>
      </c>
      <c r="D306" s="21" t="s">
        <v>1220</v>
      </c>
      <c r="E306" s="21" t="s">
        <v>1221</v>
      </c>
      <c r="F306" s="21" t="s">
        <v>100</v>
      </c>
      <c r="G306" s="21" t="s">
        <v>101</v>
      </c>
      <c r="H306" s="21" t="s">
        <v>3527</v>
      </c>
      <c r="I306" s="21">
        <v>59</v>
      </c>
      <c r="J306" s="89">
        <f t="shared" si="8"/>
        <v>7.4589127686472814E-2</v>
      </c>
      <c r="K306" s="94">
        <f>VLOOKUP(H306,'PCT data'!B:K,10,FALSE)</f>
        <v>1.0150114230682019</v>
      </c>
      <c r="L306" s="94">
        <f t="shared" si="9"/>
        <v>7.5708816638462587E-2</v>
      </c>
    </row>
    <row r="307" spans="1:12" x14ac:dyDescent="0.2">
      <c r="A307" s="21" t="s">
        <v>191</v>
      </c>
      <c r="B307" s="21" t="s">
        <v>2385</v>
      </c>
      <c r="C307" s="21" t="s">
        <v>1201</v>
      </c>
      <c r="D307" s="21" t="s">
        <v>1222</v>
      </c>
      <c r="E307" s="21" t="s">
        <v>1223</v>
      </c>
      <c r="F307" s="21" t="s">
        <v>102</v>
      </c>
      <c r="G307" s="21" t="s">
        <v>3245</v>
      </c>
      <c r="H307" s="21" t="s">
        <v>192</v>
      </c>
      <c r="I307" s="21">
        <v>71</v>
      </c>
      <c r="J307" s="89">
        <f t="shared" si="8"/>
        <v>8.9759797724399501E-2</v>
      </c>
      <c r="K307" s="94">
        <f>VLOOKUP(H307,'PCT data'!B:K,10,FALSE)</f>
        <v>1.0249625154512234</v>
      </c>
      <c r="L307" s="94">
        <f t="shared" si="9"/>
        <v>9.2000428061993517E-2</v>
      </c>
    </row>
    <row r="308" spans="1:12" x14ac:dyDescent="0.2">
      <c r="A308" s="21" t="s">
        <v>191</v>
      </c>
      <c r="B308" s="21" t="s">
        <v>2385</v>
      </c>
      <c r="C308" s="21" t="s">
        <v>1201</v>
      </c>
      <c r="D308" s="21" t="s">
        <v>1224</v>
      </c>
      <c r="E308" s="21" t="s">
        <v>1225</v>
      </c>
      <c r="F308" s="21" t="s">
        <v>103</v>
      </c>
      <c r="G308" s="21" t="s">
        <v>104</v>
      </c>
      <c r="H308" s="21" t="s">
        <v>192</v>
      </c>
      <c r="I308" s="21">
        <v>76</v>
      </c>
      <c r="J308" s="89">
        <f t="shared" si="8"/>
        <v>9.608091024020228E-2</v>
      </c>
      <c r="K308" s="94">
        <f>VLOOKUP(H308,'PCT data'!B:K,10,FALSE)</f>
        <v>1.0249625154512234</v>
      </c>
      <c r="L308" s="94">
        <f t="shared" si="9"/>
        <v>9.8479331446640936E-2</v>
      </c>
    </row>
    <row r="309" spans="1:12" x14ac:dyDescent="0.2">
      <c r="A309" s="21" t="s">
        <v>191</v>
      </c>
      <c r="B309" s="21" t="s">
        <v>2385</v>
      </c>
      <c r="C309" s="21" t="s">
        <v>1201</v>
      </c>
      <c r="D309" s="21" t="s">
        <v>728</v>
      </c>
      <c r="E309" s="21" t="s">
        <v>729</v>
      </c>
      <c r="F309" s="21" t="s">
        <v>89</v>
      </c>
      <c r="G309" s="21" t="s">
        <v>90</v>
      </c>
      <c r="H309" s="21" t="s">
        <v>192</v>
      </c>
      <c r="I309" s="21">
        <v>352</v>
      </c>
      <c r="J309" s="89">
        <f t="shared" si="8"/>
        <v>0.44500632111251581</v>
      </c>
      <c r="K309" s="94">
        <f>VLOOKUP(H309,'PCT data'!B:K,10,FALSE)</f>
        <v>1.0249625154512234</v>
      </c>
      <c r="L309" s="94">
        <f t="shared" si="9"/>
        <v>0.45611479827917906</v>
      </c>
    </row>
    <row r="310" spans="1:12" x14ac:dyDescent="0.2">
      <c r="A310" s="21" t="s">
        <v>2975</v>
      </c>
      <c r="B310" s="21" t="s">
        <v>2314</v>
      </c>
      <c r="C310" s="21" t="s">
        <v>2315</v>
      </c>
      <c r="D310" s="21" t="s">
        <v>1226</v>
      </c>
      <c r="E310" s="21" t="s">
        <v>1227</v>
      </c>
      <c r="F310" s="21" t="s">
        <v>105</v>
      </c>
      <c r="G310" s="21" t="s">
        <v>106</v>
      </c>
      <c r="H310" s="21" t="s">
        <v>2986</v>
      </c>
      <c r="I310" s="21">
        <v>94</v>
      </c>
      <c r="J310" s="89">
        <f t="shared" si="8"/>
        <v>6.1158100195185423E-2</v>
      </c>
      <c r="K310" s="94">
        <f>VLOOKUP(H310,'PCT data'!B:K,10,FALSE)</f>
        <v>0.94535377638704965</v>
      </c>
      <c r="L310" s="94">
        <f t="shared" si="9"/>
        <v>5.7816040976176097E-2</v>
      </c>
    </row>
    <row r="311" spans="1:12" x14ac:dyDescent="0.2">
      <c r="A311" s="21" t="s">
        <v>2975</v>
      </c>
      <c r="B311" s="21" t="s">
        <v>2314</v>
      </c>
      <c r="C311" s="21" t="s">
        <v>2315</v>
      </c>
      <c r="D311" s="21" t="s">
        <v>1228</v>
      </c>
      <c r="E311" s="21" t="s">
        <v>1229</v>
      </c>
      <c r="F311" s="21" t="s">
        <v>107</v>
      </c>
      <c r="G311" s="21" t="s">
        <v>108</v>
      </c>
      <c r="H311" s="21" t="s">
        <v>3017</v>
      </c>
      <c r="I311" s="21">
        <v>155</v>
      </c>
      <c r="J311" s="89">
        <f t="shared" si="8"/>
        <v>0.10084580351333768</v>
      </c>
      <c r="K311" s="94">
        <f>VLOOKUP(H311,'PCT data'!B:K,10,FALSE)</f>
        <v>0.91550049923798604</v>
      </c>
      <c r="L311" s="94">
        <f t="shared" si="9"/>
        <v>9.2324383462516493E-2</v>
      </c>
    </row>
    <row r="312" spans="1:12" x14ac:dyDescent="0.2">
      <c r="A312" s="21" t="s">
        <v>2975</v>
      </c>
      <c r="B312" s="21" t="s">
        <v>2314</v>
      </c>
      <c r="C312" s="21" t="s">
        <v>2315</v>
      </c>
      <c r="D312" s="21" t="s">
        <v>1230</v>
      </c>
      <c r="E312" s="21" t="s">
        <v>1231</v>
      </c>
      <c r="F312" s="21" t="s">
        <v>109</v>
      </c>
      <c r="G312" s="21" t="s">
        <v>110</v>
      </c>
      <c r="H312" s="21" t="s">
        <v>2986</v>
      </c>
      <c r="I312" s="21">
        <v>980</v>
      </c>
      <c r="J312" s="89">
        <f t="shared" si="8"/>
        <v>0.63760572543916716</v>
      </c>
      <c r="K312" s="94">
        <f>VLOOKUP(H312,'PCT data'!B:K,10,FALSE)</f>
        <v>0.94535377638704965</v>
      </c>
      <c r="L312" s="94">
        <f t="shared" si="9"/>
        <v>0.60276298038992104</v>
      </c>
    </row>
    <row r="313" spans="1:12" x14ac:dyDescent="0.2">
      <c r="A313" s="21" t="s">
        <v>2975</v>
      </c>
      <c r="B313" s="21" t="s">
        <v>3692</v>
      </c>
      <c r="C313" s="21" t="s">
        <v>3693</v>
      </c>
      <c r="D313" s="21" t="s">
        <v>1232</v>
      </c>
      <c r="E313" s="21" t="s">
        <v>1233</v>
      </c>
      <c r="F313" s="21" t="s">
        <v>111</v>
      </c>
      <c r="G313" s="21" t="s">
        <v>112</v>
      </c>
      <c r="H313" s="21" t="s">
        <v>3605</v>
      </c>
      <c r="I313" s="21">
        <v>19</v>
      </c>
      <c r="J313" s="89">
        <f t="shared" si="8"/>
        <v>9.7037793667007158E-3</v>
      </c>
      <c r="K313" s="94">
        <f>VLOOKUP(H313,'PCT data'!B:K,10,FALSE)</f>
        <v>0.90554940685496443</v>
      </c>
      <c r="L313" s="94">
        <f t="shared" si="9"/>
        <v>8.7872516497672758E-3</v>
      </c>
    </row>
    <row r="314" spans="1:12" x14ac:dyDescent="0.2">
      <c r="A314" s="21" t="s">
        <v>2975</v>
      </c>
      <c r="B314" s="21" t="s">
        <v>3692</v>
      </c>
      <c r="C314" s="21" t="s">
        <v>3693</v>
      </c>
      <c r="D314" s="21" t="s">
        <v>1234</v>
      </c>
      <c r="E314" s="21" t="s">
        <v>1235</v>
      </c>
      <c r="F314" s="21" t="s">
        <v>113</v>
      </c>
      <c r="G314" s="21" t="s">
        <v>114</v>
      </c>
      <c r="H314" s="21" t="s">
        <v>3605</v>
      </c>
      <c r="I314" s="21">
        <v>280</v>
      </c>
      <c r="J314" s="89">
        <f t="shared" si="8"/>
        <v>0.14300306435137897</v>
      </c>
      <c r="K314" s="94">
        <f>VLOOKUP(H314,'PCT data'!B:K,10,FALSE)</f>
        <v>0.90554940685496443</v>
      </c>
      <c r="L314" s="94">
        <f t="shared" si="9"/>
        <v>0.12949634010183353</v>
      </c>
    </row>
    <row r="315" spans="1:12" x14ac:dyDescent="0.2">
      <c r="A315" s="21" t="s">
        <v>2975</v>
      </c>
      <c r="B315" s="21" t="s">
        <v>3692</v>
      </c>
      <c r="C315" s="21" t="s">
        <v>3693</v>
      </c>
      <c r="D315" s="21" t="s">
        <v>1236</v>
      </c>
      <c r="E315" s="21" t="s">
        <v>1237</v>
      </c>
      <c r="F315" s="21" t="s">
        <v>115</v>
      </c>
      <c r="G315" s="21" t="s">
        <v>116</v>
      </c>
      <c r="H315" s="21" t="s">
        <v>3000</v>
      </c>
      <c r="I315" s="21">
        <v>451</v>
      </c>
      <c r="J315" s="89">
        <f t="shared" si="8"/>
        <v>0.2303370786516854</v>
      </c>
      <c r="K315" s="94">
        <f>VLOOKUP(H315,'PCT data'!B:K,10,FALSE)</f>
        <v>0.88564722208892122</v>
      </c>
      <c r="L315" s="94">
        <f t="shared" si="9"/>
        <v>0.20399739385194254</v>
      </c>
    </row>
    <row r="316" spans="1:12" x14ac:dyDescent="0.2">
      <c r="A316" s="21" t="s">
        <v>2975</v>
      </c>
      <c r="B316" s="21" t="s">
        <v>3692</v>
      </c>
      <c r="C316" s="21" t="s">
        <v>3693</v>
      </c>
      <c r="D316" s="21" t="s">
        <v>1238</v>
      </c>
      <c r="E316" s="21" t="s">
        <v>1239</v>
      </c>
      <c r="F316" s="21" t="s">
        <v>117</v>
      </c>
      <c r="G316" s="21" t="s">
        <v>118</v>
      </c>
      <c r="H316" s="21" t="s">
        <v>3612</v>
      </c>
      <c r="I316" s="21">
        <v>591</v>
      </c>
      <c r="J316" s="89">
        <f t="shared" si="8"/>
        <v>0.3018386108273749</v>
      </c>
      <c r="K316" s="94">
        <f>VLOOKUP(H316,'PCT data'!B:K,10,FALSE)</f>
        <v>0.90554940685496443</v>
      </c>
      <c r="L316" s="94">
        <f t="shared" si="9"/>
        <v>0.27332977500065581</v>
      </c>
    </row>
    <row r="317" spans="1:12" x14ac:dyDescent="0.2">
      <c r="A317" s="21" t="s">
        <v>2975</v>
      </c>
      <c r="B317" s="21" t="s">
        <v>3692</v>
      </c>
      <c r="C317" s="21" t="s">
        <v>3693</v>
      </c>
      <c r="D317" s="21" t="s">
        <v>1240</v>
      </c>
      <c r="E317" s="21" t="s">
        <v>1241</v>
      </c>
      <c r="F317" s="21" t="s">
        <v>119</v>
      </c>
      <c r="G317" s="21" t="s">
        <v>120</v>
      </c>
      <c r="H317" s="21" t="s">
        <v>2986</v>
      </c>
      <c r="I317" s="21">
        <v>617</v>
      </c>
      <c r="J317" s="89">
        <f t="shared" si="8"/>
        <v>0.31511746680286007</v>
      </c>
      <c r="K317" s="94">
        <f>VLOOKUP(H317,'PCT data'!B:K,10,FALSE)</f>
        <v>0.94535377638704965</v>
      </c>
      <c r="L317" s="94">
        <f t="shared" si="9"/>
        <v>0.29789748724760451</v>
      </c>
    </row>
    <row r="318" spans="1:12" x14ac:dyDescent="0.2">
      <c r="A318" s="21" t="s">
        <v>3034</v>
      </c>
      <c r="B318" s="21" t="s">
        <v>1328</v>
      </c>
      <c r="C318" s="21" t="s">
        <v>1329</v>
      </c>
      <c r="D318" s="21" t="s">
        <v>1242</v>
      </c>
      <c r="E318" s="21" t="s">
        <v>1243</v>
      </c>
      <c r="F318" s="21" t="s">
        <v>121</v>
      </c>
      <c r="G318" s="21" t="s">
        <v>122</v>
      </c>
      <c r="H318" s="21" t="s">
        <v>3050</v>
      </c>
      <c r="I318" s="21">
        <v>600</v>
      </c>
      <c r="J318" s="89">
        <f t="shared" si="8"/>
        <v>0.41379310344827586</v>
      </c>
      <c r="K318" s="94">
        <f>VLOOKUP(H318,'PCT data'!B:K,10,FALSE)</f>
        <v>0.94535377638704965</v>
      </c>
      <c r="L318" s="94">
        <f t="shared" si="9"/>
        <v>0.39118087298774468</v>
      </c>
    </row>
    <row r="319" spans="1:12" x14ac:dyDescent="0.2">
      <c r="A319" s="21" t="s">
        <v>3034</v>
      </c>
      <c r="B319" s="21" t="s">
        <v>1328</v>
      </c>
      <c r="C319" s="21" t="s">
        <v>1329</v>
      </c>
      <c r="D319" s="21" t="s">
        <v>1244</v>
      </c>
      <c r="E319" s="21" t="s">
        <v>1245</v>
      </c>
      <c r="F319" s="21" t="s">
        <v>123</v>
      </c>
      <c r="G319" s="21" t="s">
        <v>124</v>
      </c>
      <c r="H319" s="21" t="s">
        <v>3048</v>
      </c>
      <c r="I319" s="21">
        <v>850</v>
      </c>
      <c r="J319" s="89">
        <f t="shared" si="8"/>
        <v>0.58620689655172409</v>
      </c>
      <c r="K319" s="94">
        <f>VLOOKUP(H319,'PCT data'!B:K,10,FALSE)</f>
        <v>0.97520705353611448</v>
      </c>
      <c r="L319" s="94">
        <f t="shared" si="9"/>
        <v>0.57167310034875674</v>
      </c>
    </row>
    <row r="320" spans="1:12" x14ac:dyDescent="0.2">
      <c r="A320" s="21" t="s">
        <v>3069</v>
      </c>
      <c r="B320" s="21" t="s">
        <v>3876</v>
      </c>
      <c r="C320" s="21" t="s">
        <v>3877</v>
      </c>
      <c r="D320" s="21" t="s">
        <v>1246</v>
      </c>
      <c r="E320" s="21" t="s">
        <v>1247</v>
      </c>
      <c r="F320" s="21" t="s">
        <v>125</v>
      </c>
      <c r="G320" s="21" t="s">
        <v>126</v>
      </c>
      <c r="H320" s="21" t="s">
        <v>2124</v>
      </c>
      <c r="I320" s="21">
        <v>72</v>
      </c>
      <c r="J320" s="89">
        <f t="shared" si="8"/>
        <v>5.4298642533936653E-2</v>
      </c>
      <c r="K320" s="94">
        <f>VLOOKUP(H320,'PCT data'!B:K,10,FALSE)</f>
        <v>0.90554940685496443</v>
      </c>
      <c r="L320" s="94">
        <f t="shared" si="9"/>
        <v>4.9170103539636079E-2</v>
      </c>
    </row>
    <row r="321" spans="1:12" x14ac:dyDescent="0.2">
      <c r="A321" s="21" t="s">
        <v>3069</v>
      </c>
      <c r="B321" s="21" t="s">
        <v>3876</v>
      </c>
      <c r="C321" s="21" t="s">
        <v>3877</v>
      </c>
      <c r="D321" s="21" t="s">
        <v>1248</v>
      </c>
      <c r="E321" s="21" t="s">
        <v>1249</v>
      </c>
      <c r="F321" s="21" t="s">
        <v>127</v>
      </c>
      <c r="G321" s="21" t="s">
        <v>128</v>
      </c>
      <c r="H321" s="21" t="s">
        <v>2124</v>
      </c>
      <c r="I321" s="21">
        <v>149</v>
      </c>
      <c r="J321" s="89">
        <f t="shared" si="8"/>
        <v>0.11236802413273002</v>
      </c>
      <c r="K321" s="94">
        <f>VLOOKUP(H321,'PCT data'!B:K,10,FALSE)</f>
        <v>0.90554940685496443</v>
      </c>
      <c r="L321" s="94">
        <f t="shared" si="9"/>
        <v>0.10175479760285799</v>
      </c>
    </row>
    <row r="322" spans="1:12" x14ac:dyDescent="0.2">
      <c r="A322" s="21" t="s">
        <v>3069</v>
      </c>
      <c r="B322" s="21" t="s">
        <v>3876</v>
      </c>
      <c r="C322" s="21" t="s">
        <v>3877</v>
      </c>
      <c r="D322" s="21" t="s">
        <v>1250</v>
      </c>
      <c r="E322" s="21" t="s">
        <v>1251</v>
      </c>
      <c r="F322" s="21" t="s">
        <v>129</v>
      </c>
      <c r="G322" s="21" t="s">
        <v>130</v>
      </c>
      <c r="H322" s="21" t="s">
        <v>2124</v>
      </c>
      <c r="I322" s="21">
        <v>506</v>
      </c>
      <c r="J322" s="89">
        <f t="shared" si="8"/>
        <v>0.38159879336349922</v>
      </c>
      <c r="K322" s="94">
        <f>VLOOKUP(H322,'PCT data'!B:K,10,FALSE)</f>
        <v>0.90554940685496443</v>
      </c>
      <c r="L322" s="94">
        <f t="shared" si="9"/>
        <v>0.34555656098688686</v>
      </c>
    </row>
    <row r="323" spans="1:12" x14ac:dyDescent="0.2">
      <c r="A323" s="21" t="s">
        <v>3069</v>
      </c>
      <c r="B323" s="21" t="s">
        <v>3876</v>
      </c>
      <c r="C323" s="21" t="s">
        <v>3877</v>
      </c>
      <c r="D323" s="21" t="s">
        <v>1252</v>
      </c>
      <c r="E323" s="21" t="s">
        <v>1253</v>
      </c>
      <c r="F323" s="21" t="s">
        <v>131</v>
      </c>
      <c r="G323" s="21" t="s">
        <v>132</v>
      </c>
      <c r="H323" s="21" t="s">
        <v>2124</v>
      </c>
      <c r="I323" s="21">
        <v>599</v>
      </c>
      <c r="J323" s="89">
        <f t="shared" ref="J323:J386" si="10">I323/SUMIF(B:B,B323,I:I)</f>
        <v>0.45173453996983409</v>
      </c>
      <c r="K323" s="94">
        <f>VLOOKUP(H323,'PCT data'!B:K,10,FALSE)</f>
        <v>0.90554940685496443</v>
      </c>
      <c r="L323" s="94">
        <f t="shared" ref="L323:L386" si="11">K323*J323</f>
        <v>0.4090679447255835</v>
      </c>
    </row>
    <row r="324" spans="1:12" x14ac:dyDescent="0.2">
      <c r="A324" s="21" t="s">
        <v>3069</v>
      </c>
      <c r="B324" s="21" t="s">
        <v>668</v>
      </c>
      <c r="C324" s="21" t="s">
        <v>669</v>
      </c>
      <c r="D324" s="21" t="s">
        <v>1254</v>
      </c>
      <c r="E324" s="21" t="s">
        <v>1255</v>
      </c>
      <c r="F324" s="21" t="s">
        <v>133</v>
      </c>
      <c r="G324" s="21" t="s">
        <v>134</v>
      </c>
      <c r="H324" s="21" t="s">
        <v>2122</v>
      </c>
      <c r="I324" s="21">
        <v>415</v>
      </c>
      <c r="J324" s="89">
        <f t="shared" si="10"/>
        <v>0.21023302938196556</v>
      </c>
      <c r="K324" s="94">
        <f>VLOOKUP(H324,'PCT data'!B:K,10,FALSE)</f>
        <v>0.91550049923798604</v>
      </c>
      <c r="L324" s="94">
        <f t="shared" si="11"/>
        <v>0.19246844335550364</v>
      </c>
    </row>
    <row r="325" spans="1:12" x14ac:dyDescent="0.2">
      <c r="A325" s="21" t="s">
        <v>3069</v>
      </c>
      <c r="B325" s="21" t="s">
        <v>668</v>
      </c>
      <c r="C325" s="21" t="s">
        <v>669</v>
      </c>
      <c r="D325" s="21" t="s">
        <v>1256</v>
      </c>
      <c r="E325" s="21" t="s">
        <v>1257</v>
      </c>
      <c r="F325" s="21" t="s">
        <v>135</v>
      </c>
      <c r="G325" s="21" t="s">
        <v>136</v>
      </c>
      <c r="H325" s="21" t="s">
        <v>2122</v>
      </c>
      <c r="I325" s="21">
        <v>642</v>
      </c>
      <c r="J325" s="89">
        <f t="shared" si="10"/>
        <v>0.32522796352583588</v>
      </c>
      <c r="K325" s="94">
        <f>VLOOKUP(H325,'PCT data'!B:K,10,FALSE)</f>
        <v>0.91550049923798604</v>
      </c>
      <c r="L325" s="94">
        <f t="shared" si="11"/>
        <v>0.29774636297405627</v>
      </c>
    </row>
    <row r="326" spans="1:12" x14ac:dyDescent="0.2">
      <c r="A326" s="21" t="s">
        <v>3069</v>
      </c>
      <c r="B326" s="21" t="s">
        <v>668</v>
      </c>
      <c r="C326" s="21" t="s">
        <v>669</v>
      </c>
      <c r="D326" s="21" t="s">
        <v>1258</v>
      </c>
      <c r="E326" s="21" t="s">
        <v>1259</v>
      </c>
      <c r="F326" s="21" t="s">
        <v>137</v>
      </c>
      <c r="G326" s="21" t="s">
        <v>138</v>
      </c>
      <c r="H326" s="21" t="s">
        <v>2122</v>
      </c>
      <c r="I326" s="21">
        <v>917</v>
      </c>
      <c r="J326" s="89">
        <f t="shared" si="10"/>
        <v>0.46453900709219859</v>
      </c>
      <c r="K326" s="94">
        <f>VLOOKUP(H326,'PCT data'!B:K,10,FALSE)</f>
        <v>0.91550049923798604</v>
      </c>
      <c r="L326" s="94">
        <f t="shared" si="11"/>
        <v>0.42528569290842616</v>
      </c>
    </row>
    <row r="327" spans="1:12" x14ac:dyDescent="0.2">
      <c r="A327" s="21" t="s">
        <v>3496</v>
      </c>
      <c r="B327" s="21" t="s">
        <v>381</v>
      </c>
      <c r="C327" s="21" t="s">
        <v>382</v>
      </c>
      <c r="D327" s="21" t="s">
        <v>1260</v>
      </c>
      <c r="E327" s="21" t="s">
        <v>1261</v>
      </c>
      <c r="F327" s="21" t="s">
        <v>139</v>
      </c>
      <c r="G327" s="21" t="s">
        <v>140</v>
      </c>
      <c r="H327" s="21" t="s">
        <v>3470</v>
      </c>
      <c r="I327" s="21">
        <v>91</v>
      </c>
      <c r="J327" s="89">
        <f t="shared" si="10"/>
        <v>0.11651728553137004</v>
      </c>
      <c r="K327" s="94">
        <f>VLOOKUP(H327,'PCT data'!B:K,10,FALSE)</f>
        <v>1.0747179773663313</v>
      </c>
      <c r="L327" s="94">
        <f t="shared" si="11"/>
        <v>0.12522322143448933</v>
      </c>
    </row>
    <row r="328" spans="1:12" x14ac:dyDescent="0.2">
      <c r="A328" s="21" t="s">
        <v>3496</v>
      </c>
      <c r="B328" s="21" t="s">
        <v>381</v>
      </c>
      <c r="C328" s="21" t="s">
        <v>382</v>
      </c>
      <c r="D328" s="21" t="s">
        <v>1262</v>
      </c>
      <c r="E328" s="21" t="s">
        <v>1263</v>
      </c>
      <c r="F328" s="21" t="s">
        <v>141</v>
      </c>
      <c r="G328" s="21" t="s">
        <v>142</v>
      </c>
      <c r="H328" s="21" t="s">
        <v>3470</v>
      </c>
      <c r="I328" s="21">
        <v>281</v>
      </c>
      <c r="J328" s="89">
        <f t="shared" si="10"/>
        <v>0.35979513444302175</v>
      </c>
      <c r="K328" s="94">
        <f>VLOOKUP(H328,'PCT data'!B:K,10,FALSE)</f>
        <v>1.0747179773663313</v>
      </c>
      <c r="L328" s="94">
        <f t="shared" si="11"/>
        <v>0.38667829915485158</v>
      </c>
    </row>
    <row r="329" spans="1:12" x14ac:dyDescent="0.2">
      <c r="A329" s="21" t="s">
        <v>3496</v>
      </c>
      <c r="B329" s="21" t="s">
        <v>381</v>
      </c>
      <c r="C329" s="21" t="s">
        <v>382</v>
      </c>
      <c r="D329" s="21" t="s">
        <v>1264</v>
      </c>
      <c r="E329" s="21" t="s">
        <v>1265</v>
      </c>
      <c r="F329" s="21" t="s">
        <v>143</v>
      </c>
      <c r="G329" s="21" t="s">
        <v>144</v>
      </c>
      <c r="H329" s="21" t="s">
        <v>3470</v>
      </c>
      <c r="I329" s="21">
        <v>409</v>
      </c>
      <c r="J329" s="89">
        <f t="shared" si="10"/>
        <v>0.52368758002560822</v>
      </c>
      <c r="K329" s="94">
        <f>VLOOKUP(H329,'PCT data'!B:K,10,FALSE)</f>
        <v>1.0747179773663313</v>
      </c>
      <c r="L329" s="94">
        <f t="shared" si="11"/>
        <v>0.56281645677699044</v>
      </c>
    </row>
    <row r="330" spans="1:12" x14ac:dyDescent="0.2">
      <c r="A330" s="21" t="s">
        <v>1127</v>
      </c>
      <c r="B330" s="21" t="s">
        <v>676</v>
      </c>
      <c r="C330" s="21" t="s">
        <v>677</v>
      </c>
      <c r="D330" s="21" t="s">
        <v>1266</v>
      </c>
      <c r="E330" s="21" t="s">
        <v>1267</v>
      </c>
      <c r="F330" s="21" t="s">
        <v>145</v>
      </c>
      <c r="G330" s="21" t="s">
        <v>146</v>
      </c>
      <c r="H330" s="21" t="s">
        <v>1142</v>
      </c>
      <c r="I330" s="21">
        <v>100</v>
      </c>
      <c r="J330" s="89">
        <f t="shared" si="10"/>
        <v>0.13623978201634879</v>
      </c>
      <c r="K330" s="94">
        <f>VLOOKUP(H330,'PCT data'!B:K,10,FALSE)</f>
        <v>1.0846690697493531</v>
      </c>
      <c r="L330" s="94">
        <f t="shared" si="11"/>
        <v>0.14777507762252767</v>
      </c>
    </row>
    <row r="331" spans="1:12" x14ac:dyDescent="0.2">
      <c r="A331" s="21" t="s">
        <v>1127</v>
      </c>
      <c r="B331" s="21" t="s">
        <v>676</v>
      </c>
      <c r="C331" s="21" t="s">
        <v>677</v>
      </c>
      <c r="D331" s="21" t="s">
        <v>1268</v>
      </c>
      <c r="E331" s="21" t="s">
        <v>1269</v>
      </c>
      <c r="F331" s="21" t="s">
        <v>147</v>
      </c>
      <c r="G331" s="21" t="s">
        <v>148</v>
      </c>
      <c r="H331" s="21" t="s">
        <v>1142</v>
      </c>
      <c r="I331" s="21">
        <v>232</v>
      </c>
      <c r="J331" s="89">
        <f t="shared" si="10"/>
        <v>0.31607629427792916</v>
      </c>
      <c r="K331" s="94">
        <f>VLOOKUP(H331,'PCT data'!B:K,10,FALSE)</f>
        <v>1.0846690697493531</v>
      </c>
      <c r="L331" s="94">
        <f t="shared" si="11"/>
        <v>0.3428381800842642</v>
      </c>
    </row>
    <row r="332" spans="1:12" x14ac:dyDescent="0.2">
      <c r="A332" s="21" t="s">
        <v>1127</v>
      </c>
      <c r="B332" s="21" t="s">
        <v>676</v>
      </c>
      <c r="C332" s="21" t="s">
        <v>677</v>
      </c>
      <c r="D332" s="21" t="s">
        <v>1270</v>
      </c>
      <c r="E332" s="21" t="s">
        <v>1271</v>
      </c>
      <c r="F332" s="21" t="s">
        <v>149</v>
      </c>
      <c r="G332" s="21" t="s">
        <v>150</v>
      </c>
      <c r="H332" s="21" t="s">
        <v>1142</v>
      </c>
      <c r="I332" s="21">
        <v>402</v>
      </c>
      <c r="J332" s="89">
        <f t="shared" si="10"/>
        <v>0.54768392370572205</v>
      </c>
      <c r="K332" s="94">
        <f>VLOOKUP(H332,'PCT data'!B:K,10,FALSE)</f>
        <v>1.0846690697493531</v>
      </c>
      <c r="L332" s="94">
        <f t="shared" si="11"/>
        <v>0.59405581204256119</v>
      </c>
    </row>
    <row r="333" spans="1:12" x14ac:dyDescent="0.2">
      <c r="A333" s="21" t="s">
        <v>1127</v>
      </c>
      <c r="B333" s="21" t="s">
        <v>2347</v>
      </c>
      <c r="C333" s="21" t="s">
        <v>2348</v>
      </c>
      <c r="D333" s="21" t="s">
        <v>1272</v>
      </c>
      <c r="E333" s="21" t="s">
        <v>1273</v>
      </c>
      <c r="F333" s="21" t="s">
        <v>151</v>
      </c>
      <c r="G333" s="21" t="s">
        <v>152</v>
      </c>
      <c r="H333" s="21" t="s">
        <v>1138</v>
      </c>
      <c r="I333" s="21">
        <v>381</v>
      </c>
      <c r="J333" s="89">
        <f t="shared" si="10"/>
        <v>0.44876325088339225</v>
      </c>
      <c r="K333" s="94">
        <f>VLOOKUP(H333,'PCT data'!B:K,10,FALSE)</f>
        <v>1.0747179773663313</v>
      </c>
      <c r="L333" s="94">
        <f t="shared" si="11"/>
        <v>0.48229393330573883</v>
      </c>
    </row>
    <row r="334" spans="1:12" x14ac:dyDescent="0.2">
      <c r="A334" s="21" t="s">
        <v>1127</v>
      </c>
      <c r="B334" s="21" t="s">
        <v>2347</v>
      </c>
      <c r="C334" s="21" t="s">
        <v>2348</v>
      </c>
      <c r="D334" s="21" t="s">
        <v>1274</v>
      </c>
      <c r="E334" s="21" t="s">
        <v>1275</v>
      </c>
      <c r="F334" s="21" t="s">
        <v>153</v>
      </c>
      <c r="G334" s="21" t="s">
        <v>154</v>
      </c>
      <c r="H334" s="21" t="s">
        <v>1138</v>
      </c>
      <c r="I334" s="21">
        <v>468</v>
      </c>
      <c r="J334" s="89">
        <f t="shared" si="10"/>
        <v>0.5512367491166078</v>
      </c>
      <c r="K334" s="94">
        <f>VLOOKUP(H334,'PCT data'!B:K,10,FALSE)</f>
        <v>1.0747179773663313</v>
      </c>
      <c r="L334" s="94">
        <f t="shared" si="11"/>
        <v>0.59242404406059257</v>
      </c>
    </row>
    <row r="335" spans="1:12" x14ac:dyDescent="0.2">
      <c r="A335" s="21" t="s">
        <v>2975</v>
      </c>
      <c r="B335" s="21" t="s">
        <v>578</v>
      </c>
      <c r="C335" s="21" t="s">
        <v>579</v>
      </c>
      <c r="D335" s="21" t="s">
        <v>1276</v>
      </c>
      <c r="E335" s="21" t="s">
        <v>1277</v>
      </c>
      <c r="F335" s="21" t="s">
        <v>155</v>
      </c>
      <c r="G335" s="21" t="s">
        <v>156</v>
      </c>
      <c r="H335" s="21" t="s">
        <v>3023</v>
      </c>
      <c r="I335" s="21">
        <v>87</v>
      </c>
      <c r="J335" s="89">
        <f t="shared" si="10"/>
        <v>0.10834371108343711</v>
      </c>
      <c r="K335" s="94">
        <f>VLOOKUP(H335,'PCT data'!B:K,10,FALSE)</f>
        <v>0.90554940685496443</v>
      </c>
      <c r="L335" s="94">
        <f t="shared" si="11"/>
        <v>9.8110583308072111E-2</v>
      </c>
    </row>
    <row r="336" spans="1:12" x14ac:dyDescent="0.2">
      <c r="A336" s="21" t="s">
        <v>2975</v>
      </c>
      <c r="B336" s="21" t="s">
        <v>578</v>
      </c>
      <c r="C336" s="21" t="s">
        <v>579</v>
      </c>
      <c r="D336" s="21" t="s">
        <v>1278</v>
      </c>
      <c r="E336" s="21" t="s">
        <v>1279</v>
      </c>
      <c r="F336" s="21" t="s">
        <v>157</v>
      </c>
      <c r="G336" s="21" t="s">
        <v>156</v>
      </c>
      <c r="H336" s="21" t="s">
        <v>3023</v>
      </c>
      <c r="I336" s="21">
        <v>716</v>
      </c>
      <c r="J336" s="89">
        <f t="shared" si="10"/>
        <v>0.8916562889165629</v>
      </c>
      <c r="K336" s="94">
        <f>VLOOKUP(H336,'PCT data'!B:K,10,FALSE)</f>
        <v>0.90554940685496443</v>
      </c>
      <c r="L336" s="94">
        <f t="shared" si="11"/>
        <v>0.80743882354689234</v>
      </c>
    </row>
    <row r="337" spans="1:12" x14ac:dyDescent="0.2">
      <c r="A337" s="21" t="s">
        <v>2133</v>
      </c>
      <c r="B337" s="21" t="s">
        <v>695</v>
      </c>
      <c r="C337" s="21" t="s">
        <v>696</v>
      </c>
      <c r="D337" s="21" t="s">
        <v>1280</v>
      </c>
      <c r="E337" s="21" t="s">
        <v>1281</v>
      </c>
      <c r="F337" s="21" t="s">
        <v>158</v>
      </c>
      <c r="G337" s="21" t="s">
        <v>159</v>
      </c>
      <c r="H337" s="21" t="s">
        <v>1125</v>
      </c>
      <c r="I337" s="21">
        <v>34</v>
      </c>
      <c r="J337" s="89">
        <f t="shared" si="10"/>
        <v>3.3268101761252444E-2</v>
      </c>
      <c r="K337" s="94">
        <f>VLOOKUP(H337,'PCT data'!B:K,10,FALSE)</f>
        <v>0.94535377638704965</v>
      </c>
      <c r="L337" s="94">
        <f t="shared" si="11"/>
        <v>3.1450125633228652E-2</v>
      </c>
    </row>
    <row r="338" spans="1:12" x14ac:dyDescent="0.2">
      <c r="A338" s="21" t="s">
        <v>2133</v>
      </c>
      <c r="B338" s="21" t="s">
        <v>695</v>
      </c>
      <c r="C338" s="21" t="s">
        <v>696</v>
      </c>
      <c r="D338" s="21" t="s">
        <v>1282</v>
      </c>
      <c r="E338" s="21" t="s">
        <v>1283</v>
      </c>
      <c r="F338" s="21" t="s">
        <v>160</v>
      </c>
      <c r="G338" s="21" t="s">
        <v>161</v>
      </c>
      <c r="H338" s="21" t="s">
        <v>1125</v>
      </c>
      <c r="I338" s="21">
        <v>398</v>
      </c>
      <c r="J338" s="89">
        <f t="shared" si="10"/>
        <v>0.38943248532289626</v>
      </c>
      <c r="K338" s="94">
        <f>VLOOKUP(H338,'PCT data'!B:K,10,FALSE)</f>
        <v>0.94535377638704965</v>
      </c>
      <c r="L338" s="94">
        <f t="shared" si="11"/>
        <v>0.36815147064779424</v>
      </c>
    </row>
    <row r="339" spans="1:12" x14ac:dyDescent="0.2">
      <c r="A339" s="21" t="s">
        <v>2133</v>
      </c>
      <c r="B339" s="21" t="s">
        <v>695</v>
      </c>
      <c r="C339" s="21" t="s">
        <v>696</v>
      </c>
      <c r="D339" s="21" t="s">
        <v>1284</v>
      </c>
      <c r="E339" s="21" t="s">
        <v>1285</v>
      </c>
      <c r="F339" s="21" t="s">
        <v>162</v>
      </c>
      <c r="G339" s="21" t="s">
        <v>163</v>
      </c>
      <c r="H339" s="21" t="s">
        <v>1125</v>
      </c>
      <c r="I339" s="21">
        <v>590</v>
      </c>
      <c r="J339" s="89">
        <f t="shared" si="10"/>
        <v>0.5772994129158513</v>
      </c>
      <c r="K339" s="94">
        <f>VLOOKUP(H339,'PCT data'!B:K,10,FALSE)</f>
        <v>0.94535377638704965</v>
      </c>
      <c r="L339" s="94">
        <f t="shared" si="11"/>
        <v>0.54575218010602677</v>
      </c>
    </row>
    <row r="340" spans="1:12" x14ac:dyDescent="0.2">
      <c r="A340" s="21" t="s">
        <v>2975</v>
      </c>
      <c r="B340" s="21" t="s">
        <v>674</v>
      </c>
      <c r="C340" s="21" t="s">
        <v>675</v>
      </c>
      <c r="D340" s="21" t="s">
        <v>1286</v>
      </c>
      <c r="E340" s="21" t="s">
        <v>1287</v>
      </c>
      <c r="F340" s="21" t="s">
        <v>164</v>
      </c>
      <c r="G340" s="21" t="s">
        <v>165</v>
      </c>
      <c r="H340" s="21" t="s">
        <v>3603</v>
      </c>
      <c r="I340" s="21">
        <v>50</v>
      </c>
      <c r="J340" s="89">
        <f t="shared" si="10"/>
        <v>8.1699346405228759E-2</v>
      </c>
      <c r="K340" s="94">
        <f>VLOOKUP(H340,'PCT data'!B:K,10,FALSE)</f>
        <v>0.93540268400402815</v>
      </c>
      <c r="L340" s="94">
        <f t="shared" si="11"/>
        <v>7.6421787908825825E-2</v>
      </c>
    </row>
    <row r="341" spans="1:12" x14ac:dyDescent="0.2">
      <c r="A341" s="21" t="s">
        <v>2975</v>
      </c>
      <c r="B341" s="21" t="s">
        <v>674</v>
      </c>
      <c r="C341" s="21" t="s">
        <v>675</v>
      </c>
      <c r="D341" s="21" t="s">
        <v>3483</v>
      </c>
      <c r="E341" s="21" t="s">
        <v>3484</v>
      </c>
      <c r="F341" s="21" t="s">
        <v>166</v>
      </c>
      <c r="G341" s="21" t="s">
        <v>167</v>
      </c>
      <c r="H341" s="21" t="s">
        <v>2977</v>
      </c>
      <c r="I341" s="21">
        <v>562</v>
      </c>
      <c r="J341" s="89">
        <f t="shared" si="10"/>
        <v>0.9183006535947712</v>
      </c>
      <c r="K341" s="94">
        <f>VLOOKUP(H341,'PCT data'!B:K,10,FALSE)</f>
        <v>0.89559831447194282</v>
      </c>
      <c r="L341" s="94">
        <f t="shared" si="11"/>
        <v>0.82242851753796054</v>
      </c>
    </row>
    <row r="342" spans="1:12" x14ac:dyDescent="0.2">
      <c r="A342" s="21" t="s">
        <v>3034</v>
      </c>
      <c r="B342" s="21" t="s">
        <v>2298</v>
      </c>
      <c r="C342" s="21" t="s">
        <v>2299</v>
      </c>
      <c r="D342" s="21" t="s">
        <v>3485</v>
      </c>
      <c r="E342" s="21" t="s">
        <v>3486</v>
      </c>
      <c r="F342" s="21" t="s">
        <v>168</v>
      </c>
      <c r="G342" s="21" t="s">
        <v>169</v>
      </c>
      <c r="H342" s="21" t="s">
        <v>3624</v>
      </c>
      <c r="I342" s="21">
        <v>425</v>
      </c>
      <c r="J342" s="89">
        <f t="shared" si="10"/>
        <v>0.49649532710280375</v>
      </c>
      <c r="K342" s="94">
        <f>VLOOKUP(H342,'PCT data'!B:K,10,FALSE)</f>
        <v>0.91550049923798604</v>
      </c>
      <c r="L342" s="94">
        <f t="shared" si="11"/>
        <v>0.45454171983194402</v>
      </c>
    </row>
    <row r="343" spans="1:12" x14ac:dyDescent="0.2">
      <c r="A343" s="21" t="s">
        <v>3034</v>
      </c>
      <c r="B343" s="21" t="s">
        <v>2298</v>
      </c>
      <c r="C343" s="21" t="s">
        <v>2299</v>
      </c>
      <c r="D343" s="21" t="s">
        <v>3487</v>
      </c>
      <c r="E343" s="21" t="s">
        <v>3488</v>
      </c>
      <c r="F343" s="21" t="s">
        <v>170</v>
      </c>
      <c r="G343" s="21" t="s">
        <v>171</v>
      </c>
      <c r="H343" s="21" t="s">
        <v>3042</v>
      </c>
      <c r="I343" s="21">
        <v>431</v>
      </c>
      <c r="J343" s="89">
        <f t="shared" si="10"/>
        <v>0.50350467289719625</v>
      </c>
      <c r="K343" s="94">
        <f>VLOOKUP(H343,'PCT data'!B:K,10,FALSE)</f>
        <v>0.96525596115309287</v>
      </c>
      <c r="L343" s="94">
        <f t="shared" si="11"/>
        <v>0.48601088698245681</v>
      </c>
    </row>
    <row r="344" spans="1:12" x14ac:dyDescent="0.2">
      <c r="A344" s="21" t="s">
        <v>3069</v>
      </c>
      <c r="B344" s="21" t="s">
        <v>3678</v>
      </c>
      <c r="C344" s="21" t="s">
        <v>3679</v>
      </c>
      <c r="D344" s="21" t="s">
        <v>3489</v>
      </c>
      <c r="E344" s="21" t="s">
        <v>3490</v>
      </c>
      <c r="F344" s="21" t="s">
        <v>172</v>
      </c>
      <c r="G344" s="21" t="s">
        <v>173</v>
      </c>
      <c r="H344" s="21" t="s">
        <v>2118</v>
      </c>
      <c r="I344" s="21">
        <v>785</v>
      </c>
      <c r="J344" s="89">
        <f t="shared" si="10"/>
        <v>0.45218894009216593</v>
      </c>
      <c r="K344" s="94">
        <f>VLOOKUP(H344,'PCT data'!B:K,10,FALSE)</f>
        <v>0.91550049923798604</v>
      </c>
      <c r="L344" s="94">
        <f t="shared" si="11"/>
        <v>0.41397920040427366</v>
      </c>
    </row>
    <row r="345" spans="1:12" x14ac:dyDescent="0.2">
      <c r="A345" s="21" t="s">
        <v>3069</v>
      </c>
      <c r="B345" s="21" t="s">
        <v>3678</v>
      </c>
      <c r="C345" s="21" t="s">
        <v>3679</v>
      </c>
      <c r="D345" s="21" t="s">
        <v>3491</v>
      </c>
      <c r="E345" s="21" t="s">
        <v>3492</v>
      </c>
      <c r="F345" s="21" t="s">
        <v>174</v>
      </c>
      <c r="G345" s="21" t="s">
        <v>175</v>
      </c>
      <c r="H345" s="21" t="s">
        <v>2118</v>
      </c>
      <c r="I345" s="21">
        <v>951</v>
      </c>
      <c r="J345" s="89">
        <f t="shared" si="10"/>
        <v>0.54781105990783407</v>
      </c>
      <c r="K345" s="94">
        <f>VLOOKUP(H345,'PCT data'!B:K,10,FALSE)</f>
        <v>0.91550049923798604</v>
      </c>
      <c r="L345" s="94">
        <f t="shared" si="11"/>
        <v>0.50152129883371233</v>
      </c>
    </row>
    <row r="346" spans="1:12" x14ac:dyDescent="0.2">
      <c r="A346" s="21" t="s">
        <v>708</v>
      </c>
      <c r="B346" s="21" t="s">
        <v>3674</v>
      </c>
      <c r="C346" s="21" t="s">
        <v>1342</v>
      </c>
      <c r="D346" s="21" t="s">
        <v>1343</v>
      </c>
      <c r="E346" s="21" t="s">
        <v>1344</v>
      </c>
      <c r="F346" s="21" t="s">
        <v>176</v>
      </c>
      <c r="G346" s="21" t="s">
        <v>177</v>
      </c>
      <c r="H346" s="21" t="s">
        <v>3587</v>
      </c>
      <c r="I346" s="21">
        <v>55</v>
      </c>
      <c r="J346" s="89">
        <f t="shared" si="10"/>
        <v>3.4289276807980051E-2</v>
      </c>
      <c r="K346" s="94">
        <f>VLOOKUP(H346,'PCT data'!B:K,10,FALSE)</f>
        <v>1.0249625154512234</v>
      </c>
      <c r="L346" s="94">
        <f t="shared" si="11"/>
        <v>3.5145223410110532E-2</v>
      </c>
    </row>
    <row r="347" spans="1:12" x14ac:dyDescent="0.2">
      <c r="A347" s="21" t="s">
        <v>708</v>
      </c>
      <c r="B347" s="21" t="s">
        <v>3674</v>
      </c>
      <c r="C347" s="21" t="s">
        <v>1342</v>
      </c>
      <c r="D347" s="21" t="s">
        <v>1345</v>
      </c>
      <c r="E347" s="21" t="s">
        <v>1346</v>
      </c>
      <c r="F347" s="21" t="s">
        <v>3399</v>
      </c>
      <c r="G347" s="21" t="s">
        <v>3400</v>
      </c>
      <c r="H347" s="21" t="s">
        <v>716</v>
      </c>
      <c r="I347" s="21">
        <v>61</v>
      </c>
      <c r="J347" s="89">
        <f t="shared" si="10"/>
        <v>3.8029925187032416E-2</v>
      </c>
      <c r="K347" s="94">
        <f>VLOOKUP(H347,'PCT data'!B:K,10,FALSE)</f>
        <v>0.97520705353611448</v>
      </c>
      <c r="L347" s="94">
        <f t="shared" si="11"/>
        <v>3.7087051287844751E-2</v>
      </c>
    </row>
    <row r="348" spans="1:12" x14ac:dyDescent="0.2">
      <c r="A348" s="21" t="s">
        <v>708</v>
      </c>
      <c r="B348" s="21" t="s">
        <v>3674</v>
      </c>
      <c r="C348" s="21" t="s">
        <v>1342</v>
      </c>
      <c r="D348" s="21" t="s">
        <v>1347</v>
      </c>
      <c r="E348" s="21" t="s">
        <v>1348</v>
      </c>
      <c r="F348" s="21" t="s">
        <v>178</v>
      </c>
      <c r="G348" s="21" t="s">
        <v>179</v>
      </c>
      <c r="H348" s="21" t="s">
        <v>710</v>
      </c>
      <c r="I348" s="21">
        <v>68</v>
      </c>
      <c r="J348" s="89">
        <f t="shared" si="10"/>
        <v>4.2394014962593519E-2</v>
      </c>
      <c r="K348" s="94">
        <f>VLOOKUP(H348,'PCT data'!B:K,10,FALSE)</f>
        <v>0.95530486877007126</v>
      </c>
      <c r="L348" s="94">
        <f t="shared" si="11"/>
        <v>4.0499208900476841E-2</v>
      </c>
    </row>
    <row r="349" spans="1:12" x14ac:dyDescent="0.2">
      <c r="A349" s="21" t="s">
        <v>708</v>
      </c>
      <c r="B349" s="21" t="s">
        <v>3674</v>
      </c>
      <c r="C349" s="21" t="s">
        <v>1342</v>
      </c>
      <c r="D349" s="21" t="s">
        <v>1349</v>
      </c>
      <c r="E349" s="21" t="s">
        <v>1350</v>
      </c>
      <c r="F349" s="21" t="s">
        <v>180</v>
      </c>
      <c r="G349" s="21" t="s">
        <v>181</v>
      </c>
      <c r="H349" s="21" t="s">
        <v>710</v>
      </c>
      <c r="I349" s="21">
        <v>174</v>
      </c>
      <c r="J349" s="89">
        <f t="shared" si="10"/>
        <v>0.10847880299251871</v>
      </c>
      <c r="K349" s="94">
        <f>VLOOKUP(H349,'PCT data'!B:K,10,FALSE)</f>
        <v>0.95530486877007126</v>
      </c>
      <c r="L349" s="94">
        <f t="shared" si="11"/>
        <v>0.10363032865710249</v>
      </c>
    </row>
    <row r="350" spans="1:12" x14ac:dyDescent="0.2">
      <c r="A350" s="21" t="s">
        <v>708</v>
      </c>
      <c r="B350" s="21" t="s">
        <v>3674</v>
      </c>
      <c r="C350" s="21" t="s">
        <v>1342</v>
      </c>
      <c r="D350" s="21" t="s">
        <v>1351</v>
      </c>
      <c r="E350" s="21" t="s">
        <v>1352</v>
      </c>
      <c r="F350" s="21" t="s">
        <v>182</v>
      </c>
      <c r="G350" s="21" t="s">
        <v>183</v>
      </c>
      <c r="H350" s="21" t="s">
        <v>716</v>
      </c>
      <c r="I350" s="21">
        <v>180</v>
      </c>
      <c r="J350" s="89">
        <f t="shared" si="10"/>
        <v>0.11221945137157108</v>
      </c>
      <c r="K350" s="94">
        <f>VLOOKUP(H350,'PCT data'!B:K,10,FALSE)</f>
        <v>0.97520705353611448</v>
      </c>
      <c r="L350" s="94">
        <f t="shared" si="11"/>
        <v>0.10943720052150911</v>
      </c>
    </row>
    <row r="351" spans="1:12" x14ac:dyDescent="0.2">
      <c r="A351" s="21" t="s">
        <v>708</v>
      </c>
      <c r="B351" s="21" t="s">
        <v>3674</v>
      </c>
      <c r="C351" s="21" t="s">
        <v>1342</v>
      </c>
      <c r="D351" s="21" t="s">
        <v>1353</v>
      </c>
      <c r="E351" s="21" t="s">
        <v>1354</v>
      </c>
      <c r="F351" s="21" t="s">
        <v>2396</v>
      </c>
      <c r="G351" s="21" t="s">
        <v>2397</v>
      </c>
      <c r="H351" s="21" t="s">
        <v>3587</v>
      </c>
      <c r="I351" s="21">
        <v>191</v>
      </c>
      <c r="J351" s="89">
        <f t="shared" si="10"/>
        <v>0.11907730673316708</v>
      </c>
      <c r="K351" s="94">
        <f>VLOOKUP(H351,'PCT data'!B:K,10,FALSE)</f>
        <v>1.0249625154512234</v>
      </c>
      <c r="L351" s="94">
        <f t="shared" si="11"/>
        <v>0.12204977584238383</v>
      </c>
    </row>
    <row r="352" spans="1:12" x14ac:dyDescent="0.2">
      <c r="A352" s="21" t="s">
        <v>708</v>
      </c>
      <c r="B352" s="21" t="s">
        <v>3674</v>
      </c>
      <c r="C352" s="21" t="s">
        <v>1342</v>
      </c>
      <c r="D352" s="21" t="s">
        <v>1355</v>
      </c>
      <c r="E352" s="21" t="s">
        <v>1356</v>
      </c>
      <c r="F352" s="21" t="s">
        <v>2398</v>
      </c>
      <c r="G352" s="21" t="s">
        <v>3420</v>
      </c>
      <c r="H352" s="21" t="s">
        <v>3587</v>
      </c>
      <c r="I352" s="21">
        <v>194</v>
      </c>
      <c r="J352" s="89">
        <f t="shared" si="10"/>
        <v>0.12094763092269327</v>
      </c>
      <c r="K352" s="94">
        <f>VLOOKUP(H352,'PCT data'!B:K,10,FALSE)</f>
        <v>1.0249625154512234</v>
      </c>
      <c r="L352" s="94">
        <f t="shared" si="11"/>
        <v>0.12396678802838987</v>
      </c>
    </row>
    <row r="353" spans="1:12" x14ac:dyDescent="0.2">
      <c r="A353" s="21" t="s">
        <v>708</v>
      </c>
      <c r="B353" s="21" t="s">
        <v>3674</v>
      </c>
      <c r="C353" s="21" t="s">
        <v>1342</v>
      </c>
      <c r="D353" s="21" t="s">
        <v>728</v>
      </c>
      <c r="E353" s="21" t="s">
        <v>729</v>
      </c>
      <c r="F353" s="21" t="s">
        <v>182</v>
      </c>
      <c r="G353" s="21" t="s">
        <v>183</v>
      </c>
      <c r="H353" s="21" t="s">
        <v>716</v>
      </c>
      <c r="I353" s="21">
        <v>681</v>
      </c>
      <c r="J353" s="89">
        <f t="shared" si="10"/>
        <v>0.4245635910224439</v>
      </c>
      <c r="K353" s="94">
        <f>VLOOKUP(H353,'PCT data'!B:K,10,FALSE)</f>
        <v>0.97520705353611448</v>
      </c>
      <c r="L353" s="94">
        <f t="shared" si="11"/>
        <v>0.41403740863970945</v>
      </c>
    </row>
    <row r="354" spans="1:12" x14ac:dyDescent="0.2">
      <c r="A354" s="21" t="s">
        <v>3496</v>
      </c>
      <c r="B354" s="21" t="s">
        <v>2361</v>
      </c>
      <c r="C354" s="21" t="s">
        <v>2362</v>
      </c>
      <c r="D354" s="21" t="s">
        <v>1357</v>
      </c>
      <c r="E354" s="21" t="s">
        <v>1358</v>
      </c>
      <c r="F354" s="21" t="s">
        <v>2399</v>
      </c>
      <c r="G354" s="21" t="s">
        <v>2400</v>
      </c>
      <c r="H354" s="21" t="s">
        <v>3505</v>
      </c>
      <c r="I354" s="21">
        <v>466</v>
      </c>
      <c r="J354" s="89">
        <f t="shared" si="10"/>
        <v>0.47261663286004058</v>
      </c>
      <c r="K354" s="94">
        <f>VLOOKUP(H354,'PCT data'!B:K,10,FALSE)</f>
        <v>1.0747179773663313</v>
      </c>
      <c r="L354" s="94">
        <f t="shared" si="11"/>
        <v>0.50792959173702878</v>
      </c>
    </row>
    <row r="355" spans="1:12" x14ac:dyDescent="0.2">
      <c r="A355" s="21" t="s">
        <v>3496</v>
      </c>
      <c r="B355" s="21" t="s">
        <v>2361</v>
      </c>
      <c r="C355" s="21" t="s">
        <v>2362</v>
      </c>
      <c r="D355" s="21" t="s">
        <v>1359</v>
      </c>
      <c r="E355" s="21" t="s">
        <v>1360</v>
      </c>
      <c r="F355" s="21" t="s">
        <v>2401</v>
      </c>
      <c r="G355" s="21" t="s">
        <v>2402</v>
      </c>
      <c r="H355" s="21" t="s">
        <v>187</v>
      </c>
      <c r="I355" s="21">
        <v>520</v>
      </c>
      <c r="J355" s="89">
        <f t="shared" si="10"/>
        <v>0.52738336713995948</v>
      </c>
      <c r="K355" s="94">
        <f>VLOOKUP(H355,'PCT data'!B:K,10,FALSE)</f>
        <v>1.0448647002172666</v>
      </c>
      <c r="L355" s="94">
        <f t="shared" si="11"/>
        <v>0.55104426380626648</v>
      </c>
    </row>
    <row r="356" spans="1:12" x14ac:dyDescent="0.2">
      <c r="A356" s="21" t="s">
        <v>3034</v>
      </c>
      <c r="B356" s="21" t="s">
        <v>397</v>
      </c>
      <c r="C356" s="21" t="s">
        <v>398</v>
      </c>
      <c r="D356" s="21" t="s">
        <v>1361</v>
      </c>
      <c r="E356" s="21" t="s">
        <v>1362</v>
      </c>
      <c r="F356" s="21" t="s">
        <v>2403</v>
      </c>
      <c r="G356" s="21" t="s">
        <v>2404</v>
      </c>
      <c r="H356" s="21" t="s">
        <v>3042</v>
      </c>
      <c r="I356" s="21">
        <v>376</v>
      </c>
      <c r="J356" s="89">
        <f t="shared" si="10"/>
        <v>0.28017883755588674</v>
      </c>
      <c r="K356" s="94">
        <f>VLOOKUP(H356,'PCT data'!B:K,10,FALSE)</f>
        <v>0.96525596115309287</v>
      </c>
      <c r="L356" s="94">
        <f t="shared" si="11"/>
        <v>0.2704442931397637</v>
      </c>
    </row>
    <row r="357" spans="1:12" x14ac:dyDescent="0.2">
      <c r="A357" s="21" t="s">
        <v>3034</v>
      </c>
      <c r="B357" s="21" t="s">
        <v>397</v>
      </c>
      <c r="C357" s="21" t="s">
        <v>398</v>
      </c>
      <c r="D357" s="21" t="s">
        <v>1363</v>
      </c>
      <c r="E357" s="21" t="s">
        <v>1364</v>
      </c>
      <c r="F357" s="21" t="s">
        <v>2405</v>
      </c>
      <c r="G357" s="21" t="s">
        <v>2406</v>
      </c>
      <c r="H357" s="21" t="s">
        <v>3055</v>
      </c>
      <c r="I357" s="21">
        <v>434</v>
      </c>
      <c r="J357" s="89">
        <f t="shared" si="10"/>
        <v>0.32339791356184799</v>
      </c>
      <c r="K357" s="94">
        <f>VLOOKUP(H357,'PCT data'!B:K,10,FALSE)</f>
        <v>0.94535377638704965</v>
      </c>
      <c r="L357" s="94">
        <f t="shared" si="11"/>
        <v>0.30572543886138565</v>
      </c>
    </row>
    <row r="358" spans="1:12" x14ac:dyDescent="0.2">
      <c r="A358" s="21" t="s">
        <v>3034</v>
      </c>
      <c r="B358" s="21" t="s">
        <v>397</v>
      </c>
      <c r="C358" s="21" t="s">
        <v>398</v>
      </c>
      <c r="D358" s="21" t="s">
        <v>1365</v>
      </c>
      <c r="E358" s="21" t="s">
        <v>1366</v>
      </c>
      <c r="F358" s="21" t="s">
        <v>2407</v>
      </c>
      <c r="G358" s="21" t="s">
        <v>2408</v>
      </c>
      <c r="H358" s="21" t="s">
        <v>3055</v>
      </c>
      <c r="I358" s="21">
        <v>532</v>
      </c>
      <c r="J358" s="89">
        <f t="shared" si="10"/>
        <v>0.39642324888226527</v>
      </c>
      <c r="K358" s="94">
        <f>VLOOKUP(H358,'PCT data'!B:K,10,FALSE)</f>
        <v>0.94535377638704965</v>
      </c>
      <c r="L358" s="94">
        <f t="shared" si="11"/>
        <v>0.37476021537847271</v>
      </c>
    </row>
    <row r="359" spans="1:12" x14ac:dyDescent="0.2">
      <c r="A359" s="21" t="s">
        <v>3496</v>
      </c>
      <c r="B359" s="21" t="s">
        <v>2292</v>
      </c>
      <c r="C359" s="21" t="s">
        <v>2293</v>
      </c>
      <c r="D359" s="21" t="s">
        <v>1367</v>
      </c>
      <c r="E359" s="21" t="s">
        <v>1368</v>
      </c>
      <c r="F359" s="21" t="s">
        <v>2409</v>
      </c>
      <c r="G359" s="21" t="s">
        <v>2410</v>
      </c>
      <c r="H359" s="21" t="s">
        <v>3500</v>
      </c>
      <c r="I359" s="21">
        <v>12</v>
      </c>
      <c r="J359" s="89">
        <f t="shared" si="10"/>
        <v>1.5209125475285171E-2</v>
      </c>
      <c r="K359" s="94">
        <f>VLOOKUP(H359,'PCT data'!B:K,10,FALSE)</f>
        <v>1.0747179773663313</v>
      </c>
      <c r="L359" s="94">
        <f t="shared" si="11"/>
        <v>1.6345520568309221E-2</v>
      </c>
    </row>
    <row r="360" spans="1:12" x14ac:dyDescent="0.2">
      <c r="A360" s="21" t="s">
        <v>3496</v>
      </c>
      <c r="B360" s="21" t="s">
        <v>2292</v>
      </c>
      <c r="C360" s="21" t="s">
        <v>2293</v>
      </c>
      <c r="D360" s="21" t="s">
        <v>1369</v>
      </c>
      <c r="E360" s="21" t="s">
        <v>1370</v>
      </c>
      <c r="F360" s="21" t="s">
        <v>2411</v>
      </c>
      <c r="G360" s="21" t="s">
        <v>2410</v>
      </c>
      <c r="H360" s="21" t="s">
        <v>3500</v>
      </c>
      <c r="I360" s="21">
        <v>58</v>
      </c>
      <c r="J360" s="89">
        <f t="shared" si="10"/>
        <v>7.3510773130544993E-2</v>
      </c>
      <c r="K360" s="94">
        <f>VLOOKUP(H360,'PCT data'!B:K,10,FALSE)</f>
        <v>1.0747179773663313</v>
      </c>
      <c r="L360" s="94">
        <f t="shared" si="11"/>
        <v>7.9003349413494572E-2</v>
      </c>
    </row>
    <row r="361" spans="1:12" x14ac:dyDescent="0.2">
      <c r="A361" s="21" t="s">
        <v>3496</v>
      </c>
      <c r="B361" s="21" t="s">
        <v>2292</v>
      </c>
      <c r="C361" s="21" t="s">
        <v>2293</v>
      </c>
      <c r="D361" s="21" t="s">
        <v>1371</v>
      </c>
      <c r="E361" s="21" t="s">
        <v>1372</v>
      </c>
      <c r="F361" s="21" t="s">
        <v>2412</v>
      </c>
      <c r="G361" s="21" t="s">
        <v>2413</v>
      </c>
      <c r="H361" s="21" t="s">
        <v>3512</v>
      </c>
      <c r="I361" s="21">
        <v>230</v>
      </c>
      <c r="J361" s="89">
        <f t="shared" si="10"/>
        <v>0.29150823827629913</v>
      </c>
      <c r="K361" s="94">
        <f>VLOOKUP(H361,'PCT data'!B:K,10,FALSE)</f>
        <v>1.0548157926002883</v>
      </c>
      <c r="L361" s="94">
        <f t="shared" si="11"/>
        <v>0.30748749340692816</v>
      </c>
    </row>
    <row r="362" spans="1:12" x14ac:dyDescent="0.2">
      <c r="A362" s="21" t="s">
        <v>3496</v>
      </c>
      <c r="B362" s="21" t="s">
        <v>2292</v>
      </c>
      <c r="C362" s="21" t="s">
        <v>2293</v>
      </c>
      <c r="D362" s="21" t="s">
        <v>1373</v>
      </c>
      <c r="E362" s="21" t="s">
        <v>1374</v>
      </c>
      <c r="F362" s="21" t="s">
        <v>2411</v>
      </c>
      <c r="G362" s="21" t="s">
        <v>2410</v>
      </c>
      <c r="H362" s="21" t="s">
        <v>3500</v>
      </c>
      <c r="I362" s="21">
        <v>489</v>
      </c>
      <c r="J362" s="89">
        <f t="shared" si="10"/>
        <v>0.61977186311787069</v>
      </c>
      <c r="K362" s="94">
        <f>VLOOKUP(H362,'PCT data'!B:K,10,FALSE)</f>
        <v>1.0747179773663313</v>
      </c>
      <c r="L362" s="94">
        <f t="shared" si="11"/>
        <v>0.66607996315860074</v>
      </c>
    </row>
    <row r="363" spans="1:12" x14ac:dyDescent="0.2">
      <c r="A363" s="21" t="s">
        <v>2133</v>
      </c>
      <c r="B363" s="21" t="s">
        <v>3736</v>
      </c>
      <c r="C363" s="21" t="s">
        <v>2769</v>
      </c>
      <c r="D363" s="21" t="s">
        <v>1375</v>
      </c>
      <c r="E363" s="21" t="s">
        <v>1376</v>
      </c>
      <c r="F363" s="21" t="s">
        <v>2414</v>
      </c>
      <c r="G363" s="21" t="s">
        <v>2415</v>
      </c>
      <c r="H363" s="21" t="s">
        <v>1113</v>
      </c>
      <c r="I363" s="21">
        <v>36</v>
      </c>
      <c r="J363" s="89">
        <f t="shared" si="10"/>
        <v>3.5053554040895815E-2</v>
      </c>
      <c r="K363" s="94">
        <f>VLOOKUP(H363,'PCT data'!B:K,10,FALSE)</f>
        <v>0.94535377638704965</v>
      </c>
      <c r="L363" s="94">
        <f t="shared" si="11"/>
        <v>3.3138009688348381E-2</v>
      </c>
    </row>
    <row r="364" spans="1:12" x14ac:dyDescent="0.2">
      <c r="A364" s="21" t="s">
        <v>2133</v>
      </c>
      <c r="B364" s="21" t="s">
        <v>3736</v>
      </c>
      <c r="C364" s="21" t="s">
        <v>2769</v>
      </c>
      <c r="D364" s="21" t="s">
        <v>1377</v>
      </c>
      <c r="E364" s="21" t="s">
        <v>1378</v>
      </c>
      <c r="F364" s="21" t="s">
        <v>2416</v>
      </c>
      <c r="G364" s="21" t="s">
        <v>2417</v>
      </c>
      <c r="H364" s="21" t="s">
        <v>1113</v>
      </c>
      <c r="I364" s="21">
        <v>458</v>
      </c>
      <c r="J364" s="89">
        <f t="shared" si="10"/>
        <v>0.44595910418695228</v>
      </c>
      <c r="K364" s="94">
        <f>VLOOKUP(H364,'PCT data'!B:K,10,FALSE)</f>
        <v>0.94535377638704965</v>
      </c>
      <c r="L364" s="94">
        <f t="shared" si="11"/>
        <v>0.42158912325732106</v>
      </c>
    </row>
    <row r="365" spans="1:12" x14ac:dyDescent="0.2">
      <c r="A365" s="21" t="s">
        <v>2133</v>
      </c>
      <c r="B365" s="21" t="s">
        <v>3736</v>
      </c>
      <c r="C365" s="21" t="s">
        <v>2769</v>
      </c>
      <c r="D365" s="21" t="s">
        <v>1379</v>
      </c>
      <c r="E365" s="21" t="s">
        <v>1380</v>
      </c>
      <c r="F365" s="21" t="s">
        <v>2418</v>
      </c>
      <c r="G365" s="21" t="s">
        <v>2419</v>
      </c>
      <c r="H365" s="21" t="s">
        <v>2135</v>
      </c>
      <c r="I365" s="21">
        <v>533</v>
      </c>
      <c r="J365" s="89">
        <f t="shared" si="10"/>
        <v>0.51898734177215189</v>
      </c>
      <c r="K365" s="94">
        <f>VLOOKUP(H365,'PCT data'!B:K,10,FALSE)</f>
        <v>0.94535377638704965</v>
      </c>
      <c r="L365" s="94">
        <f t="shared" si="11"/>
        <v>0.49062664344138018</v>
      </c>
    </row>
    <row r="366" spans="1:12" x14ac:dyDescent="0.2">
      <c r="A366" s="21" t="s">
        <v>2975</v>
      </c>
      <c r="B366" s="21" t="s">
        <v>2285</v>
      </c>
      <c r="C366" s="21" t="s">
        <v>2286</v>
      </c>
      <c r="D366" s="21" t="s">
        <v>1381</v>
      </c>
      <c r="E366" s="21" t="s">
        <v>1382</v>
      </c>
      <c r="F366" s="21" t="s">
        <v>2420</v>
      </c>
      <c r="G366" s="21" t="s">
        <v>2421</v>
      </c>
      <c r="H366" s="21" t="s">
        <v>3610</v>
      </c>
      <c r="I366" s="21">
        <v>40</v>
      </c>
      <c r="J366" s="89">
        <f t="shared" si="10"/>
        <v>4.3057050592034449E-2</v>
      </c>
      <c r="K366" s="94">
        <f>VLOOKUP(H366,'PCT data'!B:K,10,FALSE)</f>
        <v>0.89559831447194282</v>
      </c>
      <c r="L366" s="94">
        <f t="shared" si="11"/>
        <v>3.8561821936359222E-2</v>
      </c>
    </row>
    <row r="367" spans="1:12" x14ac:dyDescent="0.2">
      <c r="A367" s="21" t="s">
        <v>2975</v>
      </c>
      <c r="B367" s="21" t="s">
        <v>2285</v>
      </c>
      <c r="C367" s="21" t="s">
        <v>2286</v>
      </c>
      <c r="D367" s="21" t="s">
        <v>1383</v>
      </c>
      <c r="E367" s="21" t="s">
        <v>1384</v>
      </c>
      <c r="F367" s="21" t="s">
        <v>2422</v>
      </c>
      <c r="G367" s="21" t="s">
        <v>2423</v>
      </c>
      <c r="H367" s="21" t="s">
        <v>2982</v>
      </c>
      <c r="I367" s="21">
        <v>40</v>
      </c>
      <c r="J367" s="89">
        <f t="shared" si="10"/>
        <v>4.3057050592034449E-2</v>
      </c>
      <c r="K367" s="94">
        <f>VLOOKUP(H367,'PCT data'!B:K,10,FALSE)</f>
        <v>0.94535377638704965</v>
      </c>
      <c r="L367" s="94">
        <f t="shared" si="11"/>
        <v>4.070414537726802E-2</v>
      </c>
    </row>
    <row r="368" spans="1:12" x14ac:dyDescent="0.2">
      <c r="A368" s="21" t="s">
        <v>2975</v>
      </c>
      <c r="B368" s="21" t="s">
        <v>2285</v>
      </c>
      <c r="C368" s="21" t="s">
        <v>2286</v>
      </c>
      <c r="D368" s="21" t="s">
        <v>1385</v>
      </c>
      <c r="E368" s="21" t="s">
        <v>1386</v>
      </c>
      <c r="F368" s="21" t="s">
        <v>2424</v>
      </c>
      <c r="G368" s="21" t="s">
        <v>2425</v>
      </c>
      <c r="H368" s="21" t="s">
        <v>3610</v>
      </c>
      <c r="I368" s="21">
        <v>40</v>
      </c>
      <c r="J368" s="89">
        <f t="shared" si="10"/>
        <v>4.3057050592034449E-2</v>
      </c>
      <c r="K368" s="94">
        <f>VLOOKUP(H368,'PCT data'!B:K,10,FALSE)</f>
        <v>0.89559831447194282</v>
      </c>
      <c r="L368" s="94">
        <f t="shared" si="11"/>
        <v>3.8561821936359222E-2</v>
      </c>
    </row>
    <row r="369" spans="1:12" x14ac:dyDescent="0.2">
      <c r="A369" s="21" t="s">
        <v>2975</v>
      </c>
      <c r="B369" s="21" t="s">
        <v>2285</v>
      </c>
      <c r="C369" s="21" t="s">
        <v>2286</v>
      </c>
      <c r="D369" s="21" t="s">
        <v>1387</v>
      </c>
      <c r="E369" s="21" t="s">
        <v>1388</v>
      </c>
      <c r="F369" s="21" t="s">
        <v>2426</v>
      </c>
      <c r="G369" s="21" t="s">
        <v>2427</v>
      </c>
      <c r="H369" s="21" t="s">
        <v>3610</v>
      </c>
      <c r="I369" s="21">
        <v>86</v>
      </c>
      <c r="J369" s="89">
        <f t="shared" si="10"/>
        <v>9.2572658772874059E-2</v>
      </c>
      <c r="K369" s="94">
        <f>VLOOKUP(H369,'PCT data'!B:K,10,FALSE)</f>
        <v>0.89559831447194282</v>
      </c>
      <c r="L369" s="94">
        <f t="shared" si="11"/>
        <v>8.2907917163172321E-2</v>
      </c>
    </row>
    <row r="370" spans="1:12" x14ac:dyDescent="0.2">
      <c r="A370" s="21" t="s">
        <v>2975</v>
      </c>
      <c r="B370" s="21" t="s">
        <v>2285</v>
      </c>
      <c r="C370" s="21" t="s">
        <v>2286</v>
      </c>
      <c r="D370" s="21" t="s">
        <v>1389</v>
      </c>
      <c r="E370" s="21" t="s">
        <v>1390</v>
      </c>
      <c r="F370" s="21" t="s">
        <v>2428</v>
      </c>
      <c r="G370" s="21" t="s">
        <v>2429</v>
      </c>
      <c r="H370" s="21" t="s">
        <v>2982</v>
      </c>
      <c r="I370" s="21">
        <v>723</v>
      </c>
      <c r="J370" s="89">
        <f t="shared" si="10"/>
        <v>0.7782561894510226</v>
      </c>
      <c r="K370" s="94">
        <f>VLOOKUP(H370,'PCT data'!B:K,10,FALSE)</f>
        <v>0.94535377638704965</v>
      </c>
      <c r="L370" s="94">
        <f t="shared" si="11"/>
        <v>0.73572742769411936</v>
      </c>
    </row>
    <row r="371" spans="1:12" x14ac:dyDescent="0.2">
      <c r="A371" s="21" t="s">
        <v>2975</v>
      </c>
      <c r="B371" s="21" t="s">
        <v>359</v>
      </c>
      <c r="C371" s="21" t="s">
        <v>360</v>
      </c>
      <c r="D371" s="21" t="s">
        <v>1391</v>
      </c>
      <c r="E371" s="21" t="s">
        <v>1392</v>
      </c>
      <c r="F371" s="21" t="s">
        <v>2430</v>
      </c>
      <c r="G371" s="21" t="s">
        <v>2431</v>
      </c>
      <c r="H371" s="21" t="s">
        <v>3002</v>
      </c>
      <c r="I371" s="21">
        <v>12</v>
      </c>
      <c r="J371" s="89">
        <f t="shared" si="10"/>
        <v>1.1342155009451797E-2</v>
      </c>
      <c r="K371" s="94">
        <f>VLOOKUP(H371,'PCT data'!B:K,10,FALSE)</f>
        <v>0.91550049923798604</v>
      </c>
      <c r="L371" s="94">
        <f t="shared" si="11"/>
        <v>1.0383748573587743E-2</v>
      </c>
    </row>
    <row r="372" spans="1:12" x14ac:dyDescent="0.2">
      <c r="A372" s="21" t="s">
        <v>2975</v>
      </c>
      <c r="B372" s="21" t="s">
        <v>359</v>
      </c>
      <c r="C372" s="21" t="s">
        <v>360</v>
      </c>
      <c r="D372" s="21" t="s">
        <v>1393</v>
      </c>
      <c r="E372" s="21" t="s">
        <v>1394</v>
      </c>
      <c r="F372" s="21" t="s">
        <v>2432</v>
      </c>
      <c r="G372" s="21" t="s">
        <v>2433</v>
      </c>
      <c r="H372" s="21" t="s">
        <v>3002</v>
      </c>
      <c r="I372" s="21">
        <v>277</v>
      </c>
      <c r="J372" s="89">
        <f t="shared" si="10"/>
        <v>0.26181474480151229</v>
      </c>
      <c r="K372" s="94">
        <f>VLOOKUP(H372,'PCT data'!B:K,10,FALSE)</f>
        <v>0.91550049923798604</v>
      </c>
      <c r="L372" s="94">
        <f t="shared" si="11"/>
        <v>0.23969152957365042</v>
      </c>
    </row>
    <row r="373" spans="1:12" x14ac:dyDescent="0.2">
      <c r="A373" s="21" t="s">
        <v>2975</v>
      </c>
      <c r="B373" s="21" t="s">
        <v>359</v>
      </c>
      <c r="C373" s="21" t="s">
        <v>360</v>
      </c>
      <c r="D373" s="21" t="s">
        <v>1395</v>
      </c>
      <c r="E373" s="21" t="s">
        <v>1396</v>
      </c>
      <c r="F373" s="21" t="s">
        <v>2430</v>
      </c>
      <c r="G373" s="21" t="s">
        <v>2431</v>
      </c>
      <c r="H373" s="21" t="s">
        <v>3002</v>
      </c>
      <c r="I373" s="21">
        <v>769</v>
      </c>
      <c r="J373" s="89">
        <f t="shared" si="10"/>
        <v>0.72684310018903586</v>
      </c>
      <c r="K373" s="94">
        <f>VLOOKUP(H373,'PCT data'!B:K,10,FALSE)</f>
        <v>0.91550049923798604</v>
      </c>
      <c r="L373" s="94">
        <f t="shared" si="11"/>
        <v>0.66542522109074786</v>
      </c>
    </row>
    <row r="374" spans="1:12" x14ac:dyDescent="0.2">
      <c r="A374" s="21" t="s">
        <v>708</v>
      </c>
      <c r="B374" s="21" t="s">
        <v>5</v>
      </c>
      <c r="C374" s="21" t="s">
        <v>6</v>
      </c>
      <c r="D374" s="21" t="s">
        <v>1397</v>
      </c>
      <c r="E374" s="21" t="s">
        <v>2529</v>
      </c>
      <c r="F374" s="21" t="s">
        <v>2434</v>
      </c>
      <c r="G374" s="21" t="s">
        <v>2435</v>
      </c>
      <c r="H374" s="21" t="s">
        <v>3579</v>
      </c>
      <c r="I374" s="21">
        <v>26</v>
      </c>
      <c r="J374" s="89">
        <f t="shared" si="10"/>
        <v>2.4436090225563908E-2</v>
      </c>
      <c r="K374" s="94">
        <f>VLOOKUP(H374,'PCT data'!B:K,10,FALSE)</f>
        <v>0.96525596115309287</v>
      </c>
      <c r="L374" s="94">
        <f t="shared" si="11"/>
        <v>2.3587081757500388E-2</v>
      </c>
    </row>
    <row r="375" spans="1:12" x14ac:dyDescent="0.2">
      <c r="A375" s="21" t="s">
        <v>708</v>
      </c>
      <c r="B375" s="21" t="s">
        <v>5</v>
      </c>
      <c r="C375" s="21" t="s">
        <v>6</v>
      </c>
      <c r="D375" s="21" t="s">
        <v>2530</v>
      </c>
      <c r="E375" s="21" t="s">
        <v>2531</v>
      </c>
      <c r="F375" s="21" t="s">
        <v>2436</v>
      </c>
      <c r="G375" s="21" t="s">
        <v>2437</v>
      </c>
      <c r="H375" s="21" t="s">
        <v>3579</v>
      </c>
      <c r="I375" s="21">
        <v>43</v>
      </c>
      <c r="J375" s="89">
        <f t="shared" si="10"/>
        <v>4.0413533834586464E-2</v>
      </c>
      <c r="K375" s="94">
        <f>VLOOKUP(H375,'PCT data'!B:K,10,FALSE)</f>
        <v>0.96525596115309287</v>
      </c>
      <c r="L375" s="94">
        <f t="shared" si="11"/>
        <v>3.9009404445096797E-2</v>
      </c>
    </row>
    <row r="376" spans="1:12" x14ac:dyDescent="0.2">
      <c r="A376" s="21" t="s">
        <v>708</v>
      </c>
      <c r="B376" s="21" t="s">
        <v>5</v>
      </c>
      <c r="C376" s="21" t="s">
        <v>6</v>
      </c>
      <c r="D376" s="21" t="s">
        <v>2532</v>
      </c>
      <c r="E376" s="21" t="s">
        <v>2533</v>
      </c>
      <c r="F376" s="21" t="s">
        <v>2438</v>
      </c>
      <c r="G376" s="21" t="s">
        <v>2439</v>
      </c>
      <c r="H376" s="21" t="s">
        <v>3579</v>
      </c>
      <c r="I376" s="21">
        <v>177</v>
      </c>
      <c r="J376" s="89">
        <f t="shared" si="10"/>
        <v>0.16635338345864661</v>
      </c>
      <c r="K376" s="94">
        <f>VLOOKUP(H376,'PCT data'!B:K,10,FALSE)</f>
        <v>0.96525596115309287</v>
      </c>
      <c r="L376" s="94">
        <f t="shared" si="11"/>
        <v>0.16057359504144494</v>
      </c>
    </row>
    <row r="377" spans="1:12" x14ac:dyDescent="0.2">
      <c r="A377" s="21" t="s">
        <v>708</v>
      </c>
      <c r="B377" s="21" t="s">
        <v>5</v>
      </c>
      <c r="C377" s="21" t="s">
        <v>6</v>
      </c>
      <c r="D377" s="21" t="s">
        <v>2534</v>
      </c>
      <c r="E377" s="21" t="s">
        <v>2535</v>
      </c>
      <c r="F377" s="21" t="s">
        <v>2440</v>
      </c>
      <c r="G377" s="21" t="s">
        <v>2441</v>
      </c>
      <c r="H377" s="21" t="s">
        <v>712</v>
      </c>
      <c r="I377" s="21">
        <v>371</v>
      </c>
      <c r="J377" s="89">
        <f t="shared" si="10"/>
        <v>0.34868421052631576</v>
      </c>
      <c r="K377" s="94">
        <f>VLOOKUP(H377,'PCT data'!B:K,10,FALSE)</f>
        <v>1.0349136078342451</v>
      </c>
      <c r="L377" s="94">
        <f t="shared" si="11"/>
        <v>0.36085803431062491</v>
      </c>
    </row>
    <row r="378" spans="1:12" x14ac:dyDescent="0.2">
      <c r="A378" s="21" t="s">
        <v>708</v>
      </c>
      <c r="B378" s="21" t="s">
        <v>5</v>
      </c>
      <c r="C378" s="21" t="s">
        <v>6</v>
      </c>
      <c r="D378" s="21" t="s">
        <v>2536</v>
      </c>
      <c r="E378" s="21" t="s">
        <v>2537</v>
      </c>
      <c r="F378" s="21" t="s">
        <v>2442</v>
      </c>
      <c r="G378" s="21" t="s">
        <v>2443</v>
      </c>
      <c r="H378" s="21" t="s">
        <v>3579</v>
      </c>
      <c r="I378" s="21">
        <v>447</v>
      </c>
      <c r="J378" s="89">
        <f t="shared" si="10"/>
        <v>0.42011278195488722</v>
      </c>
      <c r="K378" s="94">
        <f>VLOOKUP(H378,'PCT data'!B:K,10,FALSE)</f>
        <v>0.96525596115309287</v>
      </c>
      <c r="L378" s="94">
        <f t="shared" si="11"/>
        <v>0.40551636713856437</v>
      </c>
    </row>
    <row r="379" spans="1:12" x14ac:dyDescent="0.2">
      <c r="A379" s="21" t="s">
        <v>191</v>
      </c>
      <c r="B379" s="21" t="s">
        <v>2294</v>
      </c>
      <c r="C379" s="21" t="s">
        <v>2295</v>
      </c>
      <c r="D379" s="21" t="s">
        <v>2538</v>
      </c>
      <c r="E379" s="21" t="s">
        <v>2539</v>
      </c>
      <c r="F379" s="21" t="s">
        <v>2444</v>
      </c>
      <c r="G379" s="21" t="s">
        <v>2445</v>
      </c>
      <c r="H379" s="21" t="s">
        <v>196</v>
      </c>
      <c r="I379" s="21">
        <v>29</v>
      </c>
      <c r="J379" s="89">
        <f t="shared" si="10"/>
        <v>3.9944903581267219E-2</v>
      </c>
      <c r="K379" s="94">
        <f>VLOOKUP(H379,'PCT data'!B:K,10,FALSE)</f>
        <v>1.0747179773663313</v>
      </c>
      <c r="L379" s="94">
        <f t="shared" si="11"/>
        <v>4.2929505982952629E-2</v>
      </c>
    </row>
    <row r="380" spans="1:12" x14ac:dyDescent="0.2">
      <c r="A380" s="21" t="s">
        <v>191</v>
      </c>
      <c r="B380" s="21" t="s">
        <v>2294</v>
      </c>
      <c r="C380" s="21" t="s">
        <v>2295</v>
      </c>
      <c r="D380" s="21" t="s">
        <v>2540</v>
      </c>
      <c r="E380" s="21" t="s">
        <v>2541</v>
      </c>
      <c r="F380" s="21" t="s">
        <v>2446</v>
      </c>
      <c r="G380" s="21" t="s">
        <v>2447</v>
      </c>
      <c r="H380" s="21" t="s">
        <v>196</v>
      </c>
      <c r="I380" s="21">
        <v>309</v>
      </c>
      <c r="J380" s="89">
        <f t="shared" si="10"/>
        <v>0.42561983471074383</v>
      </c>
      <c r="K380" s="94">
        <f>VLOOKUP(H380,'PCT data'!B:K,10,FALSE)</f>
        <v>1.0747179773663313</v>
      </c>
      <c r="L380" s="94">
        <f t="shared" si="11"/>
        <v>0.45742128788732289</v>
      </c>
    </row>
    <row r="381" spans="1:12" x14ac:dyDescent="0.2">
      <c r="A381" s="21" t="s">
        <v>191</v>
      </c>
      <c r="B381" s="21" t="s">
        <v>2294</v>
      </c>
      <c r="C381" s="21" t="s">
        <v>2295</v>
      </c>
      <c r="D381" s="21" t="s">
        <v>2542</v>
      </c>
      <c r="E381" s="21" t="s">
        <v>2543</v>
      </c>
      <c r="F381" s="21" t="s">
        <v>2448</v>
      </c>
      <c r="G381" s="21" t="s">
        <v>2449</v>
      </c>
      <c r="H381" s="21" t="s">
        <v>196</v>
      </c>
      <c r="I381" s="21">
        <v>388</v>
      </c>
      <c r="J381" s="89">
        <f t="shared" si="10"/>
        <v>0.53443526170798894</v>
      </c>
      <c r="K381" s="94">
        <f>VLOOKUP(H381,'PCT data'!B:K,10,FALSE)</f>
        <v>1.0747179773663313</v>
      </c>
      <c r="L381" s="94">
        <f t="shared" si="11"/>
        <v>0.57436718349605587</v>
      </c>
    </row>
    <row r="382" spans="1:12" x14ac:dyDescent="0.2">
      <c r="A382" s="21" t="s">
        <v>2975</v>
      </c>
      <c r="B382" s="21" t="s">
        <v>2353</v>
      </c>
      <c r="C382" s="21" t="s">
        <v>2354</v>
      </c>
      <c r="D382" s="21" t="s">
        <v>2544</v>
      </c>
      <c r="E382" s="21" t="s">
        <v>2545</v>
      </c>
      <c r="F382" s="21" t="s">
        <v>2450</v>
      </c>
      <c r="G382" s="21" t="s">
        <v>2451</v>
      </c>
      <c r="H382" s="21" t="s">
        <v>2984</v>
      </c>
      <c r="I382" s="21">
        <v>72</v>
      </c>
      <c r="J382" s="89">
        <f t="shared" si="10"/>
        <v>7.4457083764219237E-2</v>
      </c>
      <c r="K382" s="94">
        <f>VLOOKUP(H382,'PCT data'!B:K,10,FALSE)</f>
        <v>0.89559831447194282</v>
      </c>
      <c r="L382" s="94">
        <f t="shared" si="11"/>
        <v>6.6683638719731014E-2</v>
      </c>
    </row>
    <row r="383" spans="1:12" x14ac:dyDescent="0.2">
      <c r="A383" s="21" t="s">
        <v>2975</v>
      </c>
      <c r="B383" s="21" t="s">
        <v>2353</v>
      </c>
      <c r="C383" s="21" t="s">
        <v>2354</v>
      </c>
      <c r="D383" s="21" t="s">
        <v>2546</v>
      </c>
      <c r="E383" s="21" t="s">
        <v>2547</v>
      </c>
      <c r="F383" s="21" t="s">
        <v>2452</v>
      </c>
      <c r="G383" s="21" t="s">
        <v>2453</v>
      </c>
      <c r="H383" s="21" t="s">
        <v>2984</v>
      </c>
      <c r="I383" s="21">
        <v>212</v>
      </c>
      <c r="J383" s="89">
        <f t="shared" si="10"/>
        <v>0.21923474663908996</v>
      </c>
      <c r="K383" s="94">
        <f>VLOOKUP(H383,'PCT data'!B:K,10,FALSE)</f>
        <v>0.89559831447194282</v>
      </c>
      <c r="L383" s="94">
        <f t="shared" si="11"/>
        <v>0.19634626956365239</v>
      </c>
    </row>
    <row r="384" spans="1:12" x14ac:dyDescent="0.2">
      <c r="A384" s="21" t="s">
        <v>2975</v>
      </c>
      <c r="B384" s="21" t="s">
        <v>2353</v>
      </c>
      <c r="C384" s="21" t="s">
        <v>2354</v>
      </c>
      <c r="D384" s="21" t="s">
        <v>2548</v>
      </c>
      <c r="E384" s="21" t="s">
        <v>2549</v>
      </c>
      <c r="F384" s="21" t="s">
        <v>2454</v>
      </c>
      <c r="G384" s="21" t="s">
        <v>2455</v>
      </c>
      <c r="H384" s="21" t="s">
        <v>2998</v>
      </c>
      <c r="I384" s="21">
        <v>683</v>
      </c>
      <c r="J384" s="89">
        <f t="shared" si="10"/>
        <v>0.70630816959669085</v>
      </c>
      <c r="K384" s="94">
        <f>VLOOKUP(H384,'PCT data'!B:K,10,FALSE)</f>
        <v>0.93540268400402815</v>
      </c>
      <c r="L384" s="94">
        <f t="shared" si="11"/>
        <v>0.66068255757471694</v>
      </c>
    </row>
    <row r="385" spans="1:12" x14ac:dyDescent="0.2">
      <c r="A385" s="21" t="s">
        <v>2133</v>
      </c>
      <c r="B385" s="21" t="s">
        <v>2277</v>
      </c>
      <c r="C385" s="21" t="s">
        <v>2278</v>
      </c>
      <c r="D385" s="21" t="s">
        <v>2550</v>
      </c>
      <c r="E385" s="21" t="s">
        <v>2551</v>
      </c>
      <c r="F385" s="21" t="s">
        <v>2456</v>
      </c>
      <c r="G385" s="21" t="s">
        <v>2457</v>
      </c>
      <c r="H385" s="21" t="s">
        <v>2135</v>
      </c>
      <c r="I385" s="21">
        <v>14</v>
      </c>
      <c r="J385" s="89">
        <f t="shared" si="10"/>
        <v>1.7766497461928935E-2</v>
      </c>
      <c r="K385" s="94">
        <f>VLOOKUP(H385,'PCT data'!B:K,10,FALSE)</f>
        <v>0.94535377638704965</v>
      </c>
      <c r="L385" s="94">
        <f t="shared" si="11"/>
        <v>1.6795625468805451E-2</v>
      </c>
    </row>
    <row r="386" spans="1:12" x14ac:dyDescent="0.2">
      <c r="A386" s="21" t="s">
        <v>2133</v>
      </c>
      <c r="B386" s="21" t="s">
        <v>2277</v>
      </c>
      <c r="C386" s="21" t="s">
        <v>2278</v>
      </c>
      <c r="D386" s="21" t="s">
        <v>2552</v>
      </c>
      <c r="E386" s="21" t="s">
        <v>2553</v>
      </c>
      <c r="F386" s="21" t="s">
        <v>2458</v>
      </c>
      <c r="G386" s="21" t="s">
        <v>2459</v>
      </c>
      <c r="H386" s="21" t="s">
        <v>2148</v>
      </c>
      <c r="I386" s="21">
        <v>20</v>
      </c>
      <c r="J386" s="89">
        <f t="shared" si="10"/>
        <v>2.5380710659898477E-2</v>
      </c>
      <c r="K386" s="94">
        <f>VLOOKUP(H386,'PCT data'!B:K,10,FALSE)</f>
        <v>0.94535377638704965</v>
      </c>
      <c r="L386" s="94">
        <f t="shared" si="11"/>
        <v>2.3993750669722071E-2</v>
      </c>
    </row>
    <row r="387" spans="1:12" x14ac:dyDescent="0.2">
      <c r="A387" s="21" t="s">
        <v>2133</v>
      </c>
      <c r="B387" s="21" t="s">
        <v>2277</v>
      </c>
      <c r="C387" s="21" t="s">
        <v>2278</v>
      </c>
      <c r="D387" s="21" t="s">
        <v>2554</v>
      </c>
      <c r="E387" s="21" t="s">
        <v>2555</v>
      </c>
      <c r="F387" s="21" t="s">
        <v>2458</v>
      </c>
      <c r="G387" s="21" t="s">
        <v>2459</v>
      </c>
      <c r="H387" s="21" t="s">
        <v>2148</v>
      </c>
      <c r="I387" s="21">
        <v>24</v>
      </c>
      <c r="J387" s="89">
        <f t="shared" ref="J387:J450" si="12">I387/SUMIF(B:B,B387,I:I)</f>
        <v>3.0456852791878174E-2</v>
      </c>
      <c r="K387" s="94">
        <f>VLOOKUP(H387,'PCT data'!B:K,10,FALSE)</f>
        <v>0.94535377638704965</v>
      </c>
      <c r="L387" s="94">
        <f t="shared" ref="L387:L450" si="13">K387*J387</f>
        <v>2.8792500803666486E-2</v>
      </c>
    </row>
    <row r="388" spans="1:12" x14ac:dyDescent="0.2">
      <c r="A388" s="21" t="s">
        <v>2133</v>
      </c>
      <c r="B388" s="21" t="s">
        <v>2277</v>
      </c>
      <c r="C388" s="21" t="s">
        <v>2278</v>
      </c>
      <c r="D388" s="21" t="s">
        <v>2556</v>
      </c>
      <c r="E388" s="21" t="s">
        <v>2557</v>
      </c>
      <c r="F388" s="21" t="s">
        <v>2460</v>
      </c>
      <c r="G388" s="21" t="s">
        <v>2461</v>
      </c>
      <c r="H388" s="21" t="s">
        <v>2148</v>
      </c>
      <c r="I388" s="21">
        <v>24</v>
      </c>
      <c r="J388" s="89">
        <f t="shared" si="12"/>
        <v>3.0456852791878174E-2</v>
      </c>
      <c r="K388" s="94">
        <f>VLOOKUP(H388,'PCT data'!B:K,10,FALSE)</f>
        <v>0.94535377638704965</v>
      </c>
      <c r="L388" s="94">
        <f t="shared" si="13"/>
        <v>2.8792500803666486E-2</v>
      </c>
    </row>
    <row r="389" spans="1:12" x14ac:dyDescent="0.2">
      <c r="A389" s="21" t="s">
        <v>2133</v>
      </c>
      <c r="B389" s="21" t="s">
        <v>2277</v>
      </c>
      <c r="C389" s="21" t="s">
        <v>2278</v>
      </c>
      <c r="D389" s="21" t="s">
        <v>2558</v>
      </c>
      <c r="E389" s="21" t="s">
        <v>2559</v>
      </c>
      <c r="F389" s="21" t="s">
        <v>2462</v>
      </c>
      <c r="G389" s="21" t="s">
        <v>2463</v>
      </c>
      <c r="H389" s="21" t="s">
        <v>2135</v>
      </c>
      <c r="I389" s="21">
        <v>32</v>
      </c>
      <c r="J389" s="89">
        <f t="shared" si="12"/>
        <v>4.060913705583756E-2</v>
      </c>
      <c r="K389" s="94">
        <f>VLOOKUP(H389,'PCT data'!B:K,10,FALSE)</f>
        <v>0.94535377638704965</v>
      </c>
      <c r="L389" s="94">
        <f t="shared" si="13"/>
        <v>3.839000107155531E-2</v>
      </c>
    </row>
    <row r="390" spans="1:12" x14ac:dyDescent="0.2">
      <c r="A390" s="21" t="s">
        <v>2133</v>
      </c>
      <c r="B390" s="21" t="s">
        <v>2277</v>
      </c>
      <c r="C390" s="21" t="s">
        <v>2278</v>
      </c>
      <c r="D390" s="21" t="s">
        <v>2560</v>
      </c>
      <c r="E390" s="21" t="s">
        <v>2561</v>
      </c>
      <c r="F390" s="21" t="s">
        <v>2464</v>
      </c>
      <c r="G390" s="21" t="s">
        <v>1052</v>
      </c>
      <c r="H390" s="21" t="s">
        <v>2138</v>
      </c>
      <c r="I390" s="21">
        <v>33</v>
      </c>
      <c r="J390" s="89">
        <f t="shared" si="12"/>
        <v>4.1878172588832488E-2</v>
      </c>
      <c r="K390" s="94">
        <f>VLOOKUP(H390,'PCT data'!B:K,10,FALSE)</f>
        <v>0.94535377638704965</v>
      </c>
      <c r="L390" s="94">
        <f t="shared" si="13"/>
        <v>3.9589688605041418E-2</v>
      </c>
    </row>
    <row r="391" spans="1:12" x14ac:dyDescent="0.2">
      <c r="A391" s="21" t="s">
        <v>2133</v>
      </c>
      <c r="B391" s="21" t="s">
        <v>2277</v>
      </c>
      <c r="C391" s="21" t="s">
        <v>2278</v>
      </c>
      <c r="D391" s="21" t="s">
        <v>2562</v>
      </c>
      <c r="E391" s="21" t="s">
        <v>2563</v>
      </c>
      <c r="F391" s="21" t="s">
        <v>2465</v>
      </c>
      <c r="G391" s="21" t="s">
        <v>2466</v>
      </c>
      <c r="H391" s="21" t="s">
        <v>2135</v>
      </c>
      <c r="I391" s="21">
        <v>42</v>
      </c>
      <c r="J391" s="89">
        <f t="shared" si="12"/>
        <v>5.3299492385786802E-2</v>
      </c>
      <c r="K391" s="94">
        <f>VLOOKUP(H391,'PCT data'!B:K,10,FALSE)</f>
        <v>0.94535377638704965</v>
      </c>
      <c r="L391" s="94">
        <f t="shared" si="13"/>
        <v>5.0386876406416349E-2</v>
      </c>
    </row>
    <row r="392" spans="1:12" x14ac:dyDescent="0.2">
      <c r="A392" s="21" t="s">
        <v>2133</v>
      </c>
      <c r="B392" s="21" t="s">
        <v>2277</v>
      </c>
      <c r="C392" s="21" t="s">
        <v>2278</v>
      </c>
      <c r="D392" s="21" t="s">
        <v>2564</v>
      </c>
      <c r="E392" s="21" t="s">
        <v>2565</v>
      </c>
      <c r="F392" s="21" t="s">
        <v>2467</v>
      </c>
      <c r="G392" s="21" t="s">
        <v>2468</v>
      </c>
      <c r="H392" s="21" t="s">
        <v>2148</v>
      </c>
      <c r="I392" s="21">
        <v>50</v>
      </c>
      <c r="J392" s="89">
        <f t="shared" si="12"/>
        <v>6.3451776649746189E-2</v>
      </c>
      <c r="K392" s="94">
        <f>VLOOKUP(H392,'PCT data'!B:K,10,FALSE)</f>
        <v>0.94535377638704965</v>
      </c>
      <c r="L392" s="94">
        <f t="shared" si="13"/>
        <v>5.998437667430518E-2</v>
      </c>
    </row>
    <row r="393" spans="1:12" x14ac:dyDescent="0.2">
      <c r="A393" s="21" t="s">
        <v>2133</v>
      </c>
      <c r="B393" s="21" t="s">
        <v>2277</v>
      </c>
      <c r="C393" s="21" t="s">
        <v>2278</v>
      </c>
      <c r="D393" s="21" t="s">
        <v>2566</v>
      </c>
      <c r="E393" s="21" t="s">
        <v>2567</v>
      </c>
      <c r="F393" s="21" t="s">
        <v>2469</v>
      </c>
      <c r="G393" s="21" t="s">
        <v>1052</v>
      </c>
      <c r="H393" s="21" t="s">
        <v>2138</v>
      </c>
      <c r="I393" s="21">
        <v>74</v>
      </c>
      <c r="J393" s="89">
        <f t="shared" si="12"/>
        <v>9.3908629441624369E-2</v>
      </c>
      <c r="K393" s="94">
        <f>VLOOKUP(H393,'PCT data'!B:K,10,FALSE)</f>
        <v>0.94535377638704965</v>
      </c>
      <c r="L393" s="94">
        <f t="shared" si="13"/>
        <v>8.8776877477971666E-2</v>
      </c>
    </row>
    <row r="394" spans="1:12" x14ac:dyDescent="0.2">
      <c r="A394" s="21" t="s">
        <v>2133</v>
      </c>
      <c r="B394" s="21" t="s">
        <v>2277</v>
      </c>
      <c r="C394" s="21" t="s">
        <v>2278</v>
      </c>
      <c r="D394" s="21" t="s">
        <v>2568</v>
      </c>
      <c r="E394" s="21" t="s">
        <v>2569</v>
      </c>
      <c r="F394" s="21" t="s">
        <v>2470</v>
      </c>
      <c r="G394" s="21" t="s">
        <v>2471</v>
      </c>
      <c r="H394" s="21" t="s">
        <v>2138</v>
      </c>
      <c r="I394" s="21">
        <v>90</v>
      </c>
      <c r="J394" s="89">
        <f t="shared" si="12"/>
        <v>0.11421319796954314</v>
      </c>
      <c r="K394" s="94">
        <f>VLOOKUP(H394,'PCT data'!B:K,10,FALSE)</f>
        <v>0.94535377638704965</v>
      </c>
      <c r="L394" s="94">
        <f t="shared" si="13"/>
        <v>0.10797187801374931</v>
      </c>
    </row>
    <row r="395" spans="1:12" x14ac:dyDescent="0.2">
      <c r="A395" s="21" t="s">
        <v>2133</v>
      </c>
      <c r="B395" s="21" t="s">
        <v>2277</v>
      </c>
      <c r="C395" s="21" t="s">
        <v>2278</v>
      </c>
      <c r="D395" s="21" t="s">
        <v>728</v>
      </c>
      <c r="E395" s="21" t="s">
        <v>729</v>
      </c>
      <c r="F395" s="21" t="s">
        <v>2472</v>
      </c>
      <c r="G395" s="21" t="s">
        <v>2473</v>
      </c>
      <c r="H395" s="21" t="s">
        <v>2135</v>
      </c>
      <c r="I395" s="21">
        <v>385</v>
      </c>
      <c r="J395" s="89">
        <f t="shared" si="12"/>
        <v>0.48857868020304568</v>
      </c>
      <c r="K395" s="94">
        <f>VLOOKUP(H395,'PCT data'!B:K,10,FALSE)</f>
        <v>0.94535377638704965</v>
      </c>
      <c r="L395" s="94">
        <f t="shared" si="13"/>
        <v>0.46187970039214987</v>
      </c>
    </row>
    <row r="396" spans="1:12" x14ac:dyDescent="0.2">
      <c r="A396" s="21" t="s">
        <v>2133</v>
      </c>
      <c r="B396" s="21" t="s">
        <v>2782</v>
      </c>
      <c r="C396" s="21" t="s">
        <v>2783</v>
      </c>
      <c r="D396" s="21" t="s">
        <v>2570</v>
      </c>
      <c r="E396" s="21" t="s">
        <v>2571</v>
      </c>
      <c r="F396" s="21" t="s">
        <v>2474</v>
      </c>
      <c r="G396" s="21" t="s">
        <v>2475</v>
      </c>
      <c r="H396" s="21" t="s">
        <v>1406</v>
      </c>
      <c r="I396" s="21">
        <v>329</v>
      </c>
      <c r="J396" s="89">
        <f t="shared" si="12"/>
        <v>0.41279799247176913</v>
      </c>
      <c r="K396" s="94">
        <f>VLOOKUP(H396,'PCT data'!B:K,10,FALSE)</f>
        <v>0.91550049923798604</v>
      </c>
      <c r="L396" s="94">
        <f t="shared" si="13"/>
        <v>0.37791676819234304</v>
      </c>
    </row>
    <row r="397" spans="1:12" x14ac:dyDescent="0.2">
      <c r="A397" s="21" t="s">
        <v>2133</v>
      </c>
      <c r="B397" s="21" t="s">
        <v>2782</v>
      </c>
      <c r="C397" s="21" t="s">
        <v>2783</v>
      </c>
      <c r="D397" s="21" t="s">
        <v>2572</v>
      </c>
      <c r="E397" s="21" t="s">
        <v>2573</v>
      </c>
      <c r="F397" s="21" t="s">
        <v>2476</v>
      </c>
      <c r="G397" s="21" t="s">
        <v>2477</v>
      </c>
      <c r="H397" s="21" t="s">
        <v>2154</v>
      </c>
      <c r="I397" s="21">
        <v>468</v>
      </c>
      <c r="J397" s="89">
        <f t="shared" si="12"/>
        <v>0.58720200752823082</v>
      </c>
      <c r="K397" s="94">
        <f>VLOOKUP(H397,'PCT data'!B:K,10,FALSE)</f>
        <v>0.93540268400402815</v>
      </c>
      <c r="L397" s="94">
        <f t="shared" si="13"/>
        <v>0.54927033389446067</v>
      </c>
    </row>
    <row r="398" spans="1:12" x14ac:dyDescent="0.2">
      <c r="A398" s="21" t="s">
        <v>3496</v>
      </c>
      <c r="B398" s="21" t="s">
        <v>580</v>
      </c>
      <c r="C398" s="21" t="s">
        <v>581</v>
      </c>
      <c r="D398" s="21" t="s">
        <v>2574</v>
      </c>
      <c r="E398" s="21" t="s">
        <v>2575</v>
      </c>
      <c r="F398" s="21" t="s">
        <v>2478</v>
      </c>
      <c r="G398" s="21" t="s">
        <v>2479</v>
      </c>
      <c r="H398" s="21" t="s">
        <v>3498</v>
      </c>
      <c r="I398" s="21">
        <v>43</v>
      </c>
      <c r="J398" s="89">
        <f t="shared" si="12"/>
        <v>4.1425818882466284E-2</v>
      </c>
      <c r="K398" s="94">
        <f>VLOOKUP(H398,'PCT data'!B:K,10,FALSE)</f>
        <v>1.1045712545153963</v>
      </c>
      <c r="L398" s="94">
        <f t="shared" si="13"/>
        <v>4.5757768732333372E-2</v>
      </c>
    </row>
    <row r="399" spans="1:12" x14ac:dyDescent="0.2">
      <c r="A399" s="21" t="s">
        <v>3496</v>
      </c>
      <c r="B399" s="21" t="s">
        <v>580</v>
      </c>
      <c r="C399" s="21" t="s">
        <v>581</v>
      </c>
      <c r="D399" s="21" t="s">
        <v>2576</v>
      </c>
      <c r="E399" s="21" t="s">
        <v>2577</v>
      </c>
      <c r="F399" s="21" t="s">
        <v>2480</v>
      </c>
      <c r="G399" s="21" t="s">
        <v>2481</v>
      </c>
      <c r="H399" s="21" t="s">
        <v>3498</v>
      </c>
      <c r="I399" s="21">
        <v>48</v>
      </c>
      <c r="J399" s="89">
        <f t="shared" si="12"/>
        <v>4.6242774566473986E-2</v>
      </c>
      <c r="K399" s="94">
        <f>VLOOKUP(H399,'PCT data'!B:K,10,FALSE)</f>
        <v>1.1045712545153963</v>
      </c>
      <c r="L399" s="94">
        <f t="shared" si="13"/>
        <v>5.1078439515162832E-2</v>
      </c>
    </row>
    <row r="400" spans="1:12" x14ac:dyDescent="0.2">
      <c r="A400" s="21" t="s">
        <v>3496</v>
      </c>
      <c r="B400" s="21" t="s">
        <v>580</v>
      </c>
      <c r="C400" s="21" t="s">
        <v>581</v>
      </c>
      <c r="D400" s="21" t="s">
        <v>2578</v>
      </c>
      <c r="E400" s="21" t="s">
        <v>2579</v>
      </c>
      <c r="F400" s="21" t="s">
        <v>2482</v>
      </c>
      <c r="G400" s="21" t="s">
        <v>2483</v>
      </c>
      <c r="H400" s="21" t="s">
        <v>3498</v>
      </c>
      <c r="I400" s="21">
        <v>49</v>
      </c>
      <c r="J400" s="89">
        <f t="shared" si="12"/>
        <v>4.7206165703275529E-2</v>
      </c>
      <c r="K400" s="94">
        <f>VLOOKUP(H400,'PCT data'!B:K,10,FALSE)</f>
        <v>1.1045712545153963</v>
      </c>
      <c r="L400" s="94">
        <f t="shared" si="13"/>
        <v>5.2142573671728726E-2</v>
      </c>
    </row>
    <row r="401" spans="1:12" x14ac:dyDescent="0.2">
      <c r="A401" s="21" t="s">
        <v>3496</v>
      </c>
      <c r="B401" s="21" t="s">
        <v>580</v>
      </c>
      <c r="C401" s="21" t="s">
        <v>581</v>
      </c>
      <c r="D401" s="21" t="s">
        <v>2580</v>
      </c>
      <c r="E401" s="21" t="s">
        <v>2581</v>
      </c>
      <c r="F401" s="21" t="s">
        <v>2484</v>
      </c>
      <c r="G401" s="21" t="s">
        <v>2479</v>
      </c>
      <c r="H401" s="21" t="s">
        <v>3498</v>
      </c>
      <c r="I401" s="21">
        <v>68</v>
      </c>
      <c r="J401" s="89">
        <f t="shared" si="12"/>
        <v>6.5510597302504817E-2</v>
      </c>
      <c r="K401" s="94">
        <f>VLOOKUP(H401,'PCT data'!B:K,10,FALSE)</f>
        <v>1.1045712545153963</v>
      </c>
      <c r="L401" s="94">
        <f t="shared" si="13"/>
        <v>7.2361122646480674E-2</v>
      </c>
    </row>
    <row r="402" spans="1:12" x14ac:dyDescent="0.2">
      <c r="A402" s="21" t="s">
        <v>3496</v>
      </c>
      <c r="B402" s="21" t="s">
        <v>580</v>
      </c>
      <c r="C402" s="21" t="s">
        <v>581</v>
      </c>
      <c r="D402" s="21" t="s">
        <v>2582</v>
      </c>
      <c r="E402" s="21" t="s">
        <v>2583</v>
      </c>
      <c r="F402" s="21" t="s">
        <v>2485</v>
      </c>
      <c r="G402" s="21" t="s">
        <v>2079</v>
      </c>
      <c r="H402" s="21" t="s">
        <v>3498</v>
      </c>
      <c r="I402" s="21">
        <v>72</v>
      </c>
      <c r="J402" s="89">
        <f t="shared" si="12"/>
        <v>6.9364161849710976E-2</v>
      </c>
      <c r="K402" s="94">
        <f>VLOOKUP(H402,'PCT data'!B:K,10,FALSE)</f>
        <v>1.1045712545153963</v>
      </c>
      <c r="L402" s="94">
        <f t="shared" si="13"/>
        <v>7.6617659272744248E-2</v>
      </c>
    </row>
    <row r="403" spans="1:12" x14ac:dyDescent="0.2">
      <c r="A403" s="21" t="s">
        <v>3496</v>
      </c>
      <c r="B403" s="21" t="s">
        <v>580</v>
      </c>
      <c r="C403" s="21" t="s">
        <v>581</v>
      </c>
      <c r="D403" s="21" t="s">
        <v>2584</v>
      </c>
      <c r="E403" s="21" t="s">
        <v>2585</v>
      </c>
      <c r="F403" s="21" t="s">
        <v>2486</v>
      </c>
      <c r="G403" s="21" t="s">
        <v>20</v>
      </c>
      <c r="H403" s="21" t="s">
        <v>3498</v>
      </c>
      <c r="I403" s="21">
        <v>92</v>
      </c>
      <c r="J403" s="89">
        <f t="shared" si="12"/>
        <v>8.8631984585741813E-2</v>
      </c>
      <c r="K403" s="94">
        <f>VLOOKUP(H403,'PCT data'!B:K,10,FALSE)</f>
        <v>1.1045712545153963</v>
      </c>
      <c r="L403" s="94">
        <f t="shared" si="13"/>
        <v>9.7900342404062105E-2</v>
      </c>
    </row>
    <row r="404" spans="1:12" x14ac:dyDescent="0.2">
      <c r="A404" s="21" t="s">
        <v>3496</v>
      </c>
      <c r="B404" s="21" t="s">
        <v>580</v>
      </c>
      <c r="C404" s="21" t="s">
        <v>581</v>
      </c>
      <c r="D404" s="21" t="s">
        <v>728</v>
      </c>
      <c r="E404" s="21" t="s">
        <v>729</v>
      </c>
      <c r="F404" s="21" t="s">
        <v>2487</v>
      </c>
      <c r="G404" s="21" t="s">
        <v>2488</v>
      </c>
      <c r="H404" s="21" t="s">
        <v>3498</v>
      </c>
      <c r="I404" s="21">
        <v>666</v>
      </c>
      <c r="J404" s="89">
        <f t="shared" si="12"/>
        <v>0.64161849710982655</v>
      </c>
      <c r="K404" s="94">
        <f>VLOOKUP(H404,'PCT data'!B:K,10,FALSE)</f>
        <v>1.1045712545153963</v>
      </c>
      <c r="L404" s="94">
        <f t="shared" si="13"/>
        <v>0.70871334827288424</v>
      </c>
    </row>
    <row r="405" spans="1:12" x14ac:dyDescent="0.2">
      <c r="A405" s="21" t="s">
        <v>3496</v>
      </c>
      <c r="B405" s="21" t="s">
        <v>1338</v>
      </c>
      <c r="C405" s="21" t="s">
        <v>1339</v>
      </c>
      <c r="D405" s="21" t="s">
        <v>2586</v>
      </c>
      <c r="E405" s="21" t="s">
        <v>2587</v>
      </c>
      <c r="F405" s="21" t="s">
        <v>2489</v>
      </c>
      <c r="G405" s="21" t="s">
        <v>2490</v>
      </c>
      <c r="H405" s="21" t="s">
        <v>3470</v>
      </c>
      <c r="I405" s="21">
        <v>8</v>
      </c>
      <c r="J405" s="89">
        <f t="shared" si="12"/>
        <v>1.2066365007541479E-2</v>
      </c>
      <c r="K405" s="94">
        <f>VLOOKUP(H405,'PCT data'!B:K,10,FALSE)</f>
        <v>1.0747179773663313</v>
      </c>
      <c r="L405" s="94">
        <f t="shared" si="13"/>
        <v>1.2967939395068856E-2</v>
      </c>
    </row>
    <row r="406" spans="1:12" x14ac:dyDescent="0.2">
      <c r="A406" s="21" t="s">
        <v>3496</v>
      </c>
      <c r="B406" s="21" t="s">
        <v>1338</v>
      </c>
      <c r="C406" s="21" t="s">
        <v>1339</v>
      </c>
      <c r="D406" s="21" t="s">
        <v>2588</v>
      </c>
      <c r="E406" s="21" t="s">
        <v>2589</v>
      </c>
      <c r="F406" s="21" t="s">
        <v>2491</v>
      </c>
      <c r="G406" s="21" t="s">
        <v>2492</v>
      </c>
      <c r="H406" s="21" t="s">
        <v>3470</v>
      </c>
      <c r="I406" s="21">
        <v>14</v>
      </c>
      <c r="J406" s="89">
        <f t="shared" si="12"/>
        <v>2.1116138763197588E-2</v>
      </c>
      <c r="K406" s="94">
        <f>VLOOKUP(H406,'PCT data'!B:K,10,FALSE)</f>
        <v>1.0747179773663313</v>
      </c>
      <c r="L406" s="94">
        <f t="shared" si="13"/>
        <v>2.2693893941370499E-2</v>
      </c>
    </row>
    <row r="407" spans="1:12" x14ac:dyDescent="0.2">
      <c r="A407" s="21" t="s">
        <v>3496</v>
      </c>
      <c r="B407" s="21" t="s">
        <v>1338</v>
      </c>
      <c r="C407" s="21" t="s">
        <v>1339</v>
      </c>
      <c r="D407" s="21" t="s">
        <v>2590</v>
      </c>
      <c r="E407" s="21" t="s">
        <v>2591</v>
      </c>
      <c r="F407" s="21" t="s">
        <v>2493</v>
      </c>
      <c r="G407" s="21" t="s">
        <v>76</v>
      </c>
      <c r="H407" s="21" t="s">
        <v>3503</v>
      </c>
      <c r="I407" s="21">
        <v>38</v>
      </c>
      <c r="J407" s="89">
        <f t="shared" si="12"/>
        <v>5.7315233785822019E-2</v>
      </c>
      <c r="K407" s="94">
        <f>VLOOKUP(H407,'PCT data'!B:K,10,FALSE)</f>
        <v>1.0448647002172666</v>
      </c>
      <c r="L407" s="94">
        <f t="shared" si="13"/>
        <v>5.9886664567505472E-2</v>
      </c>
    </row>
    <row r="408" spans="1:12" x14ac:dyDescent="0.2">
      <c r="A408" s="21" t="s">
        <v>3496</v>
      </c>
      <c r="B408" s="21" t="s">
        <v>1338</v>
      </c>
      <c r="C408" s="21" t="s">
        <v>1339</v>
      </c>
      <c r="D408" s="21" t="s">
        <v>2592</v>
      </c>
      <c r="E408" s="21" t="s">
        <v>2593</v>
      </c>
      <c r="F408" s="21" t="s">
        <v>77</v>
      </c>
      <c r="G408" s="21" t="s">
        <v>78</v>
      </c>
      <c r="H408" s="21" t="s">
        <v>3503</v>
      </c>
      <c r="I408" s="21">
        <v>77</v>
      </c>
      <c r="J408" s="89">
        <f t="shared" si="12"/>
        <v>0.11613876319758673</v>
      </c>
      <c r="K408" s="94">
        <f>VLOOKUP(H408,'PCT data'!B:K,10,FALSE)</f>
        <v>1.0448647002172666</v>
      </c>
      <c r="L408" s="94">
        <f t="shared" si="13"/>
        <v>0.12134929399205058</v>
      </c>
    </row>
    <row r="409" spans="1:12" x14ac:dyDescent="0.2">
      <c r="A409" s="21" t="s">
        <v>3496</v>
      </c>
      <c r="B409" s="21" t="s">
        <v>1338</v>
      </c>
      <c r="C409" s="21" t="s">
        <v>1339</v>
      </c>
      <c r="D409" s="21" t="s">
        <v>2594</v>
      </c>
      <c r="E409" s="21" t="s">
        <v>2595</v>
      </c>
      <c r="F409" s="21" t="s">
        <v>2494</v>
      </c>
      <c r="G409" s="21" t="s">
        <v>2495</v>
      </c>
      <c r="H409" s="21" t="s">
        <v>3503</v>
      </c>
      <c r="I409" s="21">
        <v>90</v>
      </c>
      <c r="J409" s="89">
        <f t="shared" si="12"/>
        <v>0.13574660633484162</v>
      </c>
      <c r="K409" s="94">
        <f>VLOOKUP(H409,'PCT data'!B:K,10,FALSE)</f>
        <v>1.0448647002172666</v>
      </c>
      <c r="L409" s="94">
        <f t="shared" si="13"/>
        <v>0.1418368371335656</v>
      </c>
    </row>
    <row r="410" spans="1:12" x14ac:dyDescent="0.2">
      <c r="A410" s="21" t="s">
        <v>3496</v>
      </c>
      <c r="B410" s="21" t="s">
        <v>1338</v>
      </c>
      <c r="C410" s="21" t="s">
        <v>1339</v>
      </c>
      <c r="D410" s="21" t="s">
        <v>2596</v>
      </c>
      <c r="E410" s="21" t="s">
        <v>2597</v>
      </c>
      <c r="F410" s="21" t="s">
        <v>143</v>
      </c>
      <c r="G410" s="21" t="s">
        <v>144</v>
      </c>
      <c r="H410" s="21" t="s">
        <v>3470</v>
      </c>
      <c r="I410" s="21">
        <v>120</v>
      </c>
      <c r="J410" s="89">
        <f t="shared" si="12"/>
        <v>0.18099547511312217</v>
      </c>
      <c r="K410" s="94">
        <f>VLOOKUP(H410,'PCT data'!B:K,10,FALSE)</f>
        <v>1.0747179773663313</v>
      </c>
      <c r="L410" s="94">
        <f t="shared" si="13"/>
        <v>0.19451909092603281</v>
      </c>
    </row>
    <row r="411" spans="1:12" x14ac:dyDescent="0.2">
      <c r="A411" s="21" t="s">
        <v>3496</v>
      </c>
      <c r="B411" s="21" t="s">
        <v>1338</v>
      </c>
      <c r="C411" s="21" t="s">
        <v>1339</v>
      </c>
      <c r="D411" s="21" t="s">
        <v>2598</v>
      </c>
      <c r="E411" s="21" t="s">
        <v>2599</v>
      </c>
      <c r="F411" s="21" t="s">
        <v>2496</v>
      </c>
      <c r="G411" s="21" t="s">
        <v>2497</v>
      </c>
      <c r="H411" s="21" t="s">
        <v>3470</v>
      </c>
      <c r="I411" s="21">
        <v>138</v>
      </c>
      <c r="J411" s="89">
        <f t="shared" si="12"/>
        <v>0.20814479638009051</v>
      </c>
      <c r="K411" s="94">
        <f>VLOOKUP(H411,'PCT data'!B:K,10,FALSE)</f>
        <v>1.0747179773663313</v>
      </c>
      <c r="L411" s="94">
        <f t="shared" si="13"/>
        <v>0.22369695456493777</v>
      </c>
    </row>
    <row r="412" spans="1:12" x14ac:dyDescent="0.2">
      <c r="A412" s="21" t="s">
        <v>3496</v>
      </c>
      <c r="B412" s="21" t="s">
        <v>1338</v>
      </c>
      <c r="C412" s="21" t="s">
        <v>1339</v>
      </c>
      <c r="D412" s="21" t="s">
        <v>728</v>
      </c>
      <c r="E412" s="21" t="s">
        <v>729</v>
      </c>
      <c r="F412" s="21" t="s">
        <v>2498</v>
      </c>
      <c r="G412" s="21" t="s">
        <v>2499</v>
      </c>
      <c r="H412" s="21" t="s">
        <v>3470</v>
      </c>
      <c r="I412" s="21">
        <v>178</v>
      </c>
      <c r="J412" s="89">
        <f t="shared" si="12"/>
        <v>0.26847662141779788</v>
      </c>
      <c r="K412" s="94">
        <f>VLOOKUP(H412,'PCT data'!B:K,10,FALSE)</f>
        <v>1.0747179773663313</v>
      </c>
      <c r="L412" s="94">
        <f t="shared" si="13"/>
        <v>0.28853665154028202</v>
      </c>
    </row>
    <row r="413" spans="1:12" x14ac:dyDescent="0.2">
      <c r="A413" s="21" t="s">
        <v>1167</v>
      </c>
      <c r="B413" s="21" t="s">
        <v>1332</v>
      </c>
      <c r="C413" s="21" t="s">
        <v>1333</v>
      </c>
      <c r="D413" s="21" t="s">
        <v>2600</v>
      </c>
      <c r="E413" s="21" t="s">
        <v>2601</v>
      </c>
      <c r="F413" s="21" t="s">
        <v>2500</v>
      </c>
      <c r="G413" s="21" t="s">
        <v>2501</v>
      </c>
      <c r="H413" s="21" t="s">
        <v>3451</v>
      </c>
      <c r="I413" s="21">
        <v>6</v>
      </c>
      <c r="J413" s="89">
        <f t="shared" si="12"/>
        <v>4.0955631399317407E-3</v>
      </c>
      <c r="K413" s="94">
        <f>VLOOKUP(H413,'PCT data'!B:K,10,FALSE)</f>
        <v>1.2737398250267631</v>
      </c>
      <c r="L413" s="94">
        <f t="shared" si="13"/>
        <v>5.2166818772427159E-3</v>
      </c>
    </row>
    <row r="414" spans="1:12" x14ac:dyDescent="0.2">
      <c r="A414" s="21" t="s">
        <v>1167</v>
      </c>
      <c r="B414" s="21" t="s">
        <v>1332</v>
      </c>
      <c r="C414" s="21" t="s">
        <v>1333</v>
      </c>
      <c r="D414" s="21" t="s">
        <v>2602</v>
      </c>
      <c r="E414" s="21" t="s">
        <v>2603</v>
      </c>
      <c r="F414" s="21" t="s">
        <v>2502</v>
      </c>
      <c r="G414" s="21" t="s">
        <v>2503</v>
      </c>
      <c r="H414" s="21" t="s">
        <v>467</v>
      </c>
      <c r="I414" s="21">
        <v>104</v>
      </c>
      <c r="J414" s="89">
        <f t="shared" si="12"/>
        <v>7.0989761092150175E-2</v>
      </c>
      <c r="K414" s="94">
        <f>VLOOKUP(H414,'PCT data'!B:K,10,FALSE)</f>
        <v>1.2239843631116551</v>
      </c>
      <c r="L414" s="94">
        <f t="shared" si="13"/>
        <v>8.6890357517823993E-2</v>
      </c>
    </row>
    <row r="415" spans="1:12" x14ac:dyDescent="0.2">
      <c r="A415" s="21" t="s">
        <v>1167</v>
      </c>
      <c r="B415" s="21" t="s">
        <v>1332</v>
      </c>
      <c r="C415" s="21" t="s">
        <v>1333</v>
      </c>
      <c r="D415" s="21" t="s">
        <v>2604</v>
      </c>
      <c r="E415" s="21" t="s">
        <v>2605</v>
      </c>
      <c r="F415" s="21" t="s">
        <v>2502</v>
      </c>
      <c r="G415" s="21" t="s">
        <v>2503</v>
      </c>
      <c r="H415" s="21" t="s">
        <v>467</v>
      </c>
      <c r="I415" s="21">
        <v>349</v>
      </c>
      <c r="J415" s="89">
        <f t="shared" si="12"/>
        <v>0.23822525597269625</v>
      </c>
      <c r="K415" s="94">
        <f>VLOOKUP(H415,'PCT data'!B:K,10,FALSE)</f>
        <v>1.2239843631116551</v>
      </c>
      <c r="L415" s="94">
        <f t="shared" si="13"/>
        <v>0.29158398820885162</v>
      </c>
    </row>
    <row r="416" spans="1:12" x14ac:dyDescent="0.2">
      <c r="A416" s="21" t="s">
        <v>1167</v>
      </c>
      <c r="B416" s="21" t="s">
        <v>1332</v>
      </c>
      <c r="C416" s="21" t="s">
        <v>1333</v>
      </c>
      <c r="D416" s="21" t="s">
        <v>2606</v>
      </c>
      <c r="E416" s="21" t="s">
        <v>850</v>
      </c>
      <c r="F416" s="21" t="s">
        <v>2504</v>
      </c>
      <c r="G416" s="21" t="s">
        <v>2505</v>
      </c>
      <c r="H416" s="21" t="s">
        <v>3451</v>
      </c>
      <c r="I416" s="21">
        <v>495</v>
      </c>
      <c r="J416" s="89">
        <f t="shared" si="12"/>
        <v>0.33788395904436858</v>
      </c>
      <c r="K416" s="94">
        <f>VLOOKUP(H416,'PCT data'!B:K,10,FALSE)</f>
        <v>1.2737398250267631</v>
      </c>
      <c r="L416" s="94">
        <f t="shared" si="13"/>
        <v>0.43037625487252401</v>
      </c>
    </row>
    <row r="417" spans="1:12" x14ac:dyDescent="0.2">
      <c r="A417" s="21" t="s">
        <v>1167</v>
      </c>
      <c r="B417" s="21" t="s">
        <v>1332</v>
      </c>
      <c r="C417" s="21" t="s">
        <v>1333</v>
      </c>
      <c r="D417" s="21" t="s">
        <v>2607</v>
      </c>
      <c r="E417" s="21" t="s">
        <v>2608</v>
      </c>
      <c r="F417" s="21" t="s">
        <v>2506</v>
      </c>
      <c r="G417" s="21" t="s">
        <v>2507</v>
      </c>
      <c r="H417" s="21" t="s">
        <v>467</v>
      </c>
      <c r="I417" s="21">
        <v>511</v>
      </c>
      <c r="J417" s="89">
        <f t="shared" si="12"/>
        <v>0.34880546075085322</v>
      </c>
      <c r="K417" s="94">
        <f>VLOOKUP(H417,'PCT data'!B:K,10,FALSE)</f>
        <v>1.2239843631116551</v>
      </c>
      <c r="L417" s="94">
        <f t="shared" si="13"/>
        <v>0.42693242972700052</v>
      </c>
    </row>
    <row r="418" spans="1:12" x14ac:dyDescent="0.2">
      <c r="A418" s="21" t="s">
        <v>1167</v>
      </c>
      <c r="B418" s="21" t="s">
        <v>416</v>
      </c>
      <c r="C418" s="21" t="s">
        <v>417</v>
      </c>
      <c r="D418" s="21" t="s">
        <v>2609</v>
      </c>
      <c r="E418" s="21" t="s">
        <v>2610</v>
      </c>
      <c r="F418" s="21" t="s">
        <v>2508</v>
      </c>
      <c r="G418" s="21" t="s">
        <v>925</v>
      </c>
      <c r="H418" s="21" t="s">
        <v>3464</v>
      </c>
      <c r="I418" s="21">
        <v>18</v>
      </c>
      <c r="J418" s="89">
        <f t="shared" si="12"/>
        <v>4.0449438202247189E-2</v>
      </c>
      <c r="K418" s="94">
        <f>VLOOKUP(H418,'PCT data'!B:K,10,FALSE)</f>
        <v>1.0747179773663313</v>
      </c>
      <c r="L418" s="94">
        <f t="shared" si="13"/>
        <v>4.3471738410323514E-2</v>
      </c>
    </row>
    <row r="419" spans="1:12" x14ac:dyDescent="0.2">
      <c r="A419" s="21" t="s">
        <v>1167</v>
      </c>
      <c r="B419" s="21" t="s">
        <v>416</v>
      </c>
      <c r="C419" s="21" t="s">
        <v>417</v>
      </c>
      <c r="D419" s="21" t="s">
        <v>2611</v>
      </c>
      <c r="E419" s="21" t="s">
        <v>2612</v>
      </c>
      <c r="F419" s="21" t="s">
        <v>2508</v>
      </c>
      <c r="G419" s="21" t="s">
        <v>925</v>
      </c>
      <c r="H419" s="21" t="s">
        <v>3464</v>
      </c>
      <c r="I419" s="21">
        <v>97</v>
      </c>
      <c r="J419" s="89">
        <f t="shared" si="12"/>
        <v>0.21797752808988763</v>
      </c>
      <c r="K419" s="94">
        <f>VLOOKUP(H419,'PCT data'!B:K,10,FALSE)</f>
        <v>1.0747179773663313</v>
      </c>
      <c r="L419" s="94">
        <f t="shared" si="13"/>
        <v>0.2342643681000767</v>
      </c>
    </row>
    <row r="420" spans="1:12" x14ac:dyDescent="0.2">
      <c r="A420" s="21" t="s">
        <v>1167</v>
      </c>
      <c r="B420" s="21" t="s">
        <v>416</v>
      </c>
      <c r="C420" s="21" t="s">
        <v>417</v>
      </c>
      <c r="D420" s="21" t="s">
        <v>2613</v>
      </c>
      <c r="E420" s="21" t="s">
        <v>2614</v>
      </c>
      <c r="F420" s="21" t="s">
        <v>2509</v>
      </c>
      <c r="G420" s="21" t="s">
        <v>2510</v>
      </c>
      <c r="H420" s="21" t="s">
        <v>3494</v>
      </c>
      <c r="I420" s="21">
        <v>19</v>
      </c>
      <c r="J420" s="89">
        <f t="shared" si="12"/>
        <v>4.2696629213483148E-2</v>
      </c>
      <c r="K420" s="94">
        <f>VLOOKUP(H420,'PCT data'!B:K,10,FALSE)</f>
        <v>1.1145223468984178</v>
      </c>
      <c r="L420" s="94">
        <f t="shared" si="13"/>
        <v>4.7586347395662781E-2</v>
      </c>
    </row>
    <row r="421" spans="1:12" x14ac:dyDescent="0.2">
      <c r="A421" s="21" t="s">
        <v>1167</v>
      </c>
      <c r="B421" s="21" t="s">
        <v>416</v>
      </c>
      <c r="C421" s="21" t="s">
        <v>417</v>
      </c>
      <c r="D421" s="21" t="s">
        <v>2615</v>
      </c>
      <c r="E421" s="21" t="s">
        <v>2616</v>
      </c>
      <c r="F421" s="21" t="s">
        <v>2511</v>
      </c>
      <c r="G421" s="21" t="s">
        <v>2512</v>
      </c>
      <c r="H421" s="21" t="s">
        <v>1129</v>
      </c>
      <c r="I421" s="21">
        <v>136</v>
      </c>
      <c r="J421" s="89">
        <f t="shared" si="12"/>
        <v>0.30561797752808989</v>
      </c>
      <c r="K421" s="94">
        <f>VLOOKUP(H421,'PCT data'!B:K,10,FALSE)</f>
        <v>1.0349136078342451</v>
      </c>
      <c r="L421" s="94">
        <f t="shared" si="13"/>
        <v>0.31628820374260075</v>
      </c>
    </row>
    <row r="422" spans="1:12" x14ac:dyDescent="0.2">
      <c r="A422" s="21" t="s">
        <v>1167</v>
      </c>
      <c r="B422" s="21" t="s">
        <v>416</v>
      </c>
      <c r="C422" s="21" t="s">
        <v>417</v>
      </c>
      <c r="D422" s="21" t="s">
        <v>2617</v>
      </c>
      <c r="E422" s="21" t="s">
        <v>2618</v>
      </c>
      <c r="F422" s="21" t="s">
        <v>2513</v>
      </c>
      <c r="G422" s="21" t="s">
        <v>2514</v>
      </c>
      <c r="H422" s="21" t="s">
        <v>3494</v>
      </c>
      <c r="I422" s="21">
        <v>50</v>
      </c>
      <c r="J422" s="89">
        <f t="shared" si="12"/>
        <v>0.11235955056179775</v>
      </c>
      <c r="K422" s="94">
        <f>VLOOKUP(H422,'PCT data'!B:K,10,FALSE)</f>
        <v>1.1145223468984178</v>
      </c>
      <c r="L422" s="94">
        <f t="shared" si="13"/>
        <v>0.12522722998858626</v>
      </c>
    </row>
    <row r="423" spans="1:12" x14ac:dyDescent="0.2">
      <c r="A423" s="21" t="s">
        <v>1167</v>
      </c>
      <c r="B423" s="21" t="s">
        <v>416</v>
      </c>
      <c r="C423" s="21" t="s">
        <v>417</v>
      </c>
      <c r="D423" s="21" t="s">
        <v>2619</v>
      </c>
      <c r="E423" s="21" t="s">
        <v>2620</v>
      </c>
      <c r="F423" s="21" t="s">
        <v>2515</v>
      </c>
      <c r="G423" s="21" t="s">
        <v>925</v>
      </c>
      <c r="H423" s="21" t="s">
        <v>3464</v>
      </c>
      <c r="I423" s="21">
        <v>18</v>
      </c>
      <c r="J423" s="89">
        <f t="shared" si="12"/>
        <v>4.0449438202247189E-2</v>
      </c>
      <c r="K423" s="94">
        <f>VLOOKUP(H423,'PCT data'!B:K,10,FALSE)</f>
        <v>1.0747179773663313</v>
      </c>
      <c r="L423" s="94">
        <f t="shared" si="13"/>
        <v>4.3471738410323514E-2</v>
      </c>
    </row>
    <row r="424" spans="1:12" x14ac:dyDescent="0.2">
      <c r="A424" s="21" t="s">
        <v>1167</v>
      </c>
      <c r="B424" s="21" t="s">
        <v>416</v>
      </c>
      <c r="C424" s="21" t="s">
        <v>417</v>
      </c>
      <c r="D424" s="21" t="s">
        <v>2621</v>
      </c>
      <c r="E424" s="21" t="s">
        <v>2622</v>
      </c>
      <c r="F424" s="21" t="s">
        <v>2516</v>
      </c>
      <c r="G424" s="21" t="s">
        <v>2517</v>
      </c>
      <c r="H424" s="21" t="s">
        <v>3494</v>
      </c>
      <c r="I424" s="21">
        <v>50</v>
      </c>
      <c r="J424" s="89">
        <f t="shared" si="12"/>
        <v>0.11235955056179775</v>
      </c>
      <c r="K424" s="94">
        <f>VLOOKUP(H424,'PCT data'!B:K,10,FALSE)</f>
        <v>1.1145223468984178</v>
      </c>
      <c r="L424" s="94">
        <f t="shared" si="13"/>
        <v>0.12522722998858626</v>
      </c>
    </row>
    <row r="425" spans="1:12" x14ac:dyDescent="0.2">
      <c r="A425" s="21" t="s">
        <v>1167</v>
      </c>
      <c r="B425" s="21" t="s">
        <v>416</v>
      </c>
      <c r="C425" s="21" t="s">
        <v>417</v>
      </c>
      <c r="D425" s="21" t="s">
        <v>2623</v>
      </c>
      <c r="E425" s="21" t="s">
        <v>2624</v>
      </c>
      <c r="F425" s="21" t="s">
        <v>2518</v>
      </c>
      <c r="G425" s="21" t="s">
        <v>2519</v>
      </c>
      <c r="H425" s="21" t="s">
        <v>3464</v>
      </c>
      <c r="I425" s="21">
        <v>18</v>
      </c>
      <c r="J425" s="89">
        <f t="shared" si="12"/>
        <v>4.0449438202247189E-2</v>
      </c>
      <c r="K425" s="94">
        <f>VLOOKUP(H425,'PCT data'!B:K,10,FALSE)</f>
        <v>1.0747179773663313</v>
      </c>
      <c r="L425" s="94">
        <f t="shared" si="13"/>
        <v>4.3471738410323514E-2</v>
      </c>
    </row>
    <row r="426" spans="1:12" x14ac:dyDescent="0.2">
      <c r="A426" s="21" t="s">
        <v>1167</v>
      </c>
      <c r="B426" s="21" t="s">
        <v>416</v>
      </c>
      <c r="C426" s="21" t="s">
        <v>417</v>
      </c>
      <c r="D426" s="21" t="s">
        <v>2625</v>
      </c>
      <c r="E426" s="21" t="s">
        <v>2626</v>
      </c>
      <c r="F426" s="21" t="s">
        <v>2520</v>
      </c>
      <c r="G426" s="21" t="s">
        <v>943</v>
      </c>
      <c r="H426" s="21" t="s">
        <v>3494</v>
      </c>
      <c r="I426" s="21">
        <v>39</v>
      </c>
      <c r="J426" s="89">
        <f t="shared" si="12"/>
        <v>8.7640449438202248E-2</v>
      </c>
      <c r="K426" s="94">
        <f>VLOOKUP(H426,'PCT data'!B:K,10,FALSE)</f>
        <v>1.1145223468984178</v>
      </c>
      <c r="L426" s="94">
        <f t="shared" si="13"/>
        <v>9.7677239391097292E-2</v>
      </c>
    </row>
    <row r="427" spans="1:12" x14ac:dyDescent="0.2">
      <c r="A427" s="21" t="s">
        <v>3496</v>
      </c>
      <c r="B427" s="21" t="s">
        <v>545</v>
      </c>
      <c r="C427" s="21" t="s">
        <v>546</v>
      </c>
      <c r="D427" s="21" t="s">
        <v>728</v>
      </c>
      <c r="E427" s="21" t="s">
        <v>729</v>
      </c>
      <c r="F427" s="21" t="s">
        <v>2521</v>
      </c>
      <c r="G427" s="21" t="s">
        <v>2522</v>
      </c>
      <c r="H427" s="21" t="s">
        <v>3500</v>
      </c>
      <c r="I427" s="21">
        <v>52</v>
      </c>
      <c r="J427" s="89">
        <f t="shared" si="12"/>
        <v>0.83870967741935487</v>
      </c>
      <c r="K427" s="94">
        <f>VLOOKUP(H427,'PCT data'!B:K,10,FALSE)</f>
        <v>1.0747179773663313</v>
      </c>
      <c r="L427" s="94">
        <f t="shared" si="13"/>
        <v>0.90137636811369726</v>
      </c>
    </row>
    <row r="428" spans="1:12" x14ac:dyDescent="0.2">
      <c r="A428" s="21" t="s">
        <v>3496</v>
      </c>
      <c r="B428" s="21" t="s">
        <v>545</v>
      </c>
      <c r="C428" s="21" t="s">
        <v>546</v>
      </c>
      <c r="D428" s="21" t="s">
        <v>2627</v>
      </c>
      <c r="E428" s="21" t="s">
        <v>2628</v>
      </c>
      <c r="F428" s="21" t="s">
        <v>2523</v>
      </c>
      <c r="G428" s="21" t="s">
        <v>2524</v>
      </c>
      <c r="H428" s="21" t="s">
        <v>187</v>
      </c>
      <c r="I428" s="21">
        <v>10</v>
      </c>
      <c r="J428" s="89">
        <f t="shared" si="12"/>
        <v>0.16129032258064516</v>
      </c>
      <c r="K428" s="94">
        <f>VLOOKUP(H428,'PCT data'!B:K,10,FALSE)</f>
        <v>1.0448647002172666</v>
      </c>
      <c r="L428" s="94">
        <f t="shared" si="13"/>
        <v>0.16852656455117204</v>
      </c>
    </row>
    <row r="429" spans="1:12" x14ac:dyDescent="0.2">
      <c r="A429" s="21" t="s">
        <v>3528</v>
      </c>
      <c r="B429" s="21" t="s">
        <v>2341</v>
      </c>
      <c r="C429" s="21" t="s">
        <v>2342</v>
      </c>
      <c r="D429" s="21" t="s">
        <v>728</v>
      </c>
      <c r="E429" s="21" t="s">
        <v>729</v>
      </c>
      <c r="F429" s="21" t="s">
        <v>2525</v>
      </c>
      <c r="G429" s="21" t="s">
        <v>2526</v>
      </c>
      <c r="H429" s="21" t="s">
        <v>3540</v>
      </c>
      <c r="I429" s="21">
        <v>78</v>
      </c>
      <c r="J429" s="89">
        <f t="shared" si="12"/>
        <v>0.19948849104859334</v>
      </c>
      <c r="K429" s="94">
        <f>VLOOKUP(H429,'PCT data'!B:K,10,FALSE)</f>
        <v>1.0150114230682019</v>
      </c>
      <c r="L429" s="94">
        <f t="shared" si="13"/>
        <v>0.20248309718496099</v>
      </c>
    </row>
    <row r="430" spans="1:12" x14ac:dyDescent="0.2">
      <c r="A430" s="21" t="s">
        <v>3528</v>
      </c>
      <c r="B430" s="21" t="s">
        <v>2341</v>
      </c>
      <c r="C430" s="21" t="s">
        <v>2342</v>
      </c>
      <c r="D430" s="21" t="s">
        <v>2629</v>
      </c>
      <c r="E430" s="21" t="s">
        <v>2630</v>
      </c>
      <c r="F430" s="21" t="s">
        <v>2527</v>
      </c>
      <c r="G430" s="21" t="s">
        <v>2528</v>
      </c>
      <c r="H430" s="21" t="s">
        <v>3540</v>
      </c>
      <c r="I430" s="21">
        <v>53</v>
      </c>
      <c r="J430" s="89">
        <f t="shared" si="12"/>
        <v>0.13554987212276215</v>
      </c>
      <c r="K430" s="94">
        <f>VLOOKUP(H430,'PCT data'!B:K,10,FALSE)</f>
        <v>1.0150114230682019</v>
      </c>
      <c r="L430" s="94">
        <f t="shared" si="13"/>
        <v>0.1375846686000376</v>
      </c>
    </row>
    <row r="431" spans="1:12" x14ac:dyDescent="0.2">
      <c r="A431" s="21" t="s">
        <v>3528</v>
      </c>
      <c r="B431" s="21" t="s">
        <v>2341</v>
      </c>
      <c r="C431" s="21" t="s">
        <v>2342</v>
      </c>
      <c r="D431" s="21" t="s">
        <v>2631</v>
      </c>
      <c r="E431" s="21" t="s">
        <v>2632</v>
      </c>
      <c r="F431" s="21" t="s">
        <v>206</v>
      </c>
      <c r="G431" s="21" t="s">
        <v>207</v>
      </c>
      <c r="H431" s="21" t="s">
        <v>3540</v>
      </c>
      <c r="I431" s="21">
        <v>102</v>
      </c>
      <c r="J431" s="89">
        <f t="shared" si="12"/>
        <v>0.2608695652173913</v>
      </c>
      <c r="K431" s="94">
        <f>VLOOKUP(H431,'PCT data'!B:K,10,FALSE)</f>
        <v>1.0150114230682019</v>
      </c>
      <c r="L431" s="94">
        <f t="shared" si="13"/>
        <v>0.26478558862648743</v>
      </c>
    </row>
    <row r="432" spans="1:12" x14ac:dyDescent="0.2">
      <c r="A432" s="21" t="s">
        <v>3528</v>
      </c>
      <c r="B432" s="21" t="s">
        <v>2341</v>
      </c>
      <c r="C432" s="21" t="s">
        <v>2342</v>
      </c>
      <c r="D432" s="21" t="s">
        <v>2633</v>
      </c>
      <c r="E432" s="21" t="s">
        <v>2634</v>
      </c>
      <c r="F432" s="21" t="s">
        <v>208</v>
      </c>
      <c r="G432" s="21" t="s">
        <v>209</v>
      </c>
      <c r="H432" s="21" t="s">
        <v>3540</v>
      </c>
      <c r="I432" s="21">
        <v>53</v>
      </c>
      <c r="J432" s="89">
        <f t="shared" si="12"/>
        <v>0.13554987212276215</v>
      </c>
      <c r="K432" s="94">
        <f>VLOOKUP(H432,'PCT data'!B:K,10,FALSE)</f>
        <v>1.0150114230682019</v>
      </c>
      <c r="L432" s="94">
        <f t="shared" si="13"/>
        <v>0.1375846686000376</v>
      </c>
    </row>
    <row r="433" spans="1:12" x14ac:dyDescent="0.2">
      <c r="A433" s="21" t="s">
        <v>3528</v>
      </c>
      <c r="B433" s="21" t="s">
        <v>2341</v>
      </c>
      <c r="C433" s="21" t="s">
        <v>2342</v>
      </c>
      <c r="D433" s="21" t="s">
        <v>2635</v>
      </c>
      <c r="E433" s="21" t="s">
        <v>2636</v>
      </c>
      <c r="F433" s="21" t="s">
        <v>210</v>
      </c>
      <c r="G433" s="21" t="s">
        <v>211</v>
      </c>
      <c r="H433" s="21" t="s">
        <v>3540</v>
      </c>
      <c r="I433" s="21">
        <v>51</v>
      </c>
      <c r="J433" s="89">
        <f t="shared" si="12"/>
        <v>0.13043478260869565</v>
      </c>
      <c r="K433" s="94">
        <f>VLOOKUP(H433,'PCT data'!B:K,10,FALSE)</f>
        <v>1.0150114230682019</v>
      </c>
      <c r="L433" s="94">
        <f t="shared" si="13"/>
        <v>0.13239279431324372</v>
      </c>
    </row>
    <row r="434" spans="1:12" x14ac:dyDescent="0.2">
      <c r="A434" s="21" t="s">
        <v>3528</v>
      </c>
      <c r="B434" s="21" t="s">
        <v>2341</v>
      </c>
      <c r="C434" s="21" t="s">
        <v>2342</v>
      </c>
      <c r="D434" s="21" t="s">
        <v>2637</v>
      </c>
      <c r="E434" s="21" t="s">
        <v>2638</v>
      </c>
      <c r="F434" s="21" t="s">
        <v>212</v>
      </c>
      <c r="G434" s="21" t="s">
        <v>213</v>
      </c>
      <c r="H434" s="21" t="s">
        <v>3540</v>
      </c>
      <c r="I434" s="21">
        <v>19</v>
      </c>
      <c r="J434" s="89">
        <f t="shared" si="12"/>
        <v>4.859335038363171E-2</v>
      </c>
      <c r="K434" s="94">
        <f>VLOOKUP(H434,'PCT data'!B:K,10,FALSE)</f>
        <v>1.0150114230682019</v>
      </c>
      <c r="L434" s="94">
        <f t="shared" si="13"/>
        <v>4.9322805724541778E-2</v>
      </c>
    </row>
    <row r="435" spans="1:12" x14ac:dyDescent="0.2">
      <c r="A435" s="21" t="s">
        <v>3528</v>
      </c>
      <c r="B435" s="21" t="s">
        <v>2341</v>
      </c>
      <c r="C435" s="21" t="s">
        <v>2342</v>
      </c>
      <c r="D435" s="21" t="s">
        <v>2639</v>
      </c>
      <c r="E435" s="21" t="s">
        <v>2640</v>
      </c>
      <c r="F435" s="21" t="s">
        <v>214</v>
      </c>
      <c r="G435" s="21" t="s">
        <v>215</v>
      </c>
      <c r="H435" s="21" t="s">
        <v>3540</v>
      </c>
      <c r="I435" s="21">
        <v>20</v>
      </c>
      <c r="J435" s="89">
        <f t="shared" si="12"/>
        <v>5.1150895140664961E-2</v>
      </c>
      <c r="K435" s="94">
        <f>VLOOKUP(H435,'PCT data'!B:K,10,FALSE)</f>
        <v>1.0150114230682019</v>
      </c>
      <c r="L435" s="94">
        <f t="shared" si="13"/>
        <v>5.1918742867938718E-2</v>
      </c>
    </row>
    <row r="436" spans="1:12" x14ac:dyDescent="0.2">
      <c r="A436" s="21" t="s">
        <v>3528</v>
      </c>
      <c r="B436" s="21" t="s">
        <v>2341</v>
      </c>
      <c r="C436" s="21" t="s">
        <v>2342</v>
      </c>
      <c r="D436" s="21" t="s">
        <v>2641</v>
      </c>
      <c r="E436" s="21" t="s">
        <v>2642</v>
      </c>
      <c r="F436" s="21" t="s">
        <v>216</v>
      </c>
      <c r="G436" s="21" t="s">
        <v>217</v>
      </c>
      <c r="H436" s="21" t="s">
        <v>3540</v>
      </c>
      <c r="I436" s="21">
        <v>15</v>
      </c>
      <c r="J436" s="89">
        <f t="shared" si="12"/>
        <v>3.8363171355498722E-2</v>
      </c>
      <c r="K436" s="94">
        <f>VLOOKUP(H436,'PCT data'!B:K,10,FALSE)</f>
        <v>1.0150114230682019</v>
      </c>
      <c r="L436" s="94">
        <f t="shared" si="13"/>
        <v>3.893905715095404E-2</v>
      </c>
    </row>
    <row r="437" spans="1:12" x14ac:dyDescent="0.2">
      <c r="A437" s="21" t="s">
        <v>3034</v>
      </c>
      <c r="B437" s="21" t="s">
        <v>361</v>
      </c>
      <c r="C437" s="21" t="s">
        <v>362</v>
      </c>
      <c r="D437" s="21" t="s">
        <v>728</v>
      </c>
      <c r="E437" s="21" t="s">
        <v>729</v>
      </c>
      <c r="F437" s="21" t="s">
        <v>218</v>
      </c>
      <c r="G437" s="21" t="s">
        <v>219</v>
      </c>
      <c r="H437" s="21" t="s">
        <v>3052</v>
      </c>
      <c r="I437" s="21">
        <v>379</v>
      </c>
      <c r="J437" s="89">
        <f t="shared" si="12"/>
        <v>0.86529680365296802</v>
      </c>
      <c r="K437" s="94">
        <f>VLOOKUP(H437,'PCT data'!B:K,10,FALSE)</f>
        <v>0.97520705353611448</v>
      </c>
      <c r="L437" s="94">
        <f t="shared" si="13"/>
        <v>0.84384354632462877</v>
      </c>
    </row>
    <row r="438" spans="1:12" x14ac:dyDescent="0.2">
      <c r="A438" s="21" t="s">
        <v>3034</v>
      </c>
      <c r="B438" s="21" t="s">
        <v>361</v>
      </c>
      <c r="C438" s="21" t="s">
        <v>362</v>
      </c>
      <c r="D438" s="21" t="s">
        <v>2643</v>
      </c>
      <c r="E438" s="21" t="s">
        <v>2644</v>
      </c>
      <c r="F438" s="21" t="s">
        <v>220</v>
      </c>
      <c r="G438" s="21" t="s">
        <v>221</v>
      </c>
      <c r="H438" s="21" t="s">
        <v>3052</v>
      </c>
      <c r="I438" s="21">
        <v>59</v>
      </c>
      <c r="J438" s="89">
        <f t="shared" si="12"/>
        <v>0.13470319634703196</v>
      </c>
      <c r="K438" s="94">
        <f>VLOOKUP(H438,'PCT data'!B:K,10,FALSE)</f>
        <v>0.97520705353611448</v>
      </c>
      <c r="L438" s="94">
        <f t="shared" si="13"/>
        <v>0.13136350721148574</v>
      </c>
    </row>
    <row r="439" spans="1:12" x14ac:dyDescent="0.2">
      <c r="A439" s="21" t="s">
        <v>3528</v>
      </c>
      <c r="B439" s="21" t="s">
        <v>2787</v>
      </c>
      <c r="C439" s="21" t="s">
        <v>2788</v>
      </c>
      <c r="D439" s="21" t="s">
        <v>2645</v>
      </c>
      <c r="E439" s="21" t="s">
        <v>2646</v>
      </c>
      <c r="F439" s="21" t="s">
        <v>222</v>
      </c>
      <c r="G439" s="21" t="s">
        <v>223</v>
      </c>
      <c r="H439" s="21" t="s">
        <v>3559</v>
      </c>
      <c r="I439" s="21">
        <v>24</v>
      </c>
      <c r="J439" s="89">
        <f t="shared" si="12"/>
        <v>0.1095890410958904</v>
      </c>
      <c r="K439" s="94">
        <f>VLOOKUP(H439,'PCT data'!B:K,10,FALSE)</f>
        <v>0.96525596115309287</v>
      </c>
      <c r="L439" s="94">
        <f t="shared" si="13"/>
        <v>0.10578147519485949</v>
      </c>
    </row>
    <row r="440" spans="1:12" x14ac:dyDescent="0.2">
      <c r="A440" s="21" t="s">
        <v>3528</v>
      </c>
      <c r="B440" s="21" t="s">
        <v>2787</v>
      </c>
      <c r="C440" s="21" t="s">
        <v>2788</v>
      </c>
      <c r="D440" s="21" t="s">
        <v>2647</v>
      </c>
      <c r="E440" s="21" t="s">
        <v>2648</v>
      </c>
      <c r="F440" s="21" t="s">
        <v>222</v>
      </c>
      <c r="G440" s="21" t="s">
        <v>223</v>
      </c>
      <c r="H440" s="21" t="s">
        <v>3559</v>
      </c>
      <c r="I440" s="21">
        <v>24</v>
      </c>
      <c r="J440" s="89">
        <f t="shared" si="12"/>
        <v>0.1095890410958904</v>
      </c>
      <c r="K440" s="94">
        <f>VLOOKUP(H440,'PCT data'!B:K,10,FALSE)</f>
        <v>0.96525596115309287</v>
      </c>
      <c r="L440" s="94">
        <f t="shared" si="13"/>
        <v>0.10578147519485949</v>
      </c>
    </row>
    <row r="441" spans="1:12" x14ac:dyDescent="0.2">
      <c r="A441" s="21" t="s">
        <v>3528</v>
      </c>
      <c r="B441" s="21" t="s">
        <v>2787</v>
      </c>
      <c r="C441" s="21" t="s">
        <v>2788</v>
      </c>
      <c r="D441" s="21" t="s">
        <v>2649</v>
      </c>
      <c r="E441" s="21" t="s">
        <v>2650</v>
      </c>
      <c r="F441" s="21" t="s">
        <v>224</v>
      </c>
      <c r="G441" s="21" t="s">
        <v>225</v>
      </c>
      <c r="H441" s="21" t="s">
        <v>3559</v>
      </c>
      <c r="I441" s="21">
        <v>24</v>
      </c>
      <c r="J441" s="89">
        <f t="shared" si="12"/>
        <v>0.1095890410958904</v>
      </c>
      <c r="K441" s="94">
        <f>VLOOKUP(H441,'PCT data'!B:K,10,FALSE)</f>
        <v>0.96525596115309287</v>
      </c>
      <c r="L441" s="94">
        <f t="shared" si="13"/>
        <v>0.10578147519485949</v>
      </c>
    </row>
    <row r="442" spans="1:12" x14ac:dyDescent="0.2">
      <c r="A442" s="21" t="s">
        <v>3528</v>
      </c>
      <c r="B442" s="21" t="s">
        <v>2787</v>
      </c>
      <c r="C442" s="21" t="s">
        <v>2788</v>
      </c>
      <c r="D442" s="21" t="s">
        <v>2651</v>
      </c>
      <c r="E442" s="21" t="s">
        <v>2652</v>
      </c>
      <c r="F442" s="21" t="s">
        <v>226</v>
      </c>
      <c r="G442" s="21" t="s">
        <v>227</v>
      </c>
      <c r="H442" s="21" t="s">
        <v>3559</v>
      </c>
      <c r="I442" s="21">
        <v>38</v>
      </c>
      <c r="J442" s="89">
        <f t="shared" si="12"/>
        <v>0.17351598173515981</v>
      </c>
      <c r="K442" s="94">
        <f>VLOOKUP(H442,'PCT data'!B:K,10,FALSE)</f>
        <v>0.96525596115309287</v>
      </c>
      <c r="L442" s="94">
        <f t="shared" si="13"/>
        <v>0.1674873357251942</v>
      </c>
    </row>
    <row r="443" spans="1:12" x14ac:dyDescent="0.2">
      <c r="A443" s="21" t="s">
        <v>3528</v>
      </c>
      <c r="B443" s="21" t="s">
        <v>2787</v>
      </c>
      <c r="C443" s="21" t="s">
        <v>2788</v>
      </c>
      <c r="D443" s="21" t="s">
        <v>2653</v>
      </c>
      <c r="E443" s="21" t="s">
        <v>2654</v>
      </c>
      <c r="F443" s="21" t="s">
        <v>228</v>
      </c>
      <c r="G443" s="21" t="s">
        <v>229</v>
      </c>
      <c r="H443" s="21" t="s">
        <v>3559</v>
      </c>
      <c r="I443" s="21">
        <v>29</v>
      </c>
      <c r="J443" s="89">
        <f t="shared" si="12"/>
        <v>0.13242009132420091</v>
      </c>
      <c r="K443" s="94">
        <f>VLOOKUP(H443,'PCT data'!B:K,10,FALSE)</f>
        <v>0.96525596115309287</v>
      </c>
      <c r="L443" s="94">
        <f t="shared" si="13"/>
        <v>0.12781928252712188</v>
      </c>
    </row>
    <row r="444" spans="1:12" x14ac:dyDescent="0.2">
      <c r="A444" s="21" t="s">
        <v>3528</v>
      </c>
      <c r="B444" s="21" t="s">
        <v>2787</v>
      </c>
      <c r="C444" s="21" t="s">
        <v>2788</v>
      </c>
      <c r="D444" s="21" t="s">
        <v>2655</v>
      </c>
      <c r="E444" s="21" t="s">
        <v>2656</v>
      </c>
      <c r="F444" s="21" t="s">
        <v>230</v>
      </c>
      <c r="G444" s="21" t="s">
        <v>225</v>
      </c>
      <c r="H444" s="21" t="s">
        <v>3559</v>
      </c>
      <c r="I444" s="21">
        <v>26</v>
      </c>
      <c r="J444" s="89">
        <f t="shared" si="12"/>
        <v>0.11872146118721461</v>
      </c>
      <c r="K444" s="94">
        <f>VLOOKUP(H444,'PCT data'!B:K,10,FALSE)</f>
        <v>0.96525596115309287</v>
      </c>
      <c r="L444" s="94">
        <f t="shared" si="13"/>
        <v>0.11459659812776445</v>
      </c>
    </row>
    <row r="445" spans="1:12" x14ac:dyDescent="0.2">
      <c r="A445" s="21" t="s">
        <v>3528</v>
      </c>
      <c r="B445" s="21" t="s">
        <v>2787</v>
      </c>
      <c r="C445" s="21" t="s">
        <v>2788</v>
      </c>
      <c r="D445" s="21" t="s">
        <v>2657</v>
      </c>
      <c r="E445" s="21" t="s">
        <v>2658</v>
      </c>
      <c r="F445" s="21" t="s">
        <v>231</v>
      </c>
      <c r="G445" s="21" t="s">
        <v>227</v>
      </c>
      <c r="H445" s="21" t="s">
        <v>3559</v>
      </c>
      <c r="I445" s="21">
        <v>44</v>
      </c>
      <c r="J445" s="89">
        <f t="shared" si="12"/>
        <v>0.20091324200913241</v>
      </c>
      <c r="K445" s="94">
        <f>VLOOKUP(H445,'PCT data'!B:K,10,FALSE)</f>
        <v>0.96525596115309287</v>
      </c>
      <c r="L445" s="94">
        <f t="shared" si="13"/>
        <v>0.19393270452390907</v>
      </c>
    </row>
    <row r="446" spans="1:12" x14ac:dyDescent="0.2">
      <c r="A446" s="21" t="s">
        <v>3528</v>
      </c>
      <c r="B446" s="21" t="s">
        <v>2787</v>
      </c>
      <c r="C446" s="21" t="s">
        <v>2788</v>
      </c>
      <c r="D446" s="21" t="s">
        <v>2659</v>
      </c>
      <c r="E446" s="21" t="s">
        <v>2660</v>
      </c>
      <c r="F446" s="21" t="s">
        <v>232</v>
      </c>
      <c r="G446" s="21" t="s">
        <v>233</v>
      </c>
      <c r="H446" s="21" t="s">
        <v>3559</v>
      </c>
      <c r="I446" s="21">
        <v>10</v>
      </c>
      <c r="J446" s="89">
        <f t="shared" si="12"/>
        <v>4.5662100456621002E-2</v>
      </c>
      <c r="K446" s="94">
        <f>VLOOKUP(H446,'PCT data'!B:K,10,FALSE)</f>
        <v>0.96525596115309287</v>
      </c>
      <c r="L446" s="94">
        <f t="shared" si="13"/>
        <v>4.4075614664524788E-2</v>
      </c>
    </row>
    <row r="447" spans="1:12" x14ac:dyDescent="0.2">
      <c r="A447" s="21" t="s">
        <v>3069</v>
      </c>
      <c r="B447" s="21" t="s">
        <v>3680</v>
      </c>
      <c r="C447" s="21" t="s">
        <v>3681</v>
      </c>
      <c r="D447" s="21" t="s">
        <v>728</v>
      </c>
      <c r="E447" s="21" t="s">
        <v>729</v>
      </c>
      <c r="F447" s="21" t="s">
        <v>234</v>
      </c>
      <c r="G447" s="21" t="s">
        <v>235</v>
      </c>
      <c r="H447" s="21" t="s">
        <v>2118</v>
      </c>
      <c r="I447" s="21">
        <v>415</v>
      </c>
      <c r="J447" s="89">
        <f t="shared" si="12"/>
        <v>0.34583333333333333</v>
      </c>
      <c r="K447" s="94">
        <f>VLOOKUP(H447,'PCT data'!B:K,10,FALSE)</f>
        <v>0.91550049923798604</v>
      </c>
      <c r="L447" s="94">
        <f t="shared" si="13"/>
        <v>0.31661058931980351</v>
      </c>
    </row>
    <row r="448" spans="1:12" x14ac:dyDescent="0.2">
      <c r="A448" s="21" t="s">
        <v>3069</v>
      </c>
      <c r="B448" s="21" t="s">
        <v>3680</v>
      </c>
      <c r="C448" s="21" t="s">
        <v>3681</v>
      </c>
      <c r="D448" s="21" t="s">
        <v>2661</v>
      </c>
      <c r="E448" s="21" t="s">
        <v>2662</v>
      </c>
      <c r="F448" s="21" t="s">
        <v>236</v>
      </c>
      <c r="G448" s="21" t="s">
        <v>237</v>
      </c>
      <c r="H448" s="21" t="s">
        <v>3638</v>
      </c>
      <c r="I448" s="21">
        <v>369</v>
      </c>
      <c r="J448" s="89">
        <f t="shared" si="12"/>
        <v>0.3075</v>
      </c>
      <c r="K448" s="94">
        <f>VLOOKUP(H448,'PCT data'!B:K,10,FALSE)</f>
        <v>0.94535377638704965</v>
      </c>
      <c r="L448" s="94">
        <f t="shared" si="13"/>
        <v>0.29069628623901778</v>
      </c>
    </row>
    <row r="449" spans="1:12" x14ac:dyDescent="0.2">
      <c r="A449" s="21" t="s">
        <v>3069</v>
      </c>
      <c r="B449" s="21" t="s">
        <v>3680</v>
      </c>
      <c r="C449" s="21" t="s">
        <v>3681</v>
      </c>
      <c r="D449" s="21" t="s">
        <v>2663</v>
      </c>
      <c r="E449" s="21" t="s">
        <v>2664</v>
      </c>
      <c r="F449" s="21" t="s">
        <v>238</v>
      </c>
      <c r="G449" s="21" t="s">
        <v>239</v>
      </c>
      <c r="H449" s="21" t="s">
        <v>2122</v>
      </c>
      <c r="I449" s="21">
        <v>86</v>
      </c>
      <c r="J449" s="89">
        <f t="shared" si="12"/>
        <v>7.166666666666667E-2</v>
      </c>
      <c r="K449" s="94">
        <f>VLOOKUP(H449,'PCT data'!B:K,10,FALSE)</f>
        <v>0.91550049923798604</v>
      </c>
      <c r="L449" s="94">
        <f t="shared" si="13"/>
        <v>6.5610869112055673E-2</v>
      </c>
    </row>
    <row r="450" spans="1:12" x14ac:dyDescent="0.2">
      <c r="A450" s="21" t="s">
        <v>3069</v>
      </c>
      <c r="B450" s="21" t="s">
        <v>3680</v>
      </c>
      <c r="C450" s="21" t="s">
        <v>3681</v>
      </c>
      <c r="D450" s="21" t="s">
        <v>2665</v>
      </c>
      <c r="E450" s="21" t="s">
        <v>2666</v>
      </c>
      <c r="F450" s="21" t="s">
        <v>240</v>
      </c>
      <c r="G450" s="21" t="s">
        <v>1028</v>
      </c>
      <c r="H450" s="21" t="s">
        <v>2130</v>
      </c>
      <c r="I450" s="21">
        <v>59</v>
      </c>
      <c r="J450" s="89">
        <f t="shared" si="12"/>
        <v>4.9166666666666664E-2</v>
      </c>
      <c r="K450" s="94">
        <f>VLOOKUP(H450,'PCT data'!B:K,10,FALSE)</f>
        <v>0.89559831447194282</v>
      </c>
      <c r="L450" s="94">
        <f t="shared" si="13"/>
        <v>4.4033583794870518E-2</v>
      </c>
    </row>
    <row r="451" spans="1:12" x14ac:dyDescent="0.2">
      <c r="A451" s="21" t="s">
        <v>3069</v>
      </c>
      <c r="B451" s="21" t="s">
        <v>3680</v>
      </c>
      <c r="C451" s="21" t="s">
        <v>3681</v>
      </c>
      <c r="D451" s="21" t="s">
        <v>2667</v>
      </c>
      <c r="E451" s="21" t="s">
        <v>2668</v>
      </c>
      <c r="F451" s="21" t="s">
        <v>241</v>
      </c>
      <c r="G451" s="21" t="s">
        <v>242</v>
      </c>
      <c r="H451" s="21" t="s">
        <v>2118</v>
      </c>
      <c r="I451" s="21">
        <v>72</v>
      </c>
      <c r="J451" s="89">
        <f t="shared" ref="J451:J514" si="14">I451/SUMIF(B:B,B451,I:I)</f>
        <v>0.06</v>
      </c>
      <c r="K451" s="94">
        <f>VLOOKUP(H451,'PCT data'!B:K,10,FALSE)</f>
        <v>0.91550049923798604</v>
      </c>
      <c r="L451" s="94">
        <f t="shared" ref="L451:L514" si="15">K451*J451</f>
        <v>5.4930029954279161E-2</v>
      </c>
    </row>
    <row r="452" spans="1:12" x14ac:dyDescent="0.2">
      <c r="A452" s="21" t="s">
        <v>3069</v>
      </c>
      <c r="B452" s="21" t="s">
        <v>3680</v>
      </c>
      <c r="C452" s="21" t="s">
        <v>3681</v>
      </c>
      <c r="D452" s="21" t="s">
        <v>2669</v>
      </c>
      <c r="E452" s="21" t="s">
        <v>2670</v>
      </c>
      <c r="F452" s="21" t="s">
        <v>243</v>
      </c>
      <c r="G452" s="21" t="s">
        <v>244</v>
      </c>
      <c r="H452" s="21" t="s">
        <v>2118</v>
      </c>
      <c r="I452" s="21">
        <v>83</v>
      </c>
      <c r="J452" s="89">
        <f t="shared" si="14"/>
        <v>6.9166666666666668E-2</v>
      </c>
      <c r="K452" s="94">
        <f>VLOOKUP(H452,'PCT data'!B:K,10,FALSE)</f>
        <v>0.91550049923798604</v>
      </c>
      <c r="L452" s="94">
        <f t="shared" si="15"/>
        <v>6.3322117863960706E-2</v>
      </c>
    </row>
    <row r="453" spans="1:12" x14ac:dyDescent="0.2">
      <c r="A453" s="21" t="s">
        <v>3069</v>
      </c>
      <c r="B453" s="21" t="s">
        <v>3680</v>
      </c>
      <c r="C453" s="21" t="s">
        <v>3681</v>
      </c>
      <c r="D453" s="21" t="s">
        <v>2671</v>
      </c>
      <c r="E453" s="21" t="s">
        <v>2672</v>
      </c>
      <c r="F453" s="21" t="s">
        <v>245</v>
      </c>
      <c r="G453" s="21" t="s">
        <v>235</v>
      </c>
      <c r="H453" s="21" t="s">
        <v>2118</v>
      </c>
      <c r="I453" s="21">
        <v>12</v>
      </c>
      <c r="J453" s="89">
        <f t="shared" si="14"/>
        <v>0.01</v>
      </c>
      <c r="K453" s="94">
        <f>VLOOKUP(H453,'PCT data'!B:K,10,FALSE)</f>
        <v>0.91550049923798604</v>
      </c>
      <c r="L453" s="94">
        <f t="shared" si="15"/>
        <v>9.1550049923798602E-3</v>
      </c>
    </row>
    <row r="454" spans="1:12" x14ac:dyDescent="0.2">
      <c r="A454" s="21" t="s">
        <v>3069</v>
      </c>
      <c r="B454" s="21" t="s">
        <v>3680</v>
      </c>
      <c r="C454" s="21" t="s">
        <v>3681</v>
      </c>
      <c r="D454" s="21" t="s">
        <v>2673</v>
      </c>
      <c r="E454" s="21" t="s">
        <v>2674</v>
      </c>
      <c r="F454" s="21" t="s">
        <v>246</v>
      </c>
      <c r="G454" s="21" t="s">
        <v>247</v>
      </c>
      <c r="H454" s="21" t="s">
        <v>2130</v>
      </c>
      <c r="I454" s="21">
        <v>12</v>
      </c>
      <c r="J454" s="89">
        <f t="shared" si="14"/>
        <v>0.01</v>
      </c>
      <c r="K454" s="94">
        <f>VLOOKUP(H454,'PCT data'!B:K,10,FALSE)</f>
        <v>0.89559831447194282</v>
      </c>
      <c r="L454" s="94">
        <f t="shared" si="15"/>
        <v>8.9559831447194281E-3</v>
      </c>
    </row>
    <row r="455" spans="1:12" x14ac:dyDescent="0.2">
      <c r="A455" s="21" t="s">
        <v>3069</v>
      </c>
      <c r="B455" s="21" t="s">
        <v>3680</v>
      </c>
      <c r="C455" s="21" t="s">
        <v>3681</v>
      </c>
      <c r="D455" s="21" t="s">
        <v>2675</v>
      </c>
      <c r="E455" s="21" t="s">
        <v>2676</v>
      </c>
      <c r="F455" s="21" t="s">
        <v>248</v>
      </c>
      <c r="G455" s="21" t="s">
        <v>249</v>
      </c>
      <c r="H455" s="21" t="s">
        <v>3066</v>
      </c>
      <c r="I455" s="21">
        <v>60</v>
      </c>
      <c r="J455" s="89">
        <f t="shared" si="14"/>
        <v>0.05</v>
      </c>
      <c r="K455" s="94">
        <f>VLOOKUP(H455,'PCT data'!B:K,10,FALSE)</f>
        <v>0.91550049923798604</v>
      </c>
      <c r="L455" s="94">
        <f t="shared" si="15"/>
        <v>4.5775024961899308E-2</v>
      </c>
    </row>
    <row r="456" spans="1:12" x14ac:dyDescent="0.2">
      <c r="A456" s="21" t="s">
        <v>3069</v>
      </c>
      <c r="B456" s="21" t="s">
        <v>3680</v>
      </c>
      <c r="C456" s="21" t="s">
        <v>3681</v>
      </c>
      <c r="D456" s="21" t="s">
        <v>2677</v>
      </c>
      <c r="E456" s="21" t="s">
        <v>2678</v>
      </c>
      <c r="F456" s="21" t="s">
        <v>250</v>
      </c>
      <c r="G456" s="21" t="s">
        <v>251</v>
      </c>
      <c r="H456" s="21" t="s">
        <v>2118</v>
      </c>
      <c r="I456" s="21">
        <v>20</v>
      </c>
      <c r="J456" s="89">
        <f t="shared" si="14"/>
        <v>1.6666666666666666E-2</v>
      </c>
      <c r="K456" s="94">
        <f>VLOOKUP(H456,'PCT data'!B:K,10,FALSE)</f>
        <v>0.91550049923798604</v>
      </c>
      <c r="L456" s="94">
        <f t="shared" si="15"/>
        <v>1.5258341653966433E-2</v>
      </c>
    </row>
    <row r="457" spans="1:12" x14ac:dyDescent="0.2">
      <c r="A457" s="21" t="s">
        <v>3069</v>
      </c>
      <c r="B457" s="21" t="s">
        <v>3680</v>
      </c>
      <c r="C457" s="21" t="s">
        <v>3681</v>
      </c>
      <c r="D457" s="21" t="s">
        <v>2679</v>
      </c>
      <c r="E457" s="21" t="s">
        <v>2680</v>
      </c>
      <c r="F457" s="21" t="s">
        <v>252</v>
      </c>
      <c r="G457" s="21" t="s">
        <v>253</v>
      </c>
      <c r="H457" s="21" t="s">
        <v>2130</v>
      </c>
      <c r="I457" s="21">
        <v>12</v>
      </c>
      <c r="J457" s="89">
        <f t="shared" si="14"/>
        <v>0.01</v>
      </c>
      <c r="K457" s="94">
        <f>VLOOKUP(H457,'PCT data'!B:K,10,FALSE)</f>
        <v>0.89559831447194282</v>
      </c>
      <c r="L457" s="94">
        <f t="shared" si="15"/>
        <v>8.9559831447194281E-3</v>
      </c>
    </row>
    <row r="458" spans="1:12" x14ac:dyDescent="0.2">
      <c r="A458" s="21" t="s">
        <v>191</v>
      </c>
      <c r="B458" s="21" t="s">
        <v>3686</v>
      </c>
      <c r="C458" s="21" t="s">
        <v>3687</v>
      </c>
      <c r="D458" s="21" t="s">
        <v>2681</v>
      </c>
      <c r="E458" s="21" t="s">
        <v>2682</v>
      </c>
      <c r="F458" s="21" t="s">
        <v>254</v>
      </c>
      <c r="G458" s="21" t="s">
        <v>1065</v>
      </c>
      <c r="H458" s="21" t="s">
        <v>201</v>
      </c>
      <c r="I458" s="21">
        <v>3</v>
      </c>
      <c r="J458" s="89">
        <f t="shared" si="14"/>
        <v>0.05</v>
      </c>
      <c r="K458" s="94">
        <f>VLOOKUP(H458,'PCT data'!B:K,10,FALSE)</f>
        <v>0.99510923830215869</v>
      </c>
      <c r="L458" s="94">
        <f t="shared" si="15"/>
        <v>4.9755461915107935E-2</v>
      </c>
    </row>
    <row r="459" spans="1:12" x14ac:dyDescent="0.2">
      <c r="A459" s="21" t="s">
        <v>191</v>
      </c>
      <c r="B459" s="21" t="s">
        <v>3686</v>
      </c>
      <c r="C459" s="21" t="s">
        <v>3687</v>
      </c>
      <c r="D459" s="21" t="s">
        <v>2683</v>
      </c>
      <c r="E459" s="21" t="s">
        <v>2684</v>
      </c>
      <c r="F459" s="21" t="s">
        <v>255</v>
      </c>
      <c r="G459" s="21" t="s">
        <v>16</v>
      </c>
      <c r="H459" s="21" t="s">
        <v>201</v>
      </c>
      <c r="I459" s="21">
        <v>5</v>
      </c>
      <c r="J459" s="89">
        <f t="shared" si="14"/>
        <v>8.3333333333333329E-2</v>
      </c>
      <c r="K459" s="94">
        <f>VLOOKUP(H459,'PCT data'!B:K,10,FALSE)</f>
        <v>0.99510923830215869</v>
      </c>
      <c r="L459" s="94">
        <f t="shared" si="15"/>
        <v>8.2925769858513215E-2</v>
      </c>
    </row>
    <row r="460" spans="1:12" x14ac:dyDescent="0.2">
      <c r="A460" s="21" t="s">
        <v>191</v>
      </c>
      <c r="B460" s="21" t="s">
        <v>3686</v>
      </c>
      <c r="C460" s="21" t="s">
        <v>3687</v>
      </c>
      <c r="D460" s="21" t="s">
        <v>2685</v>
      </c>
      <c r="E460" s="21" t="s">
        <v>2686</v>
      </c>
      <c r="F460" s="21" t="s">
        <v>256</v>
      </c>
      <c r="G460" s="21" t="s">
        <v>257</v>
      </c>
      <c r="H460" s="21" t="s">
        <v>196</v>
      </c>
      <c r="I460" s="21">
        <v>10</v>
      </c>
      <c r="J460" s="89">
        <f t="shared" si="14"/>
        <v>0.16666666666666666</v>
      </c>
      <c r="K460" s="94">
        <f>VLOOKUP(H460,'PCT data'!B:K,10,FALSE)</f>
        <v>1.0747179773663313</v>
      </c>
      <c r="L460" s="94">
        <f t="shared" si="15"/>
        <v>0.17911966289438855</v>
      </c>
    </row>
    <row r="461" spans="1:12" x14ac:dyDescent="0.2">
      <c r="A461" s="21" t="s">
        <v>191</v>
      </c>
      <c r="B461" s="21" t="s">
        <v>3686</v>
      </c>
      <c r="C461" s="21" t="s">
        <v>3687</v>
      </c>
      <c r="D461" s="21" t="s">
        <v>2687</v>
      </c>
      <c r="E461" s="21" t="s">
        <v>2688</v>
      </c>
      <c r="F461" s="21" t="s">
        <v>254</v>
      </c>
      <c r="G461" s="21" t="s">
        <v>1065</v>
      </c>
      <c r="H461" s="21" t="s">
        <v>201</v>
      </c>
      <c r="I461" s="21">
        <v>7</v>
      </c>
      <c r="J461" s="89">
        <f t="shared" si="14"/>
        <v>0.11666666666666667</v>
      </c>
      <c r="K461" s="94">
        <f>VLOOKUP(H461,'PCT data'!B:K,10,FALSE)</f>
        <v>0.99510923830215869</v>
      </c>
      <c r="L461" s="94">
        <f t="shared" si="15"/>
        <v>0.11609607780191851</v>
      </c>
    </row>
    <row r="462" spans="1:12" x14ac:dyDescent="0.2">
      <c r="A462" s="21" t="s">
        <v>191</v>
      </c>
      <c r="B462" s="21" t="s">
        <v>3686</v>
      </c>
      <c r="C462" s="21" t="s">
        <v>3687</v>
      </c>
      <c r="D462" s="21" t="s">
        <v>2689</v>
      </c>
      <c r="E462" s="21" t="s">
        <v>2690</v>
      </c>
      <c r="F462" s="21" t="s">
        <v>254</v>
      </c>
      <c r="G462" s="21" t="s">
        <v>1065</v>
      </c>
      <c r="H462" s="21" t="s">
        <v>201</v>
      </c>
      <c r="I462" s="21">
        <v>7</v>
      </c>
      <c r="J462" s="89">
        <f t="shared" si="14"/>
        <v>0.11666666666666667</v>
      </c>
      <c r="K462" s="94">
        <f>VLOOKUP(H462,'PCT data'!B:K,10,FALSE)</f>
        <v>0.99510923830215869</v>
      </c>
      <c r="L462" s="94">
        <f t="shared" si="15"/>
        <v>0.11609607780191851</v>
      </c>
    </row>
    <row r="463" spans="1:12" x14ac:dyDescent="0.2">
      <c r="A463" s="21" t="s">
        <v>191</v>
      </c>
      <c r="B463" s="21" t="s">
        <v>3686</v>
      </c>
      <c r="C463" s="21" t="s">
        <v>3687</v>
      </c>
      <c r="D463" s="21" t="s">
        <v>2691</v>
      </c>
      <c r="E463" s="21" t="s">
        <v>2692</v>
      </c>
      <c r="F463" s="21" t="s">
        <v>258</v>
      </c>
      <c r="G463" s="21" t="s">
        <v>259</v>
      </c>
      <c r="H463" s="21" t="s">
        <v>3532</v>
      </c>
      <c r="I463" s="21">
        <v>7</v>
      </c>
      <c r="J463" s="89">
        <f t="shared" si="14"/>
        <v>0.11666666666666667</v>
      </c>
      <c r="K463" s="94">
        <f>VLOOKUP(H463,'PCT data'!B:K,10,FALSE)</f>
        <v>0.99510923830215869</v>
      </c>
      <c r="L463" s="94">
        <f t="shared" si="15"/>
        <v>0.11609607780191851</v>
      </c>
    </row>
    <row r="464" spans="1:12" x14ac:dyDescent="0.2">
      <c r="A464" s="21" t="s">
        <v>191</v>
      </c>
      <c r="B464" s="21" t="s">
        <v>3686</v>
      </c>
      <c r="C464" s="21" t="s">
        <v>3687</v>
      </c>
      <c r="D464" s="21" t="s">
        <v>2693</v>
      </c>
      <c r="E464" s="21" t="s">
        <v>2694</v>
      </c>
      <c r="F464" s="21" t="s">
        <v>260</v>
      </c>
      <c r="G464" s="21" t="s">
        <v>261</v>
      </c>
      <c r="H464" s="21" t="s">
        <v>3544</v>
      </c>
      <c r="I464" s="21">
        <v>6</v>
      </c>
      <c r="J464" s="89">
        <f t="shared" si="14"/>
        <v>0.1</v>
      </c>
      <c r="K464" s="94">
        <f>VLOOKUP(H464,'PCT data'!B:K,10,FALSE)</f>
        <v>0.97520705353611448</v>
      </c>
      <c r="L464" s="94">
        <f t="shared" si="15"/>
        <v>9.7520705353611459E-2</v>
      </c>
    </row>
    <row r="465" spans="1:12" x14ac:dyDescent="0.2">
      <c r="A465" s="21" t="s">
        <v>191</v>
      </c>
      <c r="B465" s="21" t="s">
        <v>3686</v>
      </c>
      <c r="C465" s="21" t="s">
        <v>3687</v>
      </c>
      <c r="D465" s="21" t="s">
        <v>2695</v>
      </c>
      <c r="E465" s="21" t="s">
        <v>2696</v>
      </c>
      <c r="F465" s="21" t="s">
        <v>262</v>
      </c>
      <c r="G465" s="21" t="s">
        <v>263</v>
      </c>
      <c r="H465" s="21" t="s">
        <v>3532</v>
      </c>
      <c r="I465" s="21">
        <v>9</v>
      </c>
      <c r="J465" s="89">
        <f t="shared" si="14"/>
        <v>0.15</v>
      </c>
      <c r="K465" s="94">
        <f>VLOOKUP(H465,'PCT data'!B:K,10,FALSE)</f>
        <v>0.99510923830215869</v>
      </c>
      <c r="L465" s="94">
        <f t="shared" si="15"/>
        <v>0.1492663857453238</v>
      </c>
    </row>
    <row r="466" spans="1:12" x14ac:dyDescent="0.2">
      <c r="A466" s="21" t="s">
        <v>191</v>
      </c>
      <c r="B466" s="21" t="s">
        <v>3686</v>
      </c>
      <c r="C466" s="21" t="s">
        <v>3687</v>
      </c>
      <c r="D466" s="21" t="s">
        <v>2697</v>
      </c>
      <c r="E466" s="21" t="s">
        <v>2698</v>
      </c>
      <c r="F466" s="21" t="s">
        <v>264</v>
      </c>
      <c r="G466" s="21" t="s">
        <v>265</v>
      </c>
      <c r="H466" s="21" t="s">
        <v>3532</v>
      </c>
      <c r="I466" s="21">
        <v>6</v>
      </c>
      <c r="J466" s="89">
        <f t="shared" si="14"/>
        <v>0.1</v>
      </c>
      <c r="K466" s="94">
        <f>VLOOKUP(H466,'PCT data'!B:K,10,FALSE)</f>
        <v>0.99510923830215869</v>
      </c>
      <c r="L466" s="94">
        <f t="shared" si="15"/>
        <v>9.9510923830215869E-2</v>
      </c>
    </row>
    <row r="467" spans="1:12" x14ac:dyDescent="0.2">
      <c r="A467" s="21" t="s">
        <v>2975</v>
      </c>
      <c r="B467" s="21" t="s">
        <v>2300</v>
      </c>
      <c r="C467" s="21" t="s">
        <v>2699</v>
      </c>
      <c r="D467" s="21" t="s">
        <v>2700</v>
      </c>
      <c r="E467" s="21" t="s">
        <v>2701</v>
      </c>
      <c r="F467" s="21" t="s">
        <v>266</v>
      </c>
      <c r="G467" s="21" t="s">
        <v>267</v>
      </c>
      <c r="H467" s="21" t="s">
        <v>2984</v>
      </c>
      <c r="I467" s="21">
        <v>195</v>
      </c>
      <c r="J467" s="89">
        <f t="shared" si="14"/>
        <v>0.89861751152073732</v>
      </c>
      <c r="K467" s="94">
        <f>VLOOKUP(H467,'PCT data'!B:K,10,FALSE)</f>
        <v>0.89559831447194282</v>
      </c>
      <c r="L467" s="94">
        <f t="shared" si="15"/>
        <v>0.80480032867294404</v>
      </c>
    </row>
    <row r="468" spans="1:12" x14ac:dyDescent="0.2">
      <c r="A468" s="21" t="s">
        <v>2975</v>
      </c>
      <c r="B468" s="21" t="s">
        <v>2300</v>
      </c>
      <c r="C468" s="21" t="s">
        <v>2699</v>
      </c>
      <c r="D468" s="21" t="s">
        <v>2702</v>
      </c>
      <c r="E468" s="21" t="s">
        <v>2703</v>
      </c>
      <c r="F468" s="21" t="s">
        <v>268</v>
      </c>
      <c r="G468" s="21" t="s">
        <v>269</v>
      </c>
      <c r="H468" s="21" t="s">
        <v>3605</v>
      </c>
      <c r="I468" s="21">
        <v>21</v>
      </c>
      <c r="J468" s="89">
        <f t="shared" si="14"/>
        <v>9.6774193548387094E-2</v>
      </c>
      <c r="K468" s="94">
        <f>VLOOKUP(H468,'PCT data'!B:K,10,FALSE)</f>
        <v>0.90554940685496443</v>
      </c>
      <c r="L468" s="94">
        <f t="shared" si="15"/>
        <v>8.7633813566609459E-2</v>
      </c>
    </row>
    <row r="469" spans="1:12" x14ac:dyDescent="0.2">
      <c r="A469" s="21" t="s">
        <v>2975</v>
      </c>
      <c r="B469" s="21" t="s">
        <v>2300</v>
      </c>
      <c r="C469" s="21" t="s">
        <v>2699</v>
      </c>
      <c r="D469" s="21" t="s">
        <v>2704</v>
      </c>
      <c r="E469" s="21" t="s">
        <v>2705</v>
      </c>
      <c r="F469" s="21" t="s">
        <v>270</v>
      </c>
      <c r="G469" s="21" t="s">
        <v>271</v>
      </c>
      <c r="H469" s="21" t="s">
        <v>2984</v>
      </c>
      <c r="I469" s="21">
        <v>1</v>
      </c>
      <c r="J469" s="89">
        <f t="shared" si="14"/>
        <v>4.608294930875576E-3</v>
      </c>
      <c r="K469" s="94">
        <f>VLOOKUP(H469,'PCT data'!B:K,10,FALSE)</f>
        <v>0.89559831447194282</v>
      </c>
      <c r="L469" s="94">
        <f t="shared" si="15"/>
        <v>4.1271811726817645E-3</v>
      </c>
    </row>
    <row r="470" spans="1:12" x14ac:dyDescent="0.2">
      <c r="A470" s="21" t="s">
        <v>1167</v>
      </c>
      <c r="B470" s="21" t="s">
        <v>678</v>
      </c>
      <c r="C470" s="21" t="s">
        <v>679</v>
      </c>
      <c r="D470" s="21" t="s">
        <v>2706</v>
      </c>
      <c r="E470" s="21" t="s">
        <v>2707</v>
      </c>
      <c r="F470" s="21" t="s">
        <v>934</v>
      </c>
      <c r="G470" s="21" t="s">
        <v>935</v>
      </c>
      <c r="H470" s="21" t="s">
        <v>3397</v>
      </c>
      <c r="I470" s="21">
        <v>94</v>
      </c>
      <c r="J470" s="89">
        <f t="shared" si="14"/>
        <v>8.1739130434782606E-2</v>
      </c>
      <c r="K470" s="94">
        <f>VLOOKUP(H470,'PCT data'!B:K,10,FALSE)</f>
        <v>1.1045712545153963</v>
      </c>
      <c r="L470" s="94">
        <f t="shared" si="15"/>
        <v>9.0286693847345431E-2</v>
      </c>
    </row>
    <row r="471" spans="1:12" x14ac:dyDescent="0.2">
      <c r="A471" s="21" t="s">
        <v>1167</v>
      </c>
      <c r="B471" s="21" t="s">
        <v>678</v>
      </c>
      <c r="C471" s="21" t="s">
        <v>679</v>
      </c>
      <c r="D471" s="21" t="s">
        <v>419</v>
      </c>
      <c r="E471" s="21" t="s">
        <v>420</v>
      </c>
      <c r="F471" s="21" t="s">
        <v>272</v>
      </c>
      <c r="G471" s="21" t="s">
        <v>273</v>
      </c>
      <c r="H471" s="21" t="s">
        <v>481</v>
      </c>
      <c r="I471" s="21">
        <v>40</v>
      </c>
      <c r="J471" s="89">
        <f t="shared" si="14"/>
        <v>3.4782608695652174E-2</v>
      </c>
      <c r="K471" s="94">
        <f>VLOOKUP(H471,'PCT data'!B:K,10,FALSE)</f>
        <v>1.1443756240474725</v>
      </c>
      <c r="L471" s="94">
        <f t="shared" si="15"/>
        <v>3.9804369532085999E-2</v>
      </c>
    </row>
    <row r="472" spans="1:12" x14ac:dyDescent="0.2">
      <c r="A472" s="21" t="s">
        <v>1167</v>
      </c>
      <c r="B472" s="21" t="s">
        <v>678</v>
      </c>
      <c r="C472" s="21" t="s">
        <v>679</v>
      </c>
      <c r="D472" s="21" t="s">
        <v>421</v>
      </c>
      <c r="E472" s="21" t="s">
        <v>422</v>
      </c>
      <c r="F472" s="21" t="s">
        <v>274</v>
      </c>
      <c r="G472" s="21" t="s">
        <v>275</v>
      </c>
      <c r="H472" s="21" t="s">
        <v>194</v>
      </c>
      <c r="I472" s="21">
        <v>453</v>
      </c>
      <c r="J472" s="89">
        <f t="shared" si="14"/>
        <v>0.39391304347826089</v>
      </c>
      <c r="K472" s="94">
        <f>VLOOKUP(H472,'PCT data'!B:K,10,FALSE)</f>
        <v>1.0747179773663313</v>
      </c>
      <c r="L472" s="94">
        <f t="shared" si="15"/>
        <v>0.42334542934517227</v>
      </c>
    </row>
    <row r="473" spans="1:12" x14ac:dyDescent="0.2">
      <c r="A473" s="21" t="s">
        <v>1167</v>
      </c>
      <c r="B473" s="21" t="s">
        <v>678</v>
      </c>
      <c r="C473" s="21" t="s">
        <v>679</v>
      </c>
      <c r="D473" s="21" t="s">
        <v>423</v>
      </c>
      <c r="E473" s="21" t="s">
        <v>424</v>
      </c>
      <c r="F473" s="21" t="s">
        <v>276</v>
      </c>
      <c r="G473" s="21" t="s">
        <v>277</v>
      </c>
      <c r="H473" s="21" t="s">
        <v>3441</v>
      </c>
      <c r="I473" s="21">
        <v>40</v>
      </c>
      <c r="J473" s="89">
        <f t="shared" si="14"/>
        <v>3.4782608695652174E-2</v>
      </c>
      <c r="K473" s="94">
        <f>VLOOKUP(H473,'PCT data'!B:K,10,FALSE)</f>
        <v>1.154326716430494</v>
      </c>
      <c r="L473" s="94">
        <f t="shared" si="15"/>
        <v>4.0150494484538925E-2</v>
      </c>
    </row>
    <row r="474" spans="1:12" x14ac:dyDescent="0.2">
      <c r="A474" s="21" t="s">
        <v>1167</v>
      </c>
      <c r="B474" s="21" t="s">
        <v>678</v>
      </c>
      <c r="C474" s="21" t="s">
        <v>679</v>
      </c>
      <c r="D474" s="21" t="s">
        <v>425</v>
      </c>
      <c r="E474" s="21" t="s">
        <v>426</v>
      </c>
      <c r="F474" s="21" t="s">
        <v>278</v>
      </c>
      <c r="G474" s="21" t="s">
        <v>1101</v>
      </c>
      <c r="H474" s="21" t="s">
        <v>3441</v>
      </c>
      <c r="I474" s="21">
        <v>438</v>
      </c>
      <c r="J474" s="89">
        <f t="shared" si="14"/>
        <v>0.38086956521739129</v>
      </c>
      <c r="K474" s="94">
        <f>VLOOKUP(H474,'PCT data'!B:K,10,FALSE)</f>
        <v>1.154326716430494</v>
      </c>
      <c r="L474" s="94">
        <f t="shared" si="15"/>
        <v>0.43964791460570118</v>
      </c>
    </row>
    <row r="475" spans="1:12" x14ac:dyDescent="0.2">
      <c r="A475" s="21" t="s">
        <v>1167</v>
      </c>
      <c r="B475" s="21" t="s">
        <v>678</v>
      </c>
      <c r="C475" s="21" t="s">
        <v>679</v>
      </c>
      <c r="D475" s="21" t="s">
        <v>427</v>
      </c>
      <c r="E475" s="21" t="s">
        <v>428</v>
      </c>
      <c r="F475" s="21" t="s">
        <v>279</v>
      </c>
      <c r="G475" s="21" t="s">
        <v>2507</v>
      </c>
      <c r="H475" s="21" t="s">
        <v>467</v>
      </c>
      <c r="I475" s="21">
        <v>85</v>
      </c>
      <c r="J475" s="89">
        <f t="shared" si="14"/>
        <v>7.3913043478260873E-2</v>
      </c>
      <c r="K475" s="94">
        <f>VLOOKUP(H475,'PCT data'!B:K,10,FALSE)</f>
        <v>1.2239843631116551</v>
      </c>
      <c r="L475" s="94">
        <f t="shared" si="15"/>
        <v>9.0468409447383213E-2</v>
      </c>
    </row>
    <row r="476" spans="1:12" x14ac:dyDescent="0.2">
      <c r="A476" s="21" t="s">
        <v>1127</v>
      </c>
      <c r="B476" s="21" t="s">
        <v>407</v>
      </c>
      <c r="C476" s="21" t="s">
        <v>408</v>
      </c>
      <c r="D476" s="21" t="s">
        <v>728</v>
      </c>
      <c r="E476" s="21" t="s">
        <v>729</v>
      </c>
      <c r="F476" s="21" t="s">
        <v>280</v>
      </c>
      <c r="G476" s="21" t="s">
        <v>281</v>
      </c>
      <c r="H476" s="21" t="s">
        <v>1140</v>
      </c>
      <c r="I476" s="21">
        <v>8</v>
      </c>
      <c r="J476" s="89">
        <f t="shared" si="14"/>
        <v>1.3445378151260505E-2</v>
      </c>
      <c r="K476" s="94">
        <f>VLOOKUP(H476,'PCT data'!B:K,10,FALSE)</f>
        <v>0.92545159162100765</v>
      </c>
      <c r="L476" s="94">
        <f t="shared" si="15"/>
        <v>1.2443046610030355E-2</v>
      </c>
    </row>
    <row r="477" spans="1:12" x14ac:dyDescent="0.2">
      <c r="A477" s="21" t="s">
        <v>1127</v>
      </c>
      <c r="B477" s="21" t="s">
        <v>407</v>
      </c>
      <c r="C477" s="21" t="s">
        <v>408</v>
      </c>
      <c r="D477" s="21" t="s">
        <v>429</v>
      </c>
      <c r="E477" s="21" t="s">
        <v>430</v>
      </c>
      <c r="F477" s="21" t="s">
        <v>280</v>
      </c>
      <c r="G477" s="21" t="s">
        <v>281</v>
      </c>
      <c r="H477" s="21" t="s">
        <v>1140</v>
      </c>
      <c r="I477" s="21">
        <v>101</v>
      </c>
      <c r="J477" s="89">
        <f t="shared" si="14"/>
        <v>0.16974789915966387</v>
      </c>
      <c r="K477" s="94">
        <f>VLOOKUP(H477,'PCT data'!B:K,10,FALSE)</f>
        <v>0.92545159162100765</v>
      </c>
      <c r="L477" s="94">
        <f t="shared" si="15"/>
        <v>0.15709346345163325</v>
      </c>
    </row>
    <row r="478" spans="1:12" x14ac:dyDescent="0.2">
      <c r="A478" s="21" t="s">
        <v>1127</v>
      </c>
      <c r="B478" s="21" t="s">
        <v>407</v>
      </c>
      <c r="C478" s="21" t="s">
        <v>408</v>
      </c>
      <c r="D478" s="21" t="s">
        <v>431</v>
      </c>
      <c r="E478" s="21" t="s">
        <v>432</v>
      </c>
      <c r="F478" s="21" t="s">
        <v>282</v>
      </c>
      <c r="G478" s="21" t="s">
        <v>283</v>
      </c>
      <c r="H478" s="21" t="s">
        <v>1140</v>
      </c>
      <c r="I478" s="21">
        <v>80</v>
      </c>
      <c r="J478" s="89">
        <f t="shared" si="14"/>
        <v>0.13445378151260504</v>
      </c>
      <c r="K478" s="94">
        <f>VLOOKUP(H478,'PCT data'!B:K,10,FALSE)</f>
        <v>0.92545159162100765</v>
      </c>
      <c r="L478" s="94">
        <f t="shared" si="15"/>
        <v>0.12443046610030355</v>
      </c>
    </row>
    <row r="479" spans="1:12" x14ac:dyDescent="0.2">
      <c r="A479" s="21" t="s">
        <v>1127</v>
      </c>
      <c r="B479" s="21" t="s">
        <v>407</v>
      </c>
      <c r="C479" s="21" t="s">
        <v>408</v>
      </c>
      <c r="D479" s="21" t="s">
        <v>433</v>
      </c>
      <c r="E479" s="21" t="s">
        <v>434</v>
      </c>
      <c r="F479" s="21" t="s">
        <v>284</v>
      </c>
      <c r="G479" s="21" t="s">
        <v>285</v>
      </c>
      <c r="H479" s="21" t="s">
        <v>1147</v>
      </c>
      <c r="I479" s="21">
        <v>29</v>
      </c>
      <c r="J479" s="89">
        <f t="shared" si="14"/>
        <v>4.8739495798319328E-2</v>
      </c>
      <c r="K479" s="94">
        <f>VLOOKUP(H479,'PCT data'!B:K,10,FALSE)</f>
        <v>0.91550049923798604</v>
      </c>
      <c r="L479" s="94">
        <f t="shared" si="15"/>
        <v>4.4621032735969068E-2</v>
      </c>
    </row>
    <row r="480" spans="1:12" x14ac:dyDescent="0.2">
      <c r="A480" s="21" t="s">
        <v>1127</v>
      </c>
      <c r="B480" s="21" t="s">
        <v>407</v>
      </c>
      <c r="C480" s="21" t="s">
        <v>408</v>
      </c>
      <c r="D480" s="21" t="s">
        <v>435</v>
      </c>
      <c r="E480" s="21" t="s">
        <v>436</v>
      </c>
      <c r="F480" s="21" t="s">
        <v>286</v>
      </c>
      <c r="G480" s="21" t="s">
        <v>287</v>
      </c>
      <c r="H480" s="21" t="s">
        <v>1140</v>
      </c>
      <c r="I480" s="21">
        <v>49</v>
      </c>
      <c r="J480" s="89">
        <f t="shared" si="14"/>
        <v>8.2352941176470587E-2</v>
      </c>
      <c r="K480" s="94">
        <f>VLOOKUP(H480,'PCT data'!B:K,10,FALSE)</f>
        <v>0.92545159162100765</v>
      </c>
      <c r="L480" s="94">
        <f t="shared" si="15"/>
        <v>7.6213660486435922E-2</v>
      </c>
    </row>
    <row r="481" spans="1:12" x14ac:dyDescent="0.2">
      <c r="A481" s="21" t="s">
        <v>1127</v>
      </c>
      <c r="B481" s="21" t="s">
        <v>407</v>
      </c>
      <c r="C481" s="21" t="s">
        <v>408</v>
      </c>
      <c r="D481" s="21" t="s">
        <v>437</v>
      </c>
      <c r="E481" s="21" t="s">
        <v>438</v>
      </c>
      <c r="F481" s="21" t="s">
        <v>288</v>
      </c>
      <c r="G481" s="21" t="s">
        <v>289</v>
      </c>
      <c r="H481" s="21" t="s">
        <v>1147</v>
      </c>
      <c r="I481" s="21">
        <v>75</v>
      </c>
      <c r="J481" s="89">
        <f t="shared" si="14"/>
        <v>0.12605042016806722</v>
      </c>
      <c r="K481" s="94">
        <f>VLOOKUP(H481,'PCT data'!B:K,10,FALSE)</f>
        <v>0.91550049923798604</v>
      </c>
      <c r="L481" s="94">
        <f t="shared" si="15"/>
        <v>0.11539922259302345</v>
      </c>
    </row>
    <row r="482" spans="1:12" x14ac:dyDescent="0.2">
      <c r="A482" s="21" t="s">
        <v>1127</v>
      </c>
      <c r="B482" s="21" t="s">
        <v>407</v>
      </c>
      <c r="C482" s="21" t="s">
        <v>408</v>
      </c>
      <c r="D482" s="21" t="s">
        <v>439</v>
      </c>
      <c r="E482" s="21" t="s">
        <v>440</v>
      </c>
      <c r="F482" s="21" t="s">
        <v>290</v>
      </c>
      <c r="G482" s="21" t="s">
        <v>287</v>
      </c>
      <c r="H482" s="21" t="s">
        <v>1140</v>
      </c>
      <c r="I482" s="21">
        <v>16</v>
      </c>
      <c r="J482" s="89">
        <f t="shared" si="14"/>
        <v>2.689075630252101E-2</v>
      </c>
      <c r="K482" s="94">
        <f>VLOOKUP(H482,'PCT data'!B:K,10,FALSE)</f>
        <v>0.92545159162100765</v>
      </c>
      <c r="L482" s="94">
        <f t="shared" si="15"/>
        <v>2.4886093220060711E-2</v>
      </c>
    </row>
    <row r="483" spans="1:12" x14ac:dyDescent="0.2">
      <c r="A483" s="21" t="s">
        <v>1127</v>
      </c>
      <c r="B483" s="21" t="s">
        <v>407</v>
      </c>
      <c r="C483" s="21" t="s">
        <v>408</v>
      </c>
      <c r="D483" s="21" t="s">
        <v>441</v>
      </c>
      <c r="E483" s="21" t="s">
        <v>442</v>
      </c>
      <c r="F483" s="21" t="s">
        <v>883</v>
      </c>
      <c r="G483" s="21" t="s">
        <v>884</v>
      </c>
      <c r="H483" s="21" t="s">
        <v>1140</v>
      </c>
      <c r="I483" s="21">
        <v>24</v>
      </c>
      <c r="J483" s="89">
        <f t="shared" si="14"/>
        <v>4.0336134453781515E-2</v>
      </c>
      <c r="K483" s="94">
        <f>VLOOKUP(H483,'PCT data'!B:K,10,FALSE)</f>
        <v>0.92545159162100765</v>
      </c>
      <c r="L483" s="94">
        <f t="shared" si="15"/>
        <v>3.732913983009107E-2</v>
      </c>
    </row>
    <row r="484" spans="1:12" x14ac:dyDescent="0.2">
      <c r="A484" s="21" t="s">
        <v>1127</v>
      </c>
      <c r="B484" s="21" t="s">
        <v>407</v>
      </c>
      <c r="C484" s="21" t="s">
        <v>408</v>
      </c>
      <c r="D484" s="21" t="s">
        <v>443</v>
      </c>
      <c r="E484" s="21" t="s">
        <v>444</v>
      </c>
      <c r="F484" s="21" t="s">
        <v>291</v>
      </c>
      <c r="G484" s="21" t="s">
        <v>292</v>
      </c>
      <c r="H484" s="21" t="s">
        <v>1140</v>
      </c>
      <c r="I484" s="21">
        <v>36</v>
      </c>
      <c r="J484" s="89">
        <f t="shared" si="14"/>
        <v>6.0504201680672269E-2</v>
      </c>
      <c r="K484" s="94">
        <f>VLOOKUP(H484,'PCT data'!B:K,10,FALSE)</f>
        <v>0.92545159162100765</v>
      </c>
      <c r="L484" s="94">
        <f t="shared" si="15"/>
        <v>5.5993709745136601E-2</v>
      </c>
    </row>
    <row r="485" spans="1:12" x14ac:dyDescent="0.2">
      <c r="A485" s="21" t="s">
        <v>2975</v>
      </c>
      <c r="B485" s="21" t="s">
        <v>9</v>
      </c>
      <c r="C485" s="21" t="s">
        <v>10</v>
      </c>
      <c r="D485" s="21" t="s">
        <v>728</v>
      </c>
      <c r="E485" s="21" t="s">
        <v>729</v>
      </c>
      <c r="F485" s="21" t="s">
        <v>293</v>
      </c>
      <c r="G485" s="21" t="s">
        <v>294</v>
      </c>
      <c r="H485" s="21" t="s">
        <v>2994</v>
      </c>
      <c r="I485" s="21">
        <v>5</v>
      </c>
      <c r="J485" s="89">
        <f t="shared" si="14"/>
        <v>3.1055900621118012E-2</v>
      </c>
      <c r="K485" s="94">
        <f>VLOOKUP(H485,'PCT data'!B:K,10,FALSE)</f>
        <v>1.0150114230682019</v>
      </c>
      <c r="L485" s="94">
        <f t="shared" si="15"/>
        <v>3.1522093884105651E-2</v>
      </c>
    </row>
    <row r="486" spans="1:12" x14ac:dyDescent="0.2">
      <c r="A486" s="21" t="s">
        <v>2975</v>
      </c>
      <c r="B486" s="21" t="s">
        <v>9</v>
      </c>
      <c r="C486" s="21" t="s">
        <v>10</v>
      </c>
      <c r="D486" s="21" t="s">
        <v>445</v>
      </c>
      <c r="E486" s="21" t="s">
        <v>446</v>
      </c>
      <c r="F486" s="21" t="s">
        <v>293</v>
      </c>
      <c r="G486" s="21" t="s">
        <v>294</v>
      </c>
      <c r="H486" s="21" t="s">
        <v>2994</v>
      </c>
      <c r="I486" s="21">
        <v>82</v>
      </c>
      <c r="J486" s="89">
        <f t="shared" si="14"/>
        <v>0.50931677018633537</v>
      </c>
      <c r="K486" s="94">
        <f>VLOOKUP(H486,'PCT data'!B:K,10,FALSE)</f>
        <v>1.0150114230682019</v>
      </c>
      <c r="L486" s="94">
        <f t="shared" si="15"/>
        <v>0.51696233969933258</v>
      </c>
    </row>
    <row r="487" spans="1:12" x14ac:dyDescent="0.2">
      <c r="A487" s="21" t="s">
        <v>2975</v>
      </c>
      <c r="B487" s="21" t="s">
        <v>9</v>
      </c>
      <c r="C487" s="21" t="s">
        <v>10</v>
      </c>
      <c r="D487" s="21" t="s">
        <v>3737</v>
      </c>
      <c r="E487" s="21" t="s">
        <v>3738</v>
      </c>
      <c r="F487" s="21" t="s">
        <v>3258</v>
      </c>
      <c r="G487" s="21" t="s">
        <v>3259</v>
      </c>
      <c r="H487" s="21" t="s">
        <v>2994</v>
      </c>
      <c r="I487" s="21">
        <v>16</v>
      </c>
      <c r="J487" s="89">
        <f t="shared" si="14"/>
        <v>9.9378881987577633E-2</v>
      </c>
      <c r="K487" s="94">
        <f>VLOOKUP(H487,'PCT data'!B:K,10,FALSE)</f>
        <v>1.0150114230682019</v>
      </c>
      <c r="L487" s="94">
        <f t="shared" si="15"/>
        <v>0.10087070042913807</v>
      </c>
    </row>
    <row r="488" spans="1:12" x14ac:dyDescent="0.2">
      <c r="A488" s="21" t="s">
        <v>2975</v>
      </c>
      <c r="B488" s="21" t="s">
        <v>9</v>
      </c>
      <c r="C488" s="21" t="s">
        <v>10</v>
      </c>
      <c r="D488" s="21" t="s">
        <v>3739</v>
      </c>
      <c r="E488" s="21" t="s">
        <v>3740</v>
      </c>
      <c r="F488" s="21" t="s">
        <v>29</v>
      </c>
      <c r="G488" s="21" t="s">
        <v>30</v>
      </c>
      <c r="H488" s="21" t="s">
        <v>2994</v>
      </c>
      <c r="I488" s="21">
        <v>28</v>
      </c>
      <c r="J488" s="89">
        <f t="shared" si="14"/>
        <v>0.17391304347826086</v>
      </c>
      <c r="K488" s="94">
        <f>VLOOKUP(H488,'PCT data'!B:K,10,FALSE)</f>
        <v>1.0150114230682019</v>
      </c>
      <c r="L488" s="94">
        <f t="shared" si="15"/>
        <v>0.17652372575099162</v>
      </c>
    </row>
    <row r="489" spans="1:12" x14ac:dyDescent="0.2">
      <c r="A489" s="21" t="s">
        <v>2975</v>
      </c>
      <c r="B489" s="21" t="s">
        <v>9</v>
      </c>
      <c r="C489" s="21" t="s">
        <v>10</v>
      </c>
      <c r="D489" s="21" t="s">
        <v>3741</v>
      </c>
      <c r="E489" s="21" t="s">
        <v>3742</v>
      </c>
      <c r="F489" s="21" t="s">
        <v>295</v>
      </c>
      <c r="G489" s="21" t="s">
        <v>296</v>
      </c>
      <c r="H489" s="21" t="s">
        <v>2994</v>
      </c>
      <c r="I489" s="21">
        <v>20</v>
      </c>
      <c r="J489" s="89">
        <f t="shared" si="14"/>
        <v>0.12422360248447205</v>
      </c>
      <c r="K489" s="94">
        <f>VLOOKUP(H489,'PCT data'!B:K,10,FALSE)</f>
        <v>1.0150114230682019</v>
      </c>
      <c r="L489" s="94">
        <f t="shared" si="15"/>
        <v>0.1260883755364226</v>
      </c>
    </row>
    <row r="490" spans="1:12" x14ac:dyDescent="0.2">
      <c r="A490" s="21" t="s">
        <v>2975</v>
      </c>
      <c r="B490" s="21" t="s">
        <v>9</v>
      </c>
      <c r="C490" s="21" t="s">
        <v>10</v>
      </c>
      <c r="D490" s="21" t="s">
        <v>3743</v>
      </c>
      <c r="E490" s="21" t="s">
        <v>3744</v>
      </c>
      <c r="F490" s="21" t="s">
        <v>27</v>
      </c>
      <c r="G490" s="21" t="s">
        <v>28</v>
      </c>
      <c r="H490" s="21" t="s">
        <v>2994</v>
      </c>
      <c r="I490" s="21">
        <v>10</v>
      </c>
      <c r="J490" s="89">
        <f t="shared" si="14"/>
        <v>6.2111801242236024E-2</v>
      </c>
      <c r="K490" s="94">
        <f>VLOOKUP(H490,'PCT data'!B:K,10,FALSE)</f>
        <v>1.0150114230682019</v>
      </c>
      <c r="L490" s="94">
        <f t="shared" si="15"/>
        <v>6.3044187768211302E-2</v>
      </c>
    </row>
    <row r="491" spans="1:12" x14ac:dyDescent="0.2">
      <c r="A491" s="21" t="s">
        <v>191</v>
      </c>
      <c r="B491" s="21" t="s">
        <v>3684</v>
      </c>
      <c r="C491" s="21" t="s">
        <v>3685</v>
      </c>
      <c r="D491" s="21" t="s">
        <v>3745</v>
      </c>
      <c r="E491" s="21" t="s">
        <v>3746</v>
      </c>
      <c r="F491" s="21" t="s">
        <v>297</v>
      </c>
      <c r="G491" s="21" t="s">
        <v>14</v>
      </c>
      <c r="H491" s="21" t="s">
        <v>201</v>
      </c>
      <c r="I491" s="21">
        <v>17</v>
      </c>
      <c r="J491" s="89">
        <f t="shared" si="14"/>
        <v>4.5454545454545456E-2</v>
      </c>
      <c r="K491" s="94">
        <f>VLOOKUP(H491,'PCT data'!B:K,10,FALSE)</f>
        <v>0.99510923830215869</v>
      </c>
      <c r="L491" s="94">
        <f t="shared" si="15"/>
        <v>4.523223810464358E-2</v>
      </c>
    </row>
    <row r="492" spans="1:12" x14ac:dyDescent="0.2">
      <c r="A492" s="21" t="s">
        <v>191</v>
      </c>
      <c r="B492" s="21" t="s">
        <v>3684</v>
      </c>
      <c r="C492" s="21" t="s">
        <v>3685</v>
      </c>
      <c r="D492" s="21" t="s">
        <v>3747</v>
      </c>
      <c r="E492" s="21" t="s">
        <v>3748</v>
      </c>
      <c r="F492" s="21" t="s">
        <v>298</v>
      </c>
      <c r="G492" s="21" t="s">
        <v>299</v>
      </c>
      <c r="H492" s="21" t="s">
        <v>201</v>
      </c>
      <c r="I492" s="21">
        <v>144</v>
      </c>
      <c r="J492" s="89">
        <f t="shared" si="14"/>
        <v>0.38502673796791442</v>
      </c>
      <c r="K492" s="94">
        <f>VLOOKUP(H492,'PCT data'!B:K,10,FALSE)</f>
        <v>0.99510923830215869</v>
      </c>
      <c r="L492" s="94">
        <f t="shared" si="15"/>
        <v>0.38314366394521615</v>
      </c>
    </row>
    <row r="493" spans="1:12" x14ac:dyDescent="0.2">
      <c r="A493" s="21" t="s">
        <v>191</v>
      </c>
      <c r="B493" s="21" t="s">
        <v>3684</v>
      </c>
      <c r="C493" s="21" t="s">
        <v>3685</v>
      </c>
      <c r="D493" s="21" t="s">
        <v>3749</v>
      </c>
      <c r="E493" s="21" t="s">
        <v>3750</v>
      </c>
      <c r="F493" s="21" t="s">
        <v>300</v>
      </c>
      <c r="G493" s="21" t="s">
        <v>1065</v>
      </c>
      <c r="H493" s="21" t="s">
        <v>201</v>
      </c>
      <c r="I493" s="21">
        <v>70</v>
      </c>
      <c r="J493" s="89">
        <f t="shared" si="14"/>
        <v>0.18716577540106952</v>
      </c>
      <c r="K493" s="94">
        <f>VLOOKUP(H493,'PCT data'!B:K,10,FALSE)</f>
        <v>0.99510923830215869</v>
      </c>
      <c r="L493" s="94">
        <f t="shared" si="15"/>
        <v>0.1862503921955912</v>
      </c>
    </row>
    <row r="494" spans="1:12" x14ac:dyDescent="0.2">
      <c r="A494" s="21" t="s">
        <v>191</v>
      </c>
      <c r="B494" s="21" t="s">
        <v>3684</v>
      </c>
      <c r="C494" s="21" t="s">
        <v>3685</v>
      </c>
      <c r="D494" s="21" t="s">
        <v>1666</v>
      </c>
      <c r="E494" s="21" t="s">
        <v>1667</v>
      </c>
      <c r="F494" s="21" t="s">
        <v>301</v>
      </c>
      <c r="G494" s="21" t="s">
        <v>1065</v>
      </c>
      <c r="H494" s="21" t="s">
        <v>201</v>
      </c>
      <c r="I494" s="21">
        <v>34</v>
      </c>
      <c r="J494" s="89">
        <f t="shared" si="14"/>
        <v>9.0909090909090912E-2</v>
      </c>
      <c r="K494" s="94">
        <f>VLOOKUP(H494,'PCT data'!B:K,10,FALSE)</f>
        <v>0.99510923830215869</v>
      </c>
      <c r="L494" s="94">
        <f t="shared" si="15"/>
        <v>9.0464476209287159E-2</v>
      </c>
    </row>
    <row r="495" spans="1:12" x14ac:dyDescent="0.2">
      <c r="A495" s="21" t="s">
        <v>191</v>
      </c>
      <c r="B495" s="21" t="s">
        <v>3684</v>
      </c>
      <c r="C495" s="21" t="s">
        <v>3685</v>
      </c>
      <c r="D495" s="21" t="s">
        <v>1668</v>
      </c>
      <c r="E495" s="21" t="s">
        <v>1669</v>
      </c>
      <c r="F495" s="21" t="s">
        <v>302</v>
      </c>
      <c r="G495" s="21" t="s">
        <v>894</v>
      </c>
      <c r="H495" s="21" t="s">
        <v>200</v>
      </c>
      <c r="I495" s="21">
        <v>28</v>
      </c>
      <c r="J495" s="89">
        <f t="shared" si="14"/>
        <v>7.4866310160427801E-2</v>
      </c>
      <c r="K495" s="94">
        <f>VLOOKUP(H495,'PCT data'!B:K,10,FALSE)</f>
        <v>1.0050603306851802</v>
      </c>
      <c r="L495" s="94">
        <f t="shared" si="15"/>
        <v>7.5245158447018831E-2</v>
      </c>
    </row>
    <row r="496" spans="1:12" x14ac:dyDescent="0.2">
      <c r="A496" s="21" t="s">
        <v>191</v>
      </c>
      <c r="B496" s="21" t="s">
        <v>3684</v>
      </c>
      <c r="C496" s="21" t="s">
        <v>3685</v>
      </c>
      <c r="D496" s="21" t="s">
        <v>1670</v>
      </c>
      <c r="E496" s="21" t="s">
        <v>1671</v>
      </c>
      <c r="F496" s="21" t="s">
        <v>303</v>
      </c>
      <c r="G496" s="21" t="s">
        <v>304</v>
      </c>
      <c r="H496" s="21" t="s">
        <v>196</v>
      </c>
      <c r="I496" s="21">
        <v>20</v>
      </c>
      <c r="J496" s="89">
        <f t="shared" si="14"/>
        <v>5.3475935828877004E-2</v>
      </c>
      <c r="K496" s="94">
        <f>VLOOKUP(H496,'PCT data'!B:K,10,FALSE)</f>
        <v>1.0747179773663313</v>
      </c>
      <c r="L496" s="94">
        <f t="shared" si="15"/>
        <v>5.7471549591782425E-2</v>
      </c>
    </row>
    <row r="497" spans="1:12" x14ac:dyDescent="0.2">
      <c r="A497" s="21" t="s">
        <v>191</v>
      </c>
      <c r="B497" s="21" t="s">
        <v>3684</v>
      </c>
      <c r="C497" s="21" t="s">
        <v>3685</v>
      </c>
      <c r="D497" s="21" t="s">
        <v>1672</v>
      </c>
      <c r="E497" s="21" t="s">
        <v>1673</v>
      </c>
      <c r="F497" s="21" t="s">
        <v>305</v>
      </c>
      <c r="G497" s="21" t="s">
        <v>304</v>
      </c>
      <c r="H497" s="21" t="s">
        <v>196</v>
      </c>
      <c r="I497" s="21">
        <v>44</v>
      </c>
      <c r="J497" s="89">
        <f t="shared" si="14"/>
        <v>0.11764705882352941</v>
      </c>
      <c r="K497" s="94">
        <f>VLOOKUP(H497,'PCT data'!B:K,10,FALSE)</f>
        <v>1.0747179773663313</v>
      </c>
      <c r="L497" s="94">
        <f t="shared" si="15"/>
        <v>0.12643740910192133</v>
      </c>
    </row>
    <row r="498" spans="1:12" x14ac:dyDescent="0.2">
      <c r="A498" s="21" t="s">
        <v>191</v>
      </c>
      <c r="B498" s="21" t="s">
        <v>3684</v>
      </c>
      <c r="C498" s="21" t="s">
        <v>3685</v>
      </c>
      <c r="D498" s="21" t="s">
        <v>1674</v>
      </c>
      <c r="E498" s="21" t="s">
        <v>1675</v>
      </c>
      <c r="F498" s="21" t="s">
        <v>306</v>
      </c>
      <c r="G498" s="21" t="s">
        <v>304</v>
      </c>
      <c r="H498" s="21" t="s">
        <v>196</v>
      </c>
      <c r="I498" s="21">
        <v>17</v>
      </c>
      <c r="J498" s="89">
        <f t="shared" si="14"/>
        <v>4.5454545454545456E-2</v>
      </c>
      <c r="K498" s="94">
        <f>VLOOKUP(H498,'PCT data'!B:K,10,FALSE)</f>
        <v>1.0747179773663313</v>
      </c>
      <c r="L498" s="94">
        <f t="shared" si="15"/>
        <v>4.8850817153015064E-2</v>
      </c>
    </row>
    <row r="499" spans="1:12" x14ac:dyDescent="0.2">
      <c r="A499" s="21" t="s">
        <v>3069</v>
      </c>
      <c r="B499" s="21" t="s">
        <v>369</v>
      </c>
      <c r="C499" s="21" t="s">
        <v>370</v>
      </c>
      <c r="D499" s="21" t="s">
        <v>728</v>
      </c>
      <c r="E499" s="21" t="s">
        <v>729</v>
      </c>
      <c r="F499" s="21" t="s">
        <v>307</v>
      </c>
      <c r="G499" s="21" t="s">
        <v>308</v>
      </c>
      <c r="H499" s="21" t="s">
        <v>2124</v>
      </c>
      <c r="I499" s="21">
        <v>40</v>
      </c>
      <c r="J499" s="89">
        <f t="shared" si="14"/>
        <v>0.16393442622950818</v>
      </c>
      <c r="K499" s="94">
        <f>VLOOKUP(H499,'PCT data'!B:K,10,FALSE)</f>
        <v>0.90554940685496443</v>
      </c>
      <c r="L499" s="94">
        <f t="shared" si="15"/>
        <v>0.14845072243524007</v>
      </c>
    </row>
    <row r="500" spans="1:12" x14ac:dyDescent="0.2">
      <c r="A500" s="21" t="s">
        <v>3069</v>
      </c>
      <c r="B500" s="21" t="s">
        <v>369</v>
      </c>
      <c r="C500" s="21" t="s">
        <v>370</v>
      </c>
      <c r="D500" s="21" t="s">
        <v>1676</v>
      </c>
      <c r="E500" s="21" t="s">
        <v>1677</v>
      </c>
      <c r="F500" s="21" t="s">
        <v>309</v>
      </c>
      <c r="G500" s="21" t="s">
        <v>310</v>
      </c>
      <c r="H500" s="21" t="s">
        <v>2124</v>
      </c>
      <c r="I500" s="21">
        <v>41</v>
      </c>
      <c r="J500" s="89">
        <f t="shared" si="14"/>
        <v>0.16803278688524589</v>
      </c>
      <c r="K500" s="94">
        <f>VLOOKUP(H500,'PCT data'!B:K,10,FALSE)</f>
        <v>0.90554940685496443</v>
      </c>
      <c r="L500" s="94">
        <f t="shared" si="15"/>
        <v>0.15216199049612106</v>
      </c>
    </row>
    <row r="501" spans="1:12" x14ac:dyDescent="0.2">
      <c r="A501" s="21" t="s">
        <v>3069</v>
      </c>
      <c r="B501" s="21" t="s">
        <v>369</v>
      </c>
      <c r="C501" s="21" t="s">
        <v>370</v>
      </c>
      <c r="D501" s="21" t="s">
        <v>1678</v>
      </c>
      <c r="E501" s="21" t="s">
        <v>1679</v>
      </c>
      <c r="F501" s="21" t="s">
        <v>131</v>
      </c>
      <c r="G501" s="21" t="s">
        <v>132</v>
      </c>
      <c r="H501" s="21" t="s">
        <v>2124</v>
      </c>
      <c r="I501" s="21">
        <v>43</v>
      </c>
      <c r="J501" s="89">
        <f t="shared" si="14"/>
        <v>0.17622950819672131</v>
      </c>
      <c r="K501" s="94">
        <f>VLOOKUP(H501,'PCT data'!B:K,10,FALSE)</f>
        <v>0.90554940685496443</v>
      </c>
      <c r="L501" s="94">
        <f t="shared" si="15"/>
        <v>0.15958452661788308</v>
      </c>
    </row>
    <row r="502" spans="1:12" x14ac:dyDescent="0.2">
      <c r="A502" s="21" t="s">
        <v>3069</v>
      </c>
      <c r="B502" s="21" t="s">
        <v>369</v>
      </c>
      <c r="C502" s="21" t="s">
        <v>370</v>
      </c>
      <c r="D502" s="21" t="s">
        <v>1680</v>
      </c>
      <c r="E502" s="21" t="s">
        <v>1681</v>
      </c>
      <c r="F502" s="21" t="s">
        <v>131</v>
      </c>
      <c r="G502" s="21" t="s">
        <v>132</v>
      </c>
      <c r="H502" s="21" t="s">
        <v>2124</v>
      </c>
      <c r="I502" s="21">
        <v>15</v>
      </c>
      <c r="J502" s="89">
        <f t="shared" si="14"/>
        <v>6.1475409836065573E-2</v>
      </c>
      <c r="K502" s="94">
        <f>VLOOKUP(H502,'PCT data'!B:K,10,FALSE)</f>
        <v>0.90554940685496443</v>
      </c>
      <c r="L502" s="94">
        <f t="shared" si="15"/>
        <v>5.5669020913215024E-2</v>
      </c>
    </row>
    <row r="503" spans="1:12" x14ac:dyDescent="0.2">
      <c r="A503" s="21" t="s">
        <v>3069</v>
      </c>
      <c r="B503" s="21" t="s">
        <v>369</v>
      </c>
      <c r="C503" s="21" t="s">
        <v>370</v>
      </c>
      <c r="D503" s="21" t="s">
        <v>1682</v>
      </c>
      <c r="E503" s="21" t="s">
        <v>1683</v>
      </c>
      <c r="F503" s="21" t="s">
        <v>311</v>
      </c>
      <c r="G503" s="21" t="s">
        <v>312</v>
      </c>
      <c r="H503" s="21" t="s">
        <v>2124</v>
      </c>
      <c r="I503" s="21">
        <v>22</v>
      </c>
      <c r="J503" s="89">
        <f t="shared" si="14"/>
        <v>9.0163934426229511E-2</v>
      </c>
      <c r="K503" s="94">
        <f>VLOOKUP(H503,'PCT data'!B:K,10,FALSE)</f>
        <v>0.90554940685496443</v>
      </c>
      <c r="L503" s="94">
        <f t="shared" si="15"/>
        <v>8.1647897339382047E-2</v>
      </c>
    </row>
    <row r="504" spans="1:12" x14ac:dyDescent="0.2">
      <c r="A504" s="21" t="s">
        <v>3069</v>
      </c>
      <c r="B504" s="21" t="s">
        <v>369</v>
      </c>
      <c r="C504" s="21" t="s">
        <v>370</v>
      </c>
      <c r="D504" s="21" t="s">
        <v>1684</v>
      </c>
      <c r="E504" s="21" t="s">
        <v>1685</v>
      </c>
      <c r="F504" s="21" t="s">
        <v>129</v>
      </c>
      <c r="G504" s="21" t="s">
        <v>130</v>
      </c>
      <c r="H504" s="21" t="s">
        <v>2124</v>
      </c>
      <c r="I504" s="21">
        <v>40</v>
      </c>
      <c r="J504" s="89">
        <f t="shared" si="14"/>
        <v>0.16393442622950818</v>
      </c>
      <c r="K504" s="94">
        <f>VLOOKUP(H504,'PCT data'!B:K,10,FALSE)</f>
        <v>0.90554940685496443</v>
      </c>
      <c r="L504" s="94">
        <f t="shared" si="15"/>
        <v>0.14845072243524007</v>
      </c>
    </row>
    <row r="505" spans="1:12" x14ac:dyDescent="0.2">
      <c r="A505" s="21" t="s">
        <v>3069</v>
      </c>
      <c r="B505" s="21" t="s">
        <v>369</v>
      </c>
      <c r="C505" s="21" t="s">
        <v>370</v>
      </c>
      <c r="D505" s="21" t="s">
        <v>1686</v>
      </c>
      <c r="E505" s="21" t="s">
        <v>1687</v>
      </c>
      <c r="F505" s="21" t="s">
        <v>127</v>
      </c>
      <c r="G505" s="21" t="s">
        <v>128</v>
      </c>
      <c r="H505" s="21" t="s">
        <v>2124</v>
      </c>
      <c r="I505" s="21">
        <v>20</v>
      </c>
      <c r="J505" s="89">
        <f t="shared" si="14"/>
        <v>8.1967213114754092E-2</v>
      </c>
      <c r="K505" s="94">
        <f>VLOOKUP(H505,'PCT data'!B:K,10,FALSE)</f>
        <v>0.90554940685496443</v>
      </c>
      <c r="L505" s="94">
        <f t="shared" si="15"/>
        <v>7.4225361217620037E-2</v>
      </c>
    </row>
    <row r="506" spans="1:12" x14ac:dyDescent="0.2">
      <c r="A506" s="21" t="s">
        <v>3069</v>
      </c>
      <c r="B506" s="21" t="s">
        <v>369</v>
      </c>
      <c r="C506" s="21" t="s">
        <v>370</v>
      </c>
      <c r="D506" s="21" t="s">
        <v>1688</v>
      </c>
      <c r="E506" s="21" t="s">
        <v>1689</v>
      </c>
      <c r="F506" s="21" t="s">
        <v>313</v>
      </c>
      <c r="G506" s="21" t="s">
        <v>314</v>
      </c>
      <c r="H506" s="21" t="s">
        <v>2124</v>
      </c>
      <c r="I506" s="21">
        <v>23</v>
      </c>
      <c r="J506" s="89">
        <f t="shared" si="14"/>
        <v>9.4262295081967207E-2</v>
      </c>
      <c r="K506" s="94">
        <f>VLOOKUP(H506,'PCT data'!B:K,10,FALSE)</f>
        <v>0.90554940685496443</v>
      </c>
      <c r="L506" s="94">
        <f t="shared" si="15"/>
        <v>8.5359165400263032E-2</v>
      </c>
    </row>
    <row r="507" spans="1:12" x14ac:dyDescent="0.2">
      <c r="A507" s="21" t="s">
        <v>1167</v>
      </c>
      <c r="B507" s="21" t="s">
        <v>562</v>
      </c>
      <c r="C507" s="21" t="s">
        <v>563</v>
      </c>
      <c r="D507" s="21" t="s">
        <v>728</v>
      </c>
      <c r="E507" s="21" t="s">
        <v>729</v>
      </c>
      <c r="F507" s="21" t="s">
        <v>315</v>
      </c>
      <c r="G507" s="21" t="s">
        <v>316</v>
      </c>
      <c r="H507" s="21" t="s">
        <v>3476</v>
      </c>
      <c r="I507" s="21">
        <v>93</v>
      </c>
      <c r="J507" s="89">
        <f t="shared" si="14"/>
        <v>0.13006993006993006</v>
      </c>
      <c r="K507" s="94">
        <f>VLOOKUP(H507,'PCT data'!B:K,10,FALSE)</f>
        <v>1.2040821783456119</v>
      </c>
      <c r="L507" s="94">
        <f t="shared" si="15"/>
        <v>0.1566148847358628</v>
      </c>
    </row>
    <row r="508" spans="1:12" x14ac:dyDescent="0.2">
      <c r="A508" s="21" t="s">
        <v>1167</v>
      </c>
      <c r="B508" s="21" t="s">
        <v>562</v>
      </c>
      <c r="C508" s="21" t="s">
        <v>563</v>
      </c>
      <c r="D508" s="21" t="s">
        <v>1690</v>
      </c>
      <c r="E508" s="21" t="s">
        <v>1691</v>
      </c>
      <c r="F508" s="21" t="s">
        <v>315</v>
      </c>
      <c r="G508" s="21" t="s">
        <v>316</v>
      </c>
      <c r="H508" s="21" t="s">
        <v>3476</v>
      </c>
      <c r="I508" s="21">
        <v>279</v>
      </c>
      <c r="J508" s="89">
        <f t="shared" si="14"/>
        <v>0.39020979020979019</v>
      </c>
      <c r="K508" s="94">
        <f>VLOOKUP(H508,'PCT data'!B:K,10,FALSE)</f>
        <v>1.2040821783456119</v>
      </c>
      <c r="L508" s="94">
        <f t="shared" si="15"/>
        <v>0.46984465420758842</v>
      </c>
    </row>
    <row r="509" spans="1:12" x14ac:dyDescent="0.2">
      <c r="A509" s="21" t="s">
        <v>1167</v>
      </c>
      <c r="B509" s="21" t="s">
        <v>562</v>
      </c>
      <c r="C509" s="21" t="s">
        <v>563</v>
      </c>
      <c r="D509" s="21" t="s">
        <v>1692</v>
      </c>
      <c r="E509" s="21" t="s">
        <v>1693</v>
      </c>
      <c r="F509" s="21" t="s">
        <v>317</v>
      </c>
      <c r="G509" s="21" t="s">
        <v>3306</v>
      </c>
      <c r="H509" s="21" t="s">
        <v>3444</v>
      </c>
      <c r="I509" s="21">
        <v>66</v>
      </c>
      <c r="J509" s="89">
        <f t="shared" si="14"/>
        <v>9.2307692307692313E-2</v>
      </c>
      <c r="K509" s="94">
        <f>VLOOKUP(H509,'PCT data'!B:K,10,FALSE)</f>
        <v>1.1443756240474725</v>
      </c>
      <c r="L509" s="94">
        <f t="shared" si="15"/>
        <v>0.10563467298899747</v>
      </c>
    </row>
    <row r="510" spans="1:12" x14ac:dyDescent="0.2">
      <c r="A510" s="21" t="s">
        <v>1167</v>
      </c>
      <c r="B510" s="21" t="s">
        <v>562</v>
      </c>
      <c r="C510" s="21" t="s">
        <v>563</v>
      </c>
      <c r="D510" s="21" t="s">
        <v>1694</v>
      </c>
      <c r="E510" s="21" t="s">
        <v>1695</v>
      </c>
      <c r="F510" s="21" t="s">
        <v>318</v>
      </c>
      <c r="G510" s="21" t="s">
        <v>319</v>
      </c>
      <c r="H510" s="21" t="s">
        <v>481</v>
      </c>
      <c r="I510" s="21">
        <v>56</v>
      </c>
      <c r="J510" s="89">
        <f t="shared" si="14"/>
        <v>7.8321678321678329E-2</v>
      </c>
      <c r="K510" s="94">
        <f>VLOOKUP(H510,'PCT data'!B:K,10,FALSE)</f>
        <v>1.1443756240474725</v>
      </c>
      <c r="L510" s="94">
        <f t="shared" si="15"/>
        <v>8.962941950581603E-2</v>
      </c>
    </row>
    <row r="511" spans="1:12" x14ac:dyDescent="0.2">
      <c r="A511" s="21" t="s">
        <v>1167</v>
      </c>
      <c r="B511" s="21" t="s">
        <v>562</v>
      </c>
      <c r="C511" s="21" t="s">
        <v>563</v>
      </c>
      <c r="D511" s="21" t="s">
        <v>1696</v>
      </c>
      <c r="E511" s="21" t="s">
        <v>1697</v>
      </c>
      <c r="F511" s="21" t="s">
        <v>320</v>
      </c>
      <c r="G511" s="21" t="s">
        <v>3306</v>
      </c>
      <c r="H511" s="21" t="s">
        <v>3444</v>
      </c>
      <c r="I511" s="21">
        <v>2</v>
      </c>
      <c r="J511" s="89">
        <f t="shared" si="14"/>
        <v>2.7972027972027972E-3</v>
      </c>
      <c r="K511" s="94">
        <f>VLOOKUP(H511,'PCT data'!B:K,10,FALSE)</f>
        <v>1.1443756240474725</v>
      </c>
      <c r="L511" s="94">
        <f t="shared" si="15"/>
        <v>3.2010506966362868E-3</v>
      </c>
    </row>
    <row r="512" spans="1:12" x14ac:dyDescent="0.2">
      <c r="A512" s="21" t="s">
        <v>1167</v>
      </c>
      <c r="B512" s="21" t="s">
        <v>562</v>
      </c>
      <c r="C512" s="21" t="s">
        <v>563</v>
      </c>
      <c r="D512" s="21" t="s">
        <v>1698</v>
      </c>
      <c r="E512" s="21" t="s">
        <v>1699</v>
      </c>
      <c r="F512" s="21" t="s">
        <v>321</v>
      </c>
      <c r="G512" s="21" t="s">
        <v>322</v>
      </c>
      <c r="H512" s="21" t="s">
        <v>3476</v>
      </c>
      <c r="I512" s="21">
        <v>69</v>
      </c>
      <c r="J512" s="89">
        <f t="shared" si="14"/>
        <v>9.6503496503496503E-2</v>
      </c>
      <c r="K512" s="94">
        <f>VLOOKUP(H512,'PCT data'!B:K,10,FALSE)</f>
        <v>1.2040821783456119</v>
      </c>
      <c r="L512" s="94">
        <f t="shared" si="15"/>
        <v>0.11619814028789821</v>
      </c>
    </row>
    <row r="513" spans="1:12" x14ac:dyDescent="0.2">
      <c r="A513" s="21" t="s">
        <v>1167</v>
      </c>
      <c r="B513" s="21" t="s">
        <v>562</v>
      </c>
      <c r="C513" s="21" t="s">
        <v>563</v>
      </c>
      <c r="D513" s="21" t="s">
        <v>1700</v>
      </c>
      <c r="E513" s="21" t="s">
        <v>1701</v>
      </c>
      <c r="F513" s="21" t="s">
        <v>323</v>
      </c>
      <c r="G513" s="21" t="s">
        <v>324</v>
      </c>
      <c r="H513" s="21" t="s">
        <v>3455</v>
      </c>
      <c r="I513" s="21">
        <v>116</v>
      </c>
      <c r="J513" s="89">
        <f t="shared" si="14"/>
        <v>0.16223776223776223</v>
      </c>
      <c r="K513" s="94">
        <f>VLOOKUP(H513,'PCT data'!B:K,10,FALSE)</f>
        <v>1.1742289011965372</v>
      </c>
      <c r="L513" s="94">
        <f t="shared" si="15"/>
        <v>0.19050426928503261</v>
      </c>
    </row>
    <row r="514" spans="1:12" x14ac:dyDescent="0.2">
      <c r="A514" s="21" t="s">
        <v>1167</v>
      </c>
      <c r="B514" s="21" t="s">
        <v>562</v>
      </c>
      <c r="C514" s="21" t="s">
        <v>563</v>
      </c>
      <c r="D514" s="21" t="s">
        <v>1702</v>
      </c>
      <c r="E514" s="21" t="s">
        <v>1703</v>
      </c>
      <c r="F514" s="21" t="s">
        <v>325</v>
      </c>
      <c r="G514" s="21" t="s">
        <v>326</v>
      </c>
      <c r="H514" s="21" t="s">
        <v>3476</v>
      </c>
      <c r="I514" s="21">
        <v>16</v>
      </c>
      <c r="J514" s="89">
        <f t="shared" si="14"/>
        <v>2.2377622377622378E-2</v>
      </c>
      <c r="K514" s="94">
        <f>VLOOKUP(H514,'PCT data'!B:K,10,FALSE)</f>
        <v>1.2040821783456119</v>
      </c>
      <c r="L514" s="94">
        <f t="shared" si="15"/>
        <v>2.6944496298643063E-2</v>
      </c>
    </row>
    <row r="515" spans="1:12" x14ac:dyDescent="0.2">
      <c r="A515" s="21" t="s">
        <v>1167</v>
      </c>
      <c r="B515" s="21" t="s">
        <v>562</v>
      </c>
      <c r="C515" s="21" t="s">
        <v>563</v>
      </c>
      <c r="D515" s="21" t="s">
        <v>1704</v>
      </c>
      <c r="E515" s="21" t="s">
        <v>1705</v>
      </c>
      <c r="F515" s="21" t="s">
        <v>315</v>
      </c>
      <c r="G515" s="21" t="s">
        <v>316</v>
      </c>
      <c r="H515" s="21" t="s">
        <v>3476</v>
      </c>
      <c r="I515" s="21">
        <v>18</v>
      </c>
      <c r="J515" s="89">
        <f t="shared" ref="J515:J578" si="16">I515/SUMIF(B:B,B515,I:I)</f>
        <v>2.5174825174825177E-2</v>
      </c>
      <c r="K515" s="94">
        <f>VLOOKUP(H515,'PCT data'!B:K,10,FALSE)</f>
        <v>1.2040821783456119</v>
      </c>
      <c r="L515" s="94">
        <f t="shared" ref="L515:L578" si="17">K515*J515</f>
        <v>3.031255833597345E-2</v>
      </c>
    </row>
    <row r="516" spans="1:12" x14ac:dyDescent="0.2">
      <c r="A516" s="21" t="s">
        <v>1127</v>
      </c>
      <c r="B516" s="21" t="s">
        <v>418</v>
      </c>
      <c r="C516" s="21" t="s">
        <v>3655</v>
      </c>
      <c r="D516" s="21" t="s">
        <v>728</v>
      </c>
      <c r="E516" s="21" t="s">
        <v>729</v>
      </c>
      <c r="F516" s="21" t="s">
        <v>327</v>
      </c>
      <c r="G516" s="21" t="s">
        <v>328</v>
      </c>
      <c r="H516" s="21" t="s">
        <v>1151</v>
      </c>
      <c r="I516" s="21">
        <v>49</v>
      </c>
      <c r="J516" s="89">
        <f t="shared" si="16"/>
        <v>0.13424657534246576</v>
      </c>
      <c r="K516" s="94">
        <f>VLOOKUP(H516,'PCT data'!B:K,10,FALSE)</f>
        <v>1.0249625154512234</v>
      </c>
      <c r="L516" s="94">
        <f t="shared" si="17"/>
        <v>0.13759770755372588</v>
      </c>
    </row>
    <row r="517" spans="1:12" x14ac:dyDescent="0.2">
      <c r="A517" s="21" t="s">
        <v>1127</v>
      </c>
      <c r="B517" s="21" t="s">
        <v>418</v>
      </c>
      <c r="C517" s="21" t="s">
        <v>3655</v>
      </c>
      <c r="D517" s="21" t="s">
        <v>1706</v>
      </c>
      <c r="E517" s="21" t="s">
        <v>1707</v>
      </c>
      <c r="F517" s="21" t="s">
        <v>329</v>
      </c>
      <c r="G517" s="21" t="s">
        <v>3321</v>
      </c>
      <c r="H517" s="21" t="s">
        <v>1151</v>
      </c>
      <c r="I517" s="21">
        <v>57</v>
      </c>
      <c r="J517" s="89">
        <f t="shared" si="16"/>
        <v>0.15616438356164383</v>
      </c>
      <c r="K517" s="94">
        <f>VLOOKUP(H517,'PCT data'!B:K,10,FALSE)</f>
        <v>1.0249625154512234</v>
      </c>
      <c r="L517" s="94">
        <f t="shared" si="17"/>
        <v>0.16006263939923215</v>
      </c>
    </row>
    <row r="518" spans="1:12" x14ac:dyDescent="0.2">
      <c r="A518" s="21" t="s">
        <v>1127</v>
      </c>
      <c r="B518" s="21" t="s">
        <v>418</v>
      </c>
      <c r="C518" s="21" t="s">
        <v>3655</v>
      </c>
      <c r="D518" s="21" t="s">
        <v>1708</v>
      </c>
      <c r="E518" s="21" t="s">
        <v>1709</v>
      </c>
      <c r="F518" s="21" t="s">
        <v>330</v>
      </c>
      <c r="G518" s="21" t="s">
        <v>331</v>
      </c>
      <c r="H518" s="21" t="s">
        <v>1136</v>
      </c>
      <c r="I518" s="21">
        <v>28</v>
      </c>
      <c r="J518" s="89">
        <f t="shared" si="16"/>
        <v>7.6712328767123292E-2</v>
      </c>
      <c r="K518" s="94">
        <f>VLOOKUP(H518,'PCT data'!B:K,10,FALSE)</f>
        <v>0.99510923830215869</v>
      </c>
      <c r="L518" s="94">
        <f t="shared" si="17"/>
        <v>7.633714704783684E-2</v>
      </c>
    </row>
    <row r="519" spans="1:12" x14ac:dyDescent="0.2">
      <c r="A519" s="21" t="s">
        <v>1127</v>
      </c>
      <c r="B519" s="21" t="s">
        <v>418</v>
      </c>
      <c r="C519" s="21" t="s">
        <v>3655</v>
      </c>
      <c r="D519" s="21" t="s">
        <v>1710</v>
      </c>
      <c r="E519" s="21" t="s">
        <v>1711</v>
      </c>
      <c r="F519" s="21" t="s">
        <v>332</v>
      </c>
      <c r="G519" s="21" t="s">
        <v>900</v>
      </c>
      <c r="H519" s="21" t="s">
        <v>1136</v>
      </c>
      <c r="I519" s="21">
        <v>52</v>
      </c>
      <c r="J519" s="89">
        <f t="shared" si="16"/>
        <v>0.14246575342465753</v>
      </c>
      <c r="K519" s="94">
        <f>VLOOKUP(H519,'PCT data'!B:K,10,FALSE)</f>
        <v>0.99510923830215869</v>
      </c>
      <c r="L519" s="94">
        <f t="shared" si="17"/>
        <v>0.14176898737455412</v>
      </c>
    </row>
    <row r="520" spans="1:12" x14ac:dyDescent="0.2">
      <c r="A520" s="21" t="s">
        <v>1127</v>
      </c>
      <c r="B520" s="21" t="s">
        <v>418</v>
      </c>
      <c r="C520" s="21" t="s">
        <v>3655</v>
      </c>
      <c r="D520" s="21" t="s">
        <v>1712</v>
      </c>
      <c r="E520" s="21" t="s">
        <v>1713</v>
      </c>
      <c r="F520" s="21" t="s">
        <v>333</v>
      </c>
      <c r="G520" s="21" t="s">
        <v>900</v>
      </c>
      <c r="H520" s="21" t="s">
        <v>1136</v>
      </c>
      <c r="I520" s="21">
        <v>41</v>
      </c>
      <c r="J520" s="89">
        <f t="shared" si="16"/>
        <v>0.11232876712328767</v>
      </c>
      <c r="K520" s="94">
        <f>VLOOKUP(H520,'PCT data'!B:K,10,FALSE)</f>
        <v>0.99510923830215869</v>
      </c>
      <c r="L520" s="94">
        <f t="shared" si="17"/>
        <v>0.11177939389147536</v>
      </c>
    </row>
    <row r="521" spans="1:12" x14ac:dyDescent="0.2">
      <c r="A521" s="21" t="s">
        <v>1127</v>
      </c>
      <c r="B521" s="21" t="s">
        <v>418</v>
      </c>
      <c r="C521" s="21" t="s">
        <v>3655</v>
      </c>
      <c r="D521" s="21" t="s">
        <v>1714</v>
      </c>
      <c r="E521" s="21" t="s">
        <v>1715</v>
      </c>
      <c r="F521" s="21" t="s">
        <v>899</v>
      </c>
      <c r="G521" s="21" t="s">
        <v>900</v>
      </c>
      <c r="H521" s="21" t="s">
        <v>1136</v>
      </c>
      <c r="I521" s="21">
        <v>36</v>
      </c>
      <c r="J521" s="89">
        <f t="shared" si="16"/>
        <v>9.8630136986301367E-2</v>
      </c>
      <c r="K521" s="94">
        <f>VLOOKUP(H521,'PCT data'!B:K,10,FALSE)</f>
        <v>0.99510923830215869</v>
      </c>
      <c r="L521" s="94">
        <f t="shared" si="17"/>
        <v>9.8147760490075925E-2</v>
      </c>
    </row>
    <row r="522" spans="1:12" x14ac:dyDescent="0.2">
      <c r="A522" s="21" t="s">
        <v>1127</v>
      </c>
      <c r="B522" s="21" t="s">
        <v>418</v>
      </c>
      <c r="C522" s="21" t="s">
        <v>3655</v>
      </c>
      <c r="D522" s="21" t="s">
        <v>1716</v>
      </c>
      <c r="E522" s="21" t="s">
        <v>1717</v>
      </c>
      <c r="F522" s="21" t="s">
        <v>330</v>
      </c>
      <c r="G522" s="21" t="s">
        <v>331</v>
      </c>
      <c r="H522" s="21" t="s">
        <v>1136</v>
      </c>
      <c r="I522" s="21">
        <v>17</v>
      </c>
      <c r="J522" s="89">
        <f t="shared" si="16"/>
        <v>4.6575342465753428E-2</v>
      </c>
      <c r="K522" s="94">
        <f>VLOOKUP(H522,'PCT data'!B:K,10,FALSE)</f>
        <v>0.99510923830215869</v>
      </c>
      <c r="L522" s="94">
        <f t="shared" si="17"/>
        <v>4.634755356475808E-2</v>
      </c>
    </row>
    <row r="523" spans="1:12" x14ac:dyDescent="0.2">
      <c r="A523" s="21" t="s">
        <v>1127</v>
      </c>
      <c r="B523" s="21" t="s">
        <v>418</v>
      </c>
      <c r="C523" s="21" t="s">
        <v>3655</v>
      </c>
      <c r="D523" s="21" t="s">
        <v>1718</v>
      </c>
      <c r="E523" s="21" t="s">
        <v>1719</v>
      </c>
      <c r="F523" s="21" t="s">
        <v>334</v>
      </c>
      <c r="G523" s="21" t="s">
        <v>900</v>
      </c>
      <c r="H523" s="21" t="s">
        <v>1136</v>
      </c>
      <c r="I523" s="21">
        <v>13</v>
      </c>
      <c r="J523" s="89">
        <f t="shared" si="16"/>
        <v>3.5616438356164383E-2</v>
      </c>
      <c r="K523" s="94">
        <f>VLOOKUP(H523,'PCT data'!B:K,10,FALSE)</f>
        <v>0.99510923830215869</v>
      </c>
      <c r="L523" s="94">
        <f t="shared" si="17"/>
        <v>3.5442246843638531E-2</v>
      </c>
    </row>
    <row r="524" spans="1:12" x14ac:dyDescent="0.2">
      <c r="A524" s="21" t="s">
        <v>1127</v>
      </c>
      <c r="B524" s="21" t="s">
        <v>418</v>
      </c>
      <c r="C524" s="21" t="s">
        <v>3655</v>
      </c>
      <c r="D524" s="21" t="s">
        <v>1720</v>
      </c>
      <c r="E524" s="21" t="s">
        <v>1721</v>
      </c>
      <c r="F524" s="21" t="s">
        <v>335</v>
      </c>
      <c r="G524" s="21" t="s">
        <v>336</v>
      </c>
      <c r="H524" s="21" t="s">
        <v>1159</v>
      </c>
      <c r="I524" s="21">
        <v>30</v>
      </c>
      <c r="J524" s="89">
        <f t="shared" si="16"/>
        <v>8.2191780821917804E-2</v>
      </c>
      <c r="K524" s="94">
        <f>VLOOKUP(H524,'PCT data'!B:K,10,FALSE)</f>
        <v>1.0548157926002883</v>
      </c>
      <c r="L524" s="94">
        <f t="shared" si="17"/>
        <v>8.6697188432900404E-2</v>
      </c>
    </row>
    <row r="525" spans="1:12" x14ac:dyDescent="0.2">
      <c r="A525" s="21" t="s">
        <v>1127</v>
      </c>
      <c r="B525" s="21" t="s">
        <v>418</v>
      </c>
      <c r="C525" s="21" t="s">
        <v>3655</v>
      </c>
      <c r="D525" s="21" t="s">
        <v>1722</v>
      </c>
      <c r="E525" s="21" t="s">
        <v>1723</v>
      </c>
      <c r="F525" s="21" t="s">
        <v>3326</v>
      </c>
      <c r="G525" s="21" t="s">
        <v>3327</v>
      </c>
      <c r="H525" s="21" t="s">
        <v>1159</v>
      </c>
      <c r="I525" s="21">
        <v>42</v>
      </c>
      <c r="J525" s="89">
        <f t="shared" si="16"/>
        <v>0.11506849315068493</v>
      </c>
      <c r="K525" s="94">
        <f>VLOOKUP(H525,'PCT data'!B:K,10,FALSE)</f>
        <v>1.0548157926002883</v>
      </c>
      <c r="L525" s="94">
        <f t="shared" si="17"/>
        <v>0.12137606380606057</v>
      </c>
    </row>
    <row r="526" spans="1:12" x14ac:dyDescent="0.2">
      <c r="A526" s="21" t="s">
        <v>2133</v>
      </c>
      <c r="B526" s="21" t="s">
        <v>554</v>
      </c>
      <c r="C526" s="21" t="s">
        <v>555</v>
      </c>
      <c r="D526" s="21" t="s">
        <v>1724</v>
      </c>
      <c r="E526" s="21" t="s">
        <v>1725</v>
      </c>
      <c r="F526" s="21" t="s">
        <v>1007</v>
      </c>
      <c r="G526" s="21" t="s">
        <v>1008</v>
      </c>
      <c r="H526" s="21" t="s">
        <v>2140</v>
      </c>
      <c r="I526" s="21">
        <v>26</v>
      </c>
      <c r="J526" s="89">
        <f t="shared" si="16"/>
        <v>5.2953156822810592E-2</v>
      </c>
      <c r="K526" s="94">
        <f>VLOOKUP(H526,'PCT data'!B:K,10,FALSE)</f>
        <v>0.91550049923798604</v>
      </c>
      <c r="L526" s="94">
        <f t="shared" si="17"/>
        <v>4.847864150751046E-2</v>
      </c>
    </row>
    <row r="527" spans="1:12" x14ac:dyDescent="0.2">
      <c r="A527" s="21" t="s">
        <v>2133</v>
      </c>
      <c r="B527" s="21" t="s">
        <v>554</v>
      </c>
      <c r="C527" s="21" t="s">
        <v>555</v>
      </c>
      <c r="D527" s="21" t="s">
        <v>1726</v>
      </c>
      <c r="E527" s="21" t="s">
        <v>1727</v>
      </c>
      <c r="F527" s="21" t="s">
        <v>337</v>
      </c>
      <c r="G527" s="21" t="s">
        <v>338</v>
      </c>
      <c r="H527" s="21" t="s">
        <v>2140</v>
      </c>
      <c r="I527" s="21">
        <v>29</v>
      </c>
      <c r="J527" s="89">
        <f t="shared" si="16"/>
        <v>5.9063136456211814E-2</v>
      </c>
      <c r="K527" s="94">
        <f>VLOOKUP(H527,'PCT data'!B:K,10,FALSE)</f>
        <v>0.91550049923798604</v>
      </c>
      <c r="L527" s="94">
        <f t="shared" si="17"/>
        <v>5.4072330912223208E-2</v>
      </c>
    </row>
    <row r="528" spans="1:12" x14ac:dyDescent="0.2">
      <c r="A528" s="21" t="s">
        <v>2133</v>
      </c>
      <c r="B528" s="21" t="s">
        <v>554</v>
      </c>
      <c r="C528" s="21" t="s">
        <v>555</v>
      </c>
      <c r="D528" s="21" t="s">
        <v>1728</v>
      </c>
      <c r="E528" s="21" t="s">
        <v>1729</v>
      </c>
      <c r="F528" s="21" t="s">
        <v>339</v>
      </c>
      <c r="G528" s="21" t="s">
        <v>340</v>
      </c>
      <c r="H528" s="21" t="s">
        <v>2140</v>
      </c>
      <c r="I528" s="21">
        <v>17</v>
      </c>
      <c r="J528" s="89">
        <f t="shared" si="16"/>
        <v>3.4623217922606926E-2</v>
      </c>
      <c r="K528" s="94">
        <f>VLOOKUP(H528,'PCT data'!B:K,10,FALSE)</f>
        <v>0.91550049923798604</v>
      </c>
      <c r="L528" s="94">
        <f t="shared" si="17"/>
        <v>3.1697573293372229E-2</v>
      </c>
    </row>
    <row r="529" spans="1:12" x14ac:dyDescent="0.2">
      <c r="A529" s="21" t="s">
        <v>2133</v>
      </c>
      <c r="B529" s="21" t="s">
        <v>554</v>
      </c>
      <c r="C529" s="21" t="s">
        <v>555</v>
      </c>
      <c r="D529" s="21" t="s">
        <v>1730</v>
      </c>
      <c r="E529" s="21" t="s">
        <v>1731</v>
      </c>
      <c r="F529" s="21" t="s">
        <v>341</v>
      </c>
      <c r="G529" s="21" t="s">
        <v>1002</v>
      </c>
      <c r="H529" s="21" t="s">
        <v>2140</v>
      </c>
      <c r="I529" s="21">
        <v>158</v>
      </c>
      <c r="J529" s="89">
        <f t="shared" si="16"/>
        <v>0.32179226069246436</v>
      </c>
      <c r="K529" s="94">
        <f>VLOOKUP(H529,'PCT data'!B:K,10,FALSE)</f>
        <v>0.91550049923798604</v>
      </c>
      <c r="L529" s="94">
        <f t="shared" si="17"/>
        <v>0.29460097531487128</v>
      </c>
    </row>
    <row r="530" spans="1:12" x14ac:dyDescent="0.2">
      <c r="A530" s="21" t="s">
        <v>2133</v>
      </c>
      <c r="B530" s="21" t="s">
        <v>554</v>
      </c>
      <c r="C530" s="21" t="s">
        <v>555</v>
      </c>
      <c r="D530" s="21" t="s">
        <v>1732</v>
      </c>
      <c r="E530" s="21" t="s">
        <v>1733</v>
      </c>
      <c r="F530" s="21" t="s">
        <v>342</v>
      </c>
      <c r="G530" s="21" t="s">
        <v>343</v>
      </c>
      <c r="H530" s="21" t="s">
        <v>2140</v>
      </c>
      <c r="I530" s="21">
        <v>29</v>
      </c>
      <c r="J530" s="89">
        <f t="shared" si="16"/>
        <v>5.9063136456211814E-2</v>
      </c>
      <c r="K530" s="94">
        <f>VLOOKUP(H530,'PCT data'!B:K,10,FALSE)</f>
        <v>0.91550049923798604</v>
      </c>
      <c r="L530" s="94">
        <f t="shared" si="17"/>
        <v>5.4072330912223208E-2</v>
      </c>
    </row>
    <row r="531" spans="1:12" x14ac:dyDescent="0.2">
      <c r="A531" s="21" t="s">
        <v>2133</v>
      </c>
      <c r="B531" s="21" t="s">
        <v>554</v>
      </c>
      <c r="C531" s="21" t="s">
        <v>555</v>
      </c>
      <c r="D531" s="21" t="s">
        <v>1734</v>
      </c>
      <c r="E531" s="21" t="s">
        <v>1735</v>
      </c>
      <c r="F531" s="21" t="s">
        <v>344</v>
      </c>
      <c r="G531" s="21" t="s">
        <v>2477</v>
      </c>
      <c r="H531" s="21" t="s">
        <v>2154</v>
      </c>
      <c r="I531" s="21">
        <v>184</v>
      </c>
      <c r="J531" s="89">
        <f t="shared" si="16"/>
        <v>0.37474541751527496</v>
      </c>
      <c r="K531" s="94">
        <f>VLOOKUP(H531,'PCT data'!B:K,10,FALSE)</f>
        <v>0.93540268400402815</v>
      </c>
      <c r="L531" s="94">
        <f t="shared" si="17"/>
        <v>0.35053786936199832</v>
      </c>
    </row>
    <row r="532" spans="1:12" x14ac:dyDescent="0.2">
      <c r="A532" s="21" t="s">
        <v>2133</v>
      </c>
      <c r="B532" s="21" t="s">
        <v>554</v>
      </c>
      <c r="C532" s="21" t="s">
        <v>555</v>
      </c>
      <c r="D532" s="21" t="s">
        <v>1736</v>
      </c>
      <c r="E532" s="21" t="s">
        <v>1737</v>
      </c>
      <c r="F532" s="21" t="s">
        <v>345</v>
      </c>
      <c r="G532" s="21" t="s">
        <v>346</v>
      </c>
      <c r="H532" s="21" t="s">
        <v>1406</v>
      </c>
      <c r="I532" s="21">
        <v>12</v>
      </c>
      <c r="J532" s="89">
        <f t="shared" si="16"/>
        <v>2.4439918533604887E-2</v>
      </c>
      <c r="K532" s="94">
        <f>VLOOKUP(H532,'PCT data'!B:K,10,FALSE)</f>
        <v>0.91550049923798604</v>
      </c>
      <c r="L532" s="94">
        <f t="shared" si="17"/>
        <v>2.2374757618850983E-2</v>
      </c>
    </row>
    <row r="533" spans="1:12" x14ac:dyDescent="0.2">
      <c r="A533" s="21" t="s">
        <v>2133</v>
      </c>
      <c r="B533" s="21" t="s">
        <v>554</v>
      </c>
      <c r="C533" s="21" t="s">
        <v>555</v>
      </c>
      <c r="D533" s="21" t="s">
        <v>1738</v>
      </c>
      <c r="E533" s="21" t="s">
        <v>1739</v>
      </c>
      <c r="F533" s="21" t="s">
        <v>347</v>
      </c>
      <c r="G533" s="21" t="s">
        <v>348</v>
      </c>
      <c r="H533" s="21" t="s">
        <v>2154</v>
      </c>
      <c r="I533" s="21">
        <v>14</v>
      </c>
      <c r="J533" s="89">
        <f t="shared" si="16"/>
        <v>2.8513238289205704E-2</v>
      </c>
      <c r="K533" s="94">
        <f>VLOOKUP(H533,'PCT data'!B:K,10,FALSE)</f>
        <v>0.93540268400402815</v>
      </c>
      <c r="L533" s="94">
        <f t="shared" si="17"/>
        <v>2.6671359625369439E-2</v>
      </c>
    </row>
    <row r="534" spans="1:12" x14ac:dyDescent="0.2">
      <c r="A534" s="21" t="s">
        <v>2133</v>
      </c>
      <c r="B534" s="21" t="s">
        <v>554</v>
      </c>
      <c r="C534" s="21" t="s">
        <v>555</v>
      </c>
      <c r="D534" s="21" t="s">
        <v>1740</v>
      </c>
      <c r="E534" s="21" t="s">
        <v>1741</v>
      </c>
      <c r="F534" s="21" t="s">
        <v>2476</v>
      </c>
      <c r="G534" s="21" t="s">
        <v>2477</v>
      </c>
      <c r="H534" s="21" t="s">
        <v>2154</v>
      </c>
      <c r="I534" s="21">
        <v>10</v>
      </c>
      <c r="J534" s="89">
        <f t="shared" si="16"/>
        <v>2.0366598778004074E-2</v>
      </c>
      <c r="K534" s="94">
        <f>VLOOKUP(H534,'PCT data'!B:K,10,FALSE)</f>
        <v>0.93540268400402815</v>
      </c>
      <c r="L534" s="94">
        <f t="shared" si="17"/>
        <v>1.9050971160978172E-2</v>
      </c>
    </row>
    <row r="535" spans="1:12" x14ac:dyDescent="0.2">
      <c r="A535" s="21" t="s">
        <v>2133</v>
      </c>
      <c r="B535" s="21" t="s">
        <v>554</v>
      </c>
      <c r="C535" s="21" t="s">
        <v>555</v>
      </c>
      <c r="D535" s="21" t="s">
        <v>1742</v>
      </c>
      <c r="E535" s="21" t="s">
        <v>1743</v>
      </c>
      <c r="F535" s="21" t="s">
        <v>349</v>
      </c>
      <c r="G535" s="21" t="s">
        <v>350</v>
      </c>
      <c r="H535" s="21" t="s">
        <v>1406</v>
      </c>
      <c r="I535" s="21">
        <v>12</v>
      </c>
      <c r="J535" s="89">
        <f t="shared" si="16"/>
        <v>2.4439918533604887E-2</v>
      </c>
      <c r="K535" s="94">
        <f>VLOOKUP(H535,'PCT data'!B:K,10,FALSE)</f>
        <v>0.91550049923798604</v>
      </c>
      <c r="L535" s="94">
        <f t="shared" si="17"/>
        <v>2.2374757618850983E-2</v>
      </c>
    </row>
    <row r="536" spans="1:12" x14ac:dyDescent="0.2">
      <c r="A536" s="21" t="s">
        <v>1167</v>
      </c>
      <c r="B536" s="21" t="s">
        <v>2263</v>
      </c>
      <c r="C536" s="21" t="s">
        <v>2264</v>
      </c>
      <c r="D536" s="21" t="s">
        <v>1744</v>
      </c>
      <c r="E536" s="21" t="s">
        <v>1180</v>
      </c>
      <c r="F536" s="21" t="s">
        <v>65</v>
      </c>
      <c r="G536" s="21" t="s">
        <v>66</v>
      </c>
      <c r="H536" s="21" t="s">
        <v>1171</v>
      </c>
      <c r="I536" s="21">
        <v>38</v>
      </c>
      <c r="J536" s="89">
        <f t="shared" si="16"/>
        <v>5.8371735791090631E-2</v>
      </c>
      <c r="K536" s="94">
        <f>VLOOKUP(H536,'PCT data'!B:K,10,FALSE)</f>
        <v>1.1344245316644608</v>
      </c>
      <c r="L536" s="94">
        <f t="shared" si="17"/>
        <v>6.6218329037249626E-2</v>
      </c>
    </row>
    <row r="537" spans="1:12" x14ac:dyDescent="0.2">
      <c r="A537" s="21" t="s">
        <v>1167</v>
      </c>
      <c r="B537" s="21" t="s">
        <v>2263</v>
      </c>
      <c r="C537" s="21" t="s">
        <v>2264</v>
      </c>
      <c r="D537" s="21" t="s">
        <v>1745</v>
      </c>
      <c r="E537" s="21" t="s">
        <v>1746</v>
      </c>
      <c r="F537" s="21" t="s">
        <v>351</v>
      </c>
      <c r="G537" s="21" t="s">
        <v>1418</v>
      </c>
      <c r="H537" s="21" t="s">
        <v>3466</v>
      </c>
      <c r="I537" s="21">
        <v>23</v>
      </c>
      <c r="J537" s="89">
        <f t="shared" si="16"/>
        <v>3.5330261136712747E-2</v>
      </c>
      <c r="K537" s="94">
        <f>VLOOKUP(H537,'PCT data'!B:K,10,FALSE)</f>
        <v>1.1045712545153963</v>
      </c>
      <c r="L537" s="94">
        <f t="shared" si="17"/>
        <v>3.9024790866135348E-2</v>
      </c>
    </row>
    <row r="538" spans="1:12" x14ac:dyDescent="0.2">
      <c r="A538" s="21" t="s">
        <v>1167</v>
      </c>
      <c r="B538" s="21" t="s">
        <v>2263</v>
      </c>
      <c r="C538" s="21" t="s">
        <v>2264</v>
      </c>
      <c r="D538" s="21" t="s">
        <v>1747</v>
      </c>
      <c r="E538" s="21" t="s">
        <v>1182</v>
      </c>
      <c r="F538" s="21" t="s">
        <v>67</v>
      </c>
      <c r="G538" s="21" t="s">
        <v>68</v>
      </c>
      <c r="H538" s="21" t="s">
        <v>3466</v>
      </c>
      <c r="I538" s="21">
        <v>226</v>
      </c>
      <c r="J538" s="89">
        <f t="shared" si="16"/>
        <v>0.34715821812596004</v>
      </c>
      <c r="K538" s="94">
        <f>VLOOKUP(H538,'PCT data'!B:K,10,FALSE)</f>
        <v>1.1045712545153963</v>
      </c>
      <c r="L538" s="94">
        <f t="shared" si="17"/>
        <v>0.38346098851072125</v>
      </c>
    </row>
    <row r="539" spans="1:12" x14ac:dyDescent="0.2">
      <c r="A539" s="21" t="s">
        <v>1167</v>
      </c>
      <c r="B539" s="21" t="s">
        <v>2263</v>
      </c>
      <c r="C539" s="21" t="s">
        <v>2264</v>
      </c>
      <c r="D539" s="21" t="s">
        <v>1748</v>
      </c>
      <c r="E539" s="21" t="s">
        <v>1749</v>
      </c>
      <c r="F539" s="21" t="s">
        <v>1419</v>
      </c>
      <c r="G539" s="21" t="s">
        <v>1420</v>
      </c>
      <c r="H539" s="21" t="s">
        <v>1171</v>
      </c>
      <c r="I539" s="21">
        <v>12</v>
      </c>
      <c r="J539" s="89">
        <f t="shared" si="16"/>
        <v>1.8433179723502304E-2</v>
      </c>
      <c r="K539" s="94">
        <f>VLOOKUP(H539,'PCT data'!B:K,10,FALSE)</f>
        <v>1.1344245316644608</v>
      </c>
      <c r="L539" s="94">
        <f t="shared" si="17"/>
        <v>2.0911051274920937E-2</v>
      </c>
    </row>
    <row r="540" spans="1:12" x14ac:dyDescent="0.2">
      <c r="A540" s="21" t="s">
        <v>1167</v>
      </c>
      <c r="B540" s="21" t="s">
        <v>2263</v>
      </c>
      <c r="C540" s="21" t="s">
        <v>2264</v>
      </c>
      <c r="D540" s="21" t="s">
        <v>1750</v>
      </c>
      <c r="E540" s="21" t="s">
        <v>1751</v>
      </c>
      <c r="F540" s="21" t="s">
        <v>1421</v>
      </c>
      <c r="G540" s="21" t="s">
        <v>1422</v>
      </c>
      <c r="H540" s="21" t="s">
        <v>1171</v>
      </c>
      <c r="I540" s="21">
        <v>181</v>
      </c>
      <c r="J540" s="89">
        <f t="shared" si="16"/>
        <v>0.27803379416282642</v>
      </c>
      <c r="K540" s="94">
        <f>VLOOKUP(H540,'PCT data'!B:K,10,FALSE)</f>
        <v>1.1344245316644608</v>
      </c>
      <c r="L540" s="94">
        <f t="shared" si="17"/>
        <v>0.31540835673005746</v>
      </c>
    </row>
    <row r="541" spans="1:12" x14ac:dyDescent="0.2">
      <c r="A541" s="21" t="s">
        <v>1167</v>
      </c>
      <c r="B541" s="21" t="s">
        <v>2263</v>
      </c>
      <c r="C541" s="21" t="s">
        <v>2264</v>
      </c>
      <c r="D541" s="21" t="s">
        <v>1752</v>
      </c>
      <c r="E541" s="21" t="s">
        <v>1753</v>
      </c>
      <c r="F541" s="21" t="s">
        <v>1423</v>
      </c>
      <c r="G541" s="21" t="s">
        <v>1424</v>
      </c>
      <c r="H541" s="21" t="s">
        <v>1173</v>
      </c>
      <c r="I541" s="21">
        <v>171</v>
      </c>
      <c r="J541" s="89">
        <f t="shared" si="16"/>
        <v>0.26267281105990781</v>
      </c>
      <c r="K541" s="94">
        <f>VLOOKUP(H541,'PCT data'!B:K,10,FALSE)</f>
        <v>1.2140332707286337</v>
      </c>
      <c r="L541" s="94">
        <f t="shared" si="17"/>
        <v>0.31889353194254427</v>
      </c>
    </row>
    <row r="542" spans="1:12" x14ac:dyDescent="0.2">
      <c r="A542" s="21" t="s">
        <v>1127</v>
      </c>
      <c r="B542" s="21" t="s">
        <v>2304</v>
      </c>
      <c r="C542" s="21" t="s">
        <v>2305</v>
      </c>
      <c r="D542" s="21" t="s">
        <v>728</v>
      </c>
      <c r="E542" s="21" t="s">
        <v>729</v>
      </c>
      <c r="F542" s="21" t="s">
        <v>1425</v>
      </c>
      <c r="G542" s="21" t="s">
        <v>1426</v>
      </c>
      <c r="H542" s="21" t="s">
        <v>1133</v>
      </c>
      <c r="I542" s="21">
        <v>169</v>
      </c>
      <c r="J542" s="89">
        <f t="shared" si="16"/>
        <v>0.36344086021505378</v>
      </c>
      <c r="K542" s="94">
        <f>VLOOKUP(H542,'PCT data'!B:K,10,FALSE)</f>
        <v>0.97520705353611448</v>
      </c>
      <c r="L542" s="94">
        <f t="shared" si="17"/>
        <v>0.35443009042495344</v>
      </c>
    </row>
    <row r="543" spans="1:12" x14ac:dyDescent="0.2">
      <c r="A543" s="21" t="s">
        <v>1127</v>
      </c>
      <c r="B543" s="21" t="s">
        <v>2304</v>
      </c>
      <c r="C543" s="21" t="s">
        <v>2305</v>
      </c>
      <c r="D543" s="21" t="s">
        <v>1754</v>
      </c>
      <c r="E543" s="21" t="s">
        <v>1755</v>
      </c>
      <c r="F543" s="21" t="s">
        <v>1427</v>
      </c>
      <c r="G543" s="21" t="s">
        <v>1428</v>
      </c>
      <c r="H543" s="21" t="s">
        <v>1133</v>
      </c>
      <c r="I543" s="21">
        <v>155</v>
      </c>
      <c r="J543" s="89">
        <f t="shared" si="16"/>
        <v>0.33333333333333331</v>
      </c>
      <c r="K543" s="94">
        <f>VLOOKUP(H543,'PCT data'!B:K,10,FALSE)</f>
        <v>0.97520705353611448</v>
      </c>
      <c r="L543" s="94">
        <f t="shared" si="17"/>
        <v>0.32506901784537146</v>
      </c>
    </row>
    <row r="544" spans="1:12" x14ac:dyDescent="0.2">
      <c r="A544" s="21" t="s">
        <v>1127</v>
      </c>
      <c r="B544" s="21" t="s">
        <v>2304</v>
      </c>
      <c r="C544" s="21" t="s">
        <v>2305</v>
      </c>
      <c r="D544" s="21" t="s">
        <v>1756</v>
      </c>
      <c r="E544" s="21" t="s">
        <v>1757</v>
      </c>
      <c r="F544" s="21" t="s">
        <v>1429</v>
      </c>
      <c r="G544" s="21" t="s">
        <v>1428</v>
      </c>
      <c r="H544" s="21" t="s">
        <v>1133</v>
      </c>
      <c r="I544" s="21">
        <v>51</v>
      </c>
      <c r="J544" s="89">
        <f t="shared" si="16"/>
        <v>0.10967741935483871</v>
      </c>
      <c r="K544" s="94">
        <f>VLOOKUP(H544,'PCT data'!B:K,10,FALSE)</f>
        <v>0.97520705353611448</v>
      </c>
      <c r="L544" s="94">
        <f t="shared" si="17"/>
        <v>0.10695819296847707</v>
      </c>
    </row>
    <row r="545" spans="1:12" x14ac:dyDescent="0.2">
      <c r="A545" s="21" t="s">
        <v>1127</v>
      </c>
      <c r="B545" s="21" t="s">
        <v>2304</v>
      </c>
      <c r="C545" s="21" t="s">
        <v>2305</v>
      </c>
      <c r="D545" s="21" t="s">
        <v>1758</v>
      </c>
      <c r="E545" s="21" t="s">
        <v>1759</v>
      </c>
      <c r="F545" s="21" t="s">
        <v>1430</v>
      </c>
      <c r="G545" s="21" t="s">
        <v>1431</v>
      </c>
      <c r="H545" s="21" t="s">
        <v>1157</v>
      </c>
      <c r="I545" s="21">
        <v>70</v>
      </c>
      <c r="J545" s="89">
        <f t="shared" si="16"/>
        <v>0.15053763440860216</v>
      </c>
      <c r="K545" s="94">
        <f>VLOOKUP(H545,'PCT data'!B:K,10,FALSE)</f>
        <v>0.94535377638704965</v>
      </c>
      <c r="L545" s="94">
        <f t="shared" si="17"/>
        <v>0.1423113211765451</v>
      </c>
    </row>
    <row r="546" spans="1:12" x14ac:dyDescent="0.2">
      <c r="A546" s="21" t="s">
        <v>1127</v>
      </c>
      <c r="B546" s="21" t="s">
        <v>2304</v>
      </c>
      <c r="C546" s="21" t="s">
        <v>2305</v>
      </c>
      <c r="D546" s="21" t="s">
        <v>1760</v>
      </c>
      <c r="E546" s="21" t="s">
        <v>1761</v>
      </c>
      <c r="F546" s="21" t="s">
        <v>1432</v>
      </c>
      <c r="G546" s="21" t="s">
        <v>949</v>
      </c>
      <c r="H546" s="21" t="s">
        <v>1157</v>
      </c>
      <c r="I546" s="21">
        <v>20</v>
      </c>
      <c r="J546" s="89">
        <f t="shared" si="16"/>
        <v>4.3010752688172046E-2</v>
      </c>
      <c r="K546" s="94">
        <f>VLOOKUP(H546,'PCT data'!B:K,10,FALSE)</f>
        <v>0.94535377638704965</v>
      </c>
      <c r="L546" s="94">
        <f t="shared" si="17"/>
        <v>4.0660377479012889E-2</v>
      </c>
    </row>
    <row r="547" spans="1:12" x14ac:dyDescent="0.2">
      <c r="A547" s="21" t="s">
        <v>2975</v>
      </c>
      <c r="B547" s="21" t="s">
        <v>3694</v>
      </c>
      <c r="C547" s="21" t="s">
        <v>3695</v>
      </c>
      <c r="D547" s="21" t="s">
        <v>728</v>
      </c>
      <c r="E547" s="21" t="s">
        <v>729</v>
      </c>
      <c r="F547" s="21" t="s">
        <v>1433</v>
      </c>
      <c r="G547" s="21" t="s">
        <v>1434</v>
      </c>
      <c r="H547" s="21" t="s">
        <v>3013</v>
      </c>
      <c r="I547" s="21">
        <v>8</v>
      </c>
      <c r="J547" s="89">
        <f t="shared" si="16"/>
        <v>1.6359918200408999E-2</v>
      </c>
      <c r="K547" s="94">
        <f>VLOOKUP(H547,'PCT data'!B:K,10,FALSE)</f>
        <v>0.90554940685496443</v>
      </c>
      <c r="L547" s="94">
        <f t="shared" si="17"/>
        <v>1.4814714222576107E-2</v>
      </c>
    </row>
    <row r="548" spans="1:12" x14ac:dyDescent="0.2">
      <c r="A548" s="21" t="s">
        <v>2975</v>
      </c>
      <c r="B548" s="21" t="s">
        <v>3694</v>
      </c>
      <c r="C548" s="21" t="s">
        <v>3695</v>
      </c>
      <c r="D548" s="21" t="s">
        <v>1762</v>
      </c>
      <c r="E548" s="21" t="s">
        <v>1237</v>
      </c>
      <c r="F548" s="21" t="s">
        <v>115</v>
      </c>
      <c r="G548" s="21" t="s">
        <v>116</v>
      </c>
      <c r="H548" s="21" t="s">
        <v>3000</v>
      </c>
      <c r="I548" s="21">
        <v>72</v>
      </c>
      <c r="J548" s="89">
        <f t="shared" si="16"/>
        <v>0.14723926380368099</v>
      </c>
      <c r="K548" s="94">
        <f>VLOOKUP(H548,'PCT data'!B:K,10,FALSE)</f>
        <v>0.88564722208892122</v>
      </c>
      <c r="L548" s="94">
        <f t="shared" si="17"/>
        <v>0.13040204497014793</v>
      </c>
    </row>
    <row r="549" spans="1:12" x14ac:dyDescent="0.2">
      <c r="A549" s="21" t="s">
        <v>2975</v>
      </c>
      <c r="B549" s="21" t="s">
        <v>3694</v>
      </c>
      <c r="C549" s="21" t="s">
        <v>3695</v>
      </c>
      <c r="D549" s="21" t="s">
        <v>1763</v>
      </c>
      <c r="E549" s="21" t="s">
        <v>1764</v>
      </c>
      <c r="F549" s="21" t="s">
        <v>3236</v>
      </c>
      <c r="G549" s="21" t="s">
        <v>3237</v>
      </c>
      <c r="H549" s="21" t="s">
        <v>3013</v>
      </c>
      <c r="I549" s="21">
        <v>87</v>
      </c>
      <c r="J549" s="89">
        <f t="shared" si="16"/>
        <v>0.17791411042944785</v>
      </c>
      <c r="K549" s="94">
        <f>VLOOKUP(H549,'PCT data'!B:K,10,FALSE)</f>
        <v>0.90554940685496443</v>
      </c>
      <c r="L549" s="94">
        <f t="shared" si="17"/>
        <v>0.16111001717051515</v>
      </c>
    </row>
    <row r="550" spans="1:12" x14ac:dyDescent="0.2">
      <c r="A550" s="21" t="s">
        <v>2975</v>
      </c>
      <c r="B550" s="21" t="s">
        <v>3694</v>
      </c>
      <c r="C550" s="21" t="s">
        <v>3695</v>
      </c>
      <c r="D550" s="21" t="s">
        <v>1765</v>
      </c>
      <c r="E550" s="21" t="s">
        <v>1766</v>
      </c>
      <c r="F550" s="21" t="s">
        <v>1435</v>
      </c>
      <c r="G550" s="21" t="s">
        <v>118</v>
      </c>
      <c r="H550" s="21" t="s">
        <v>3612</v>
      </c>
      <c r="I550" s="21">
        <v>66</v>
      </c>
      <c r="J550" s="89">
        <f t="shared" si="16"/>
        <v>0.13496932515337423</v>
      </c>
      <c r="K550" s="94">
        <f>VLOOKUP(H550,'PCT data'!B:K,10,FALSE)</f>
        <v>0.90554940685496443</v>
      </c>
      <c r="L550" s="94">
        <f t="shared" si="17"/>
        <v>0.12222139233625287</v>
      </c>
    </row>
    <row r="551" spans="1:12" x14ac:dyDescent="0.2">
      <c r="A551" s="21" t="s">
        <v>2975</v>
      </c>
      <c r="B551" s="21" t="s">
        <v>3694</v>
      </c>
      <c r="C551" s="21" t="s">
        <v>3695</v>
      </c>
      <c r="D551" s="21" t="s">
        <v>1767</v>
      </c>
      <c r="E551" s="21" t="s">
        <v>1233</v>
      </c>
      <c r="F551" s="21" t="s">
        <v>111</v>
      </c>
      <c r="G551" s="21" t="s">
        <v>112</v>
      </c>
      <c r="H551" s="21" t="s">
        <v>3605</v>
      </c>
      <c r="I551" s="21">
        <v>65</v>
      </c>
      <c r="J551" s="89">
        <f t="shared" si="16"/>
        <v>0.1329243353783231</v>
      </c>
      <c r="K551" s="94">
        <f>VLOOKUP(H551,'PCT data'!B:K,10,FALSE)</f>
        <v>0.90554940685496443</v>
      </c>
      <c r="L551" s="94">
        <f t="shared" si="17"/>
        <v>0.12036955305843085</v>
      </c>
    </row>
    <row r="552" spans="1:12" x14ac:dyDescent="0.2">
      <c r="A552" s="21" t="s">
        <v>2975</v>
      </c>
      <c r="B552" s="21" t="s">
        <v>3694</v>
      </c>
      <c r="C552" s="21" t="s">
        <v>3695</v>
      </c>
      <c r="D552" s="21" t="s">
        <v>1768</v>
      </c>
      <c r="E552" s="21" t="s">
        <v>1279</v>
      </c>
      <c r="F552" s="21" t="s">
        <v>157</v>
      </c>
      <c r="G552" s="21" t="s">
        <v>156</v>
      </c>
      <c r="H552" s="21" t="s">
        <v>3023</v>
      </c>
      <c r="I552" s="21">
        <v>93</v>
      </c>
      <c r="J552" s="89">
        <f t="shared" si="16"/>
        <v>0.19018404907975461</v>
      </c>
      <c r="K552" s="94">
        <f>VLOOKUP(H552,'PCT data'!B:K,10,FALSE)</f>
        <v>0.90554940685496443</v>
      </c>
      <c r="L552" s="94">
        <f t="shared" si="17"/>
        <v>0.17222105283744724</v>
      </c>
    </row>
    <row r="553" spans="1:12" x14ac:dyDescent="0.2">
      <c r="A553" s="21" t="s">
        <v>2975</v>
      </c>
      <c r="B553" s="21" t="s">
        <v>3694</v>
      </c>
      <c r="C553" s="21" t="s">
        <v>3695</v>
      </c>
      <c r="D553" s="21" t="s">
        <v>1769</v>
      </c>
      <c r="E553" s="21" t="s">
        <v>1770</v>
      </c>
      <c r="F553" s="21" t="s">
        <v>1436</v>
      </c>
      <c r="G553" s="21" t="s">
        <v>1437</v>
      </c>
      <c r="H553" s="21" t="s">
        <v>3013</v>
      </c>
      <c r="I553" s="21">
        <v>22</v>
      </c>
      <c r="J553" s="89">
        <f t="shared" si="16"/>
        <v>4.4989775051124746E-2</v>
      </c>
      <c r="K553" s="94">
        <f>VLOOKUP(H553,'PCT data'!B:K,10,FALSE)</f>
        <v>0.90554940685496443</v>
      </c>
      <c r="L553" s="94">
        <f t="shared" si="17"/>
        <v>4.074046411208429E-2</v>
      </c>
    </row>
    <row r="554" spans="1:12" x14ac:dyDescent="0.2">
      <c r="A554" s="21" t="s">
        <v>2975</v>
      </c>
      <c r="B554" s="21" t="s">
        <v>3694</v>
      </c>
      <c r="C554" s="21" t="s">
        <v>3695</v>
      </c>
      <c r="D554" s="21" t="s">
        <v>1771</v>
      </c>
      <c r="E554" s="21" t="s">
        <v>1772</v>
      </c>
      <c r="F554" s="21" t="s">
        <v>1438</v>
      </c>
      <c r="G554" s="21" t="s">
        <v>1439</v>
      </c>
      <c r="H554" s="21" t="s">
        <v>3023</v>
      </c>
      <c r="I554" s="21">
        <v>45</v>
      </c>
      <c r="J554" s="89">
        <f t="shared" si="16"/>
        <v>9.202453987730061E-2</v>
      </c>
      <c r="K554" s="94">
        <f>VLOOKUP(H554,'PCT data'!B:K,10,FALSE)</f>
        <v>0.90554940685496443</v>
      </c>
      <c r="L554" s="94">
        <f t="shared" si="17"/>
        <v>8.333276750199059E-2</v>
      </c>
    </row>
    <row r="555" spans="1:12" x14ac:dyDescent="0.2">
      <c r="A555" s="21" t="s">
        <v>2975</v>
      </c>
      <c r="B555" s="21" t="s">
        <v>3694</v>
      </c>
      <c r="C555" s="21" t="s">
        <v>3695</v>
      </c>
      <c r="D555" s="21" t="s">
        <v>1773</v>
      </c>
      <c r="E555" s="21" t="s">
        <v>1774</v>
      </c>
      <c r="F555" s="21" t="s">
        <v>1440</v>
      </c>
      <c r="G555" s="21" t="s">
        <v>1441</v>
      </c>
      <c r="H555" s="21" t="s">
        <v>3023</v>
      </c>
      <c r="I555" s="21">
        <v>19</v>
      </c>
      <c r="J555" s="89">
        <f t="shared" si="16"/>
        <v>3.8854805725971372E-2</v>
      </c>
      <c r="K555" s="94">
        <f>VLOOKUP(H555,'PCT data'!B:K,10,FALSE)</f>
        <v>0.90554940685496443</v>
      </c>
      <c r="L555" s="94">
        <f t="shared" si="17"/>
        <v>3.5184946278618255E-2</v>
      </c>
    </row>
    <row r="556" spans="1:12" x14ac:dyDescent="0.2">
      <c r="A556" s="21" t="s">
        <v>2975</v>
      </c>
      <c r="B556" s="21" t="s">
        <v>3694</v>
      </c>
      <c r="C556" s="21" t="s">
        <v>3695</v>
      </c>
      <c r="D556" s="21" t="s">
        <v>1775</v>
      </c>
      <c r="E556" s="21" t="s">
        <v>2792</v>
      </c>
      <c r="F556" s="21" t="s">
        <v>1442</v>
      </c>
      <c r="G556" s="21" t="s">
        <v>1443</v>
      </c>
      <c r="H556" s="21" t="s">
        <v>3605</v>
      </c>
      <c r="I556" s="21">
        <v>12</v>
      </c>
      <c r="J556" s="89">
        <f t="shared" si="16"/>
        <v>2.4539877300613498E-2</v>
      </c>
      <c r="K556" s="94">
        <f>VLOOKUP(H556,'PCT data'!B:K,10,FALSE)</f>
        <v>0.90554940685496443</v>
      </c>
      <c r="L556" s="94">
        <f t="shared" si="17"/>
        <v>2.2222071333864158E-2</v>
      </c>
    </row>
    <row r="557" spans="1:12" x14ac:dyDescent="0.2">
      <c r="A557" s="21" t="s">
        <v>3069</v>
      </c>
      <c r="B557" s="21" t="s">
        <v>365</v>
      </c>
      <c r="C557" s="21" t="s">
        <v>366</v>
      </c>
      <c r="D557" s="21" t="s">
        <v>728</v>
      </c>
      <c r="E557" s="21" t="s">
        <v>729</v>
      </c>
      <c r="F557" s="21" t="s">
        <v>1444</v>
      </c>
      <c r="G557" s="21" t="s">
        <v>239</v>
      </c>
      <c r="H557" s="21" t="s">
        <v>2122</v>
      </c>
      <c r="I557" s="21">
        <v>200</v>
      </c>
      <c r="J557" s="89">
        <f t="shared" si="16"/>
        <v>0.36968576709796674</v>
      </c>
      <c r="K557" s="94">
        <f>VLOOKUP(H557,'PCT data'!B:K,10,FALSE)</f>
        <v>0.91550049923798604</v>
      </c>
      <c r="L557" s="94">
        <f t="shared" si="17"/>
        <v>0.33844750433936638</v>
      </c>
    </row>
    <row r="558" spans="1:12" x14ac:dyDescent="0.2">
      <c r="A558" s="21" t="s">
        <v>3069</v>
      </c>
      <c r="B558" s="21" t="s">
        <v>365</v>
      </c>
      <c r="C558" s="21" t="s">
        <v>366</v>
      </c>
      <c r="D558" s="21" t="s">
        <v>2793</v>
      </c>
      <c r="E558" s="21" t="s">
        <v>2794</v>
      </c>
      <c r="F558" s="21" t="s">
        <v>135</v>
      </c>
      <c r="G558" s="21" t="s">
        <v>136</v>
      </c>
      <c r="H558" s="21" t="s">
        <v>2122</v>
      </c>
      <c r="I558" s="21">
        <v>129</v>
      </c>
      <c r="J558" s="89">
        <f t="shared" si="16"/>
        <v>0.23844731977818853</v>
      </c>
      <c r="K558" s="94">
        <f>VLOOKUP(H558,'PCT data'!B:K,10,FALSE)</f>
        <v>0.91550049923798604</v>
      </c>
      <c r="L558" s="94">
        <f t="shared" si="17"/>
        <v>0.21829864029889132</v>
      </c>
    </row>
    <row r="559" spans="1:12" x14ac:dyDescent="0.2">
      <c r="A559" s="21" t="s">
        <v>3069</v>
      </c>
      <c r="B559" s="21" t="s">
        <v>365</v>
      </c>
      <c r="C559" s="21" t="s">
        <v>366</v>
      </c>
      <c r="D559" s="21" t="s">
        <v>2795</v>
      </c>
      <c r="E559" s="21" t="s">
        <v>2796</v>
      </c>
      <c r="F559" s="21" t="s">
        <v>1445</v>
      </c>
      <c r="G559" s="21" t="s">
        <v>134</v>
      </c>
      <c r="H559" s="21" t="s">
        <v>2122</v>
      </c>
      <c r="I559" s="21">
        <v>34</v>
      </c>
      <c r="J559" s="89">
        <f t="shared" si="16"/>
        <v>6.2846580406654348E-2</v>
      </c>
      <c r="K559" s="94">
        <f>VLOOKUP(H559,'PCT data'!B:K,10,FALSE)</f>
        <v>0.91550049923798604</v>
      </c>
      <c r="L559" s="94">
        <f t="shared" si="17"/>
        <v>5.7536075737692288E-2</v>
      </c>
    </row>
    <row r="560" spans="1:12" x14ac:dyDescent="0.2">
      <c r="A560" s="21" t="s">
        <v>3069</v>
      </c>
      <c r="B560" s="21" t="s">
        <v>365</v>
      </c>
      <c r="C560" s="21" t="s">
        <v>366</v>
      </c>
      <c r="D560" s="21" t="s">
        <v>2797</v>
      </c>
      <c r="E560" s="21" t="s">
        <v>2798</v>
      </c>
      <c r="F560" s="21" t="s">
        <v>1446</v>
      </c>
      <c r="G560" s="21" t="s">
        <v>134</v>
      </c>
      <c r="H560" s="21" t="s">
        <v>2122</v>
      </c>
      <c r="I560" s="21">
        <v>126</v>
      </c>
      <c r="J560" s="89">
        <f t="shared" si="16"/>
        <v>0.23290203327171904</v>
      </c>
      <c r="K560" s="94">
        <f>VLOOKUP(H560,'PCT data'!B:K,10,FALSE)</f>
        <v>0.91550049923798604</v>
      </c>
      <c r="L560" s="94">
        <f t="shared" si="17"/>
        <v>0.21322192773380083</v>
      </c>
    </row>
    <row r="561" spans="1:12" x14ac:dyDescent="0.2">
      <c r="A561" s="21" t="s">
        <v>3069</v>
      </c>
      <c r="B561" s="21" t="s">
        <v>365</v>
      </c>
      <c r="C561" s="21" t="s">
        <v>366</v>
      </c>
      <c r="D561" s="21" t="s">
        <v>2799</v>
      </c>
      <c r="E561" s="21" t="s">
        <v>2800</v>
      </c>
      <c r="F561" s="21" t="s">
        <v>1447</v>
      </c>
      <c r="G561" s="21" t="s">
        <v>136</v>
      </c>
      <c r="H561" s="21" t="s">
        <v>2122</v>
      </c>
      <c r="I561" s="21">
        <v>52</v>
      </c>
      <c r="J561" s="89">
        <f t="shared" si="16"/>
        <v>9.6118299445471345E-2</v>
      </c>
      <c r="K561" s="94">
        <f>VLOOKUP(H561,'PCT data'!B:K,10,FALSE)</f>
        <v>0.91550049923798604</v>
      </c>
      <c r="L561" s="94">
        <f t="shared" si="17"/>
        <v>8.7996351128235256E-2</v>
      </c>
    </row>
    <row r="562" spans="1:12" x14ac:dyDescent="0.2">
      <c r="A562" s="21" t="s">
        <v>1127</v>
      </c>
      <c r="B562" s="21" t="s">
        <v>407</v>
      </c>
      <c r="C562" s="21" t="s">
        <v>2801</v>
      </c>
      <c r="D562" s="21" t="s">
        <v>728</v>
      </c>
      <c r="E562" s="21" t="s">
        <v>729</v>
      </c>
      <c r="F562" s="21" t="s">
        <v>1448</v>
      </c>
      <c r="G562" s="21" t="s">
        <v>1449</v>
      </c>
      <c r="H562" s="21" t="s">
        <v>1145</v>
      </c>
      <c r="I562" s="21">
        <v>113</v>
      </c>
      <c r="J562" s="89">
        <f t="shared" si="16"/>
        <v>0.18991596638655461</v>
      </c>
      <c r="K562" s="94">
        <f>VLOOKUP(H562,'PCT data'!B:K,10,FALSE)</f>
        <v>0.94535377638704965</v>
      </c>
      <c r="L562" s="94">
        <f t="shared" si="17"/>
        <v>0.1795377760197254</v>
      </c>
    </row>
    <row r="563" spans="1:12" x14ac:dyDescent="0.2">
      <c r="A563" s="21" t="s">
        <v>1127</v>
      </c>
      <c r="B563" s="21" t="s">
        <v>407</v>
      </c>
      <c r="C563" s="21" t="s">
        <v>2801</v>
      </c>
      <c r="D563" s="21" t="s">
        <v>2802</v>
      </c>
      <c r="E563" s="21" t="s">
        <v>2803</v>
      </c>
      <c r="F563" s="21" t="s">
        <v>1450</v>
      </c>
      <c r="G563" s="21" t="s">
        <v>1449</v>
      </c>
      <c r="H563" s="21" t="s">
        <v>1145</v>
      </c>
      <c r="I563" s="21">
        <v>64</v>
      </c>
      <c r="J563" s="89">
        <f t="shared" si="16"/>
        <v>0.10756302521008404</v>
      </c>
      <c r="K563" s="94">
        <f>VLOOKUP(H563,'PCT data'!B:K,10,FALSE)</f>
        <v>0.94535377638704965</v>
      </c>
      <c r="L563" s="94">
        <f t="shared" si="17"/>
        <v>0.10168511208196837</v>
      </c>
    </row>
    <row r="564" spans="1:12" x14ac:dyDescent="0.2">
      <c r="A564" s="21" t="s">
        <v>3528</v>
      </c>
      <c r="B564" s="21" t="s">
        <v>3372</v>
      </c>
      <c r="C564" s="21" t="s">
        <v>3373</v>
      </c>
      <c r="D564" s="21" t="s">
        <v>728</v>
      </c>
      <c r="E564" s="21" t="s">
        <v>729</v>
      </c>
      <c r="F564" s="21" t="s">
        <v>1451</v>
      </c>
      <c r="G564" s="21" t="s">
        <v>1452</v>
      </c>
      <c r="H564" s="21" t="s">
        <v>3530</v>
      </c>
      <c r="I564" s="21">
        <v>91</v>
      </c>
      <c r="J564" s="89">
        <f t="shared" si="16"/>
        <v>0.44827586206896552</v>
      </c>
      <c r="K564" s="94">
        <f>VLOOKUP(H564,'PCT data'!B:K,10,FALSE)</f>
        <v>0.97520705353611448</v>
      </c>
      <c r="L564" s="94">
        <f t="shared" si="17"/>
        <v>0.43716178261963751</v>
      </c>
    </row>
    <row r="565" spans="1:12" x14ac:dyDescent="0.2">
      <c r="A565" s="21" t="s">
        <v>3528</v>
      </c>
      <c r="B565" s="21" t="s">
        <v>3372</v>
      </c>
      <c r="C565" s="21" t="s">
        <v>3373</v>
      </c>
      <c r="D565" s="21" t="s">
        <v>2804</v>
      </c>
      <c r="E565" s="21" t="s">
        <v>2805</v>
      </c>
      <c r="F565" s="21" t="s">
        <v>1453</v>
      </c>
      <c r="G565" s="21" t="s">
        <v>3408</v>
      </c>
      <c r="H565" s="21" t="s">
        <v>3530</v>
      </c>
      <c r="I565" s="21">
        <v>40</v>
      </c>
      <c r="J565" s="89">
        <f t="shared" si="16"/>
        <v>0.19704433497536947</v>
      </c>
      <c r="K565" s="94">
        <f>VLOOKUP(H565,'PCT data'!B:K,10,FALSE)</f>
        <v>0.97520705353611448</v>
      </c>
      <c r="L565" s="94">
        <f t="shared" si="17"/>
        <v>0.19215902532731322</v>
      </c>
    </row>
    <row r="566" spans="1:12" x14ac:dyDescent="0.2">
      <c r="A566" s="21" t="s">
        <v>3528</v>
      </c>
      <c r="B566" s="21" t="s">
        <v>3372</v>
      </c>
      <c r="C566" s="21" t="s">
        <v>3373</v>
      </c>
      <c r="D566" s="21" t="s">
        <v>2806</v>
      </c>
      <c r="E566" s="21" t="s">
        <v>2807</v>
      </c>
      <c r="F566" s="21" t="s">
        <v>1454</v>
      </c>
      <c r="G566" s="21" t="s">
        <v>3412</v>
      </c>
      <c r="H566" s="21" t="s">
        <v>3530</v>
      </c>
      <c r="I566" s="21">
        <v>72</v>
      </c>
      <c r="J566" s="89">
        <f t="shared" si="16"/>
        <v>0.35467980295566504</v>
      </c>
      <c r="K566" s="94">
        <f>VLOOKUP(H566,'PCT data'!B:K,10,FALSE)</f>
        <v>0.97520705353611448</v>
      </c>
      <c r="L566" s="94">
        <f t="shared" si="17"/>
        <v>0.34588624558916375</v>
      </c>
    </row>
    <row r="567" spans="1:12" x14ac:dyDescent="0.2">
      <c r="A567" s="21" t="s">
        <v>2975</v>
      </c>
      <c r="B567" s="21" t="s">
        <v>3376</v>
      </c>
      <c r="C567" s="21" t="s">
        <v>3377</v>
      </c>
      <c r="D567" s="21" t="s">
        <v>2808</v>
      </c>
      <c r="E567" s="21" t="s">
        <v>2809</v>
      </c>
      <c r="F567" s="21" t="s">
        <v>164</v>
      </c>
      <c r="G567" s="21" t="s">
        <v>165</v>
      </c>
      <c r="H567" s="21" t="s">
        <v>3603</v>
      </c>
      <c r="I567" s="21">
        <v>40</v>
      </c>
      <c r="J567" s="89">
        <f t="shared" si="16"/>
        <v>0.10989010989010989</v>
      </c>
      <c r="K567" s="94">
        <f>VLOOKUP(H567,'PCT data'!B:K,10,FALSE)</f>
        <v>0.93540268400402815</v>
      </c>
      <c r="L567" s="94">
        <f t="shared" si="17"/>
        <v>0.10279150373670638</v>
      </c>
    </row>
    <row r="568" spans="1:12" x14ac:dyDescent="0.2">
      <c r="A568" s="21" t="s">
        <v>2975</v>
      </c>
      <c r="B568" s="21" t="s">
        <v>3376</v>
      </c>
      <c r="C568" s="21" t="s">
        <v>3377</v>
      </c>
      <c r="D568" s="21" t="s">
        <v>2810</v>
      </c>
      <c r="E568" s="21" t="s">
        <v>2811</v>
      </c>
      <c r="F568" s="21" t="s">
        <v>1455</v>
      </c>
      <c r="G568" s="21" t="s">
        <v>1456</v>
      </c>
      <c r="H568" s="21" t="s">
        <v>2977</v>
      </c>
      <c r="I568" s="21">
        <v>96</v>
      </c>
      <c r="J568" s="89">
        <f t="shared" si="16"/>
        <v>0.26373626373626374</v>
      </c>
      <c r="K568" s="94">
        <f>VLOOKUP(H568,'PCT data'!B:K,10,FALSE)</f>
        <v>0.89559831447194282</v>
      </c>
      <c r="L568" s="94">
        <f t="shared" si="17"/>
        <v>0.23620175326732559</v>
      </c>
    </row>
    <row r="569" spans="1:12" x14ac:dyDescent="0.2">
      <c r="A569" s="21" t="s">
        <v>2975</v>
      </c>
      <c r="B569" s="21" t="s">
        <v>3376</v>
      </c>
      <c r="C569" s="21" t="s">
        <v>3377</v>
      </c>
      <c r="D569" s="21" t="s">
        <v>2812</v>
      </c>
      <c r="E569" s="21" t="s">
        <v>2813</v>
      </c>
      <c r="F569" s="21" t="s">
        <v>1457</v>
      </c>
      <c r="G569" s="21" t="s">
        <v>1458</v>
      </c>
      <c r="H569" s="21" t="s">
        <v>2977</v>
      </c>
      <c r="I569" s="21">
        <v>16</v>
      </c>
      <c r="J569" s="89">
        <f t="shared" si="16"/>
        <v>4.3956043956043959E-2</v>
      </c>
      <c r="K569" s="94">
        <f>VLOOKUP(H569,'PCT data'!B:K,10,FALSE)</f>
        <v>0.89559831447194282</v>
      </c>
      <c r="L569" s="94">
        <f t="shared" si="17"/>
        <v>3.9366958877887596E-2</v>
      </c>
    </row>
    <row r="570" spans="1:12" x14ac:dyDescent="0.2">
      <c r="A570" s="21" t="s">
        <v>2975</v>
      </c>
      <c r="B570" s="21" t="s">
        <v>3376</v>
      </c>
      <c r="C570" s="21" t="s">
        <v>3377</v>
      </c>
      <c r="D570" s="21" t="s">
        <v>2814</v>
      </c>
      <c r="E570" s="21" t="s">
        <v>2815</v>
      </c>
      <c r="F570" s="21" t="s">
        <v>1074</v>
      </c>
      <c r="G570" s="21" t="s">
        <v>1075</v>
      </c>
      <c r="H570" s="21" t="s">
        <v>3021</v>
      </c>
      <c r="I570" s="21">
        <v>45</v>
      </c>
      <c r="J570" s="89">
        <f t="shared" si="16"/>
        <v>0.12362637362637363</v>
      </c>
      <c r="K570" s="94">
        <f>VLOOKUP(H570,'PCT data'!B:K,10,FALSE)</f>
        <v>0.89559831447194282</v>
      </c>
      <c r="L570" s="94">
        <f t="shared" si="17"/>
        <v>0.11071957184405887</v>
      </c>
    </row>
    <row r="571" spans="1:12" x14ac:dyDescent="0.2">
      <c r="A571" s="21" t="s">
        <v>2975</v>
      </c>
      <c r="B571" s="21" t="s">
        <v>3376</v>
      </c>
      <c r="C571" s="21" t="s">
        <v>3377</v>
      </c>
      <c r="D571" s="21" t="s">
        <v>2816</v>
      </c>
      <c r="E571" s="21" t="s">
        <v>2817</v>
      </c>
      <c r="F571" s="21" t="s">
        <v>1459</v>
      </c>
      <c r="G571" s="21" t="s">
        <v>1460</v>
      </c>
      <c r="H571" s="21" t="s">
        <v>3021</v>
      </c>
      <c r="I571" s="21">
        <v>8</v>
      </c>
      <c r="J571" s="89">
        <f t="shared" si="16"/>
        <v>2.197802197802198E-2</v>
      </c>
      <c r="K571" s="94">
        <f>VLOOKUP(H571,'PCT data'!B:K,10,FALSE)</f>
        <v>0.89559831447194282</v>
      </c>
      <c r="L571" s="94">
        <f t="shared" si="17"/>
        <v>1.9683479438943798E-2</v>
      </c>
    </row>
    <row r="572" spans="1:12" x14ac:dyDescent="0.2">
      <c r="A572" s="21" t="s">
        <v>2975</v>
      </c>
      <c r="B572" s="21" t="s">
        <v>3376</v>
      </c>
      <c r="C572" s="21" t="s">
        <v>3377</v>
      </c>
      <c r="D572" s="21" t="s">
        <v>2818</v>
      </c>
      <c r="E572" s="21" t="s">
        <v>2819</v>
      </c>
      <c r="F572" s="21" t="s">
        <v>1072</v>
      </c>
      <c r="G572" s="21" t="s">
        <v>1073</v>
      </c>
      <c r="H572" s="21" t="s">
        <v>3603</v>
      </c>
      <c r="I572" s="21">
        <v>50</v>
      </c>
      <c r="J572" s="89">
        <f t="shared" si="16"/>
        <v>0.13736263736263737</v>
      </c>
      <c r="K572" s="94">
        <f>VLOOKUP(H572,'PCT data'!B:K,10,FALSE)</f>
        <v>0.93540268400402815</v>
      </c>
      <c r="L572" s="94">
        <f t="shared" si="17"/>
        <v>0.128489379670883</v>
      </c>
    </row>
    <row r="573" spans="1:12" x14ac:dyDescent="0.2">
      <c r="A573" s="21" t="s">
        <v>2975</v>
      </c>
      <c r="B573" s="21" t="s">
        <v>3376</v>
      </c>
      <c r="C573" s="21" t="s">
        <v>3377</v>
      </c>
      <c r="D573" s="21" t="s">
        <v>2820</v>
      </c>
      <c r="E573" s="21" t="s">
        <v>2821</v>
      </c>
      <c r="F573" s="21" t="s">
        <v>3350</v>
      </c>
      <c r="G573" s="21" t="s">
        <v>3351</v>
      </c>
      <c r="H573" s="21" t="s">
        <v>3033</v>
      </c>
      <c r="I573" s="21">
        <v>105</v>
      </c>
      <c r="J573" s="89">
        <f t="shared" si="16"/>
        <v>0.28846153846153844</v>
      </c>
      <c r="K573" s="94">
        <f>VLOOKUP(H573,'PCT data'!B:K,10,FALSE)</f>
        <v>0.88564722208892122</v>
      </c>
      <c r="L573" s="94">
        <f t="shared" si="17"/>
        <v>0.25547516021795802</v>
      </c>
    </row>
    <row r="574" spans="1:12" x14ac:dyDescent="0.2">
      <c r="A574" s="21" t="s">
        <v>2975</v>
      </c>
      <c r="B574" s="21" t="s">
        <v>3376</v>
      </c>
      <c r="C574" s="21" t="s">
        <v>3377</v>
      </c>
      <c r="D574" s="21" t="s">
        <v>2822</v>
      </c>
      <c r="E574" s="21" t="s">
        <v>2823</v>
      </c>
      <c r="F574" s="21" t="s">
        <v>1455</v>
      </c>
      <c r="G574" s="21" t="s">
        <v>1456</v>
      </c>
      <c r="H574" s="21" t="s">
        <v>2977</v>
      </c>
      <c r="I574" s="21">
        <v>4</v>
      </c>
      <c r="J574" s="89">
        <f t="shared" si="16"/>
        <v>1.098901098901099E-2</v>
      </c>
      <c r="K574" s="94">
        <f>VLOOKUP(H574,'PCT data'!B:K,10,FALSE)</f>
        <v>0.89559831447194282</v>
      </c>
      <c r="L574" s="94">
        <f t="shared" si="17"/>
        <v>9.8417397194718991E-3</v>
      </c>
    </row>
    <row r="575" spans="1:12" x14ac:dyDescent="0.2">
      <c r="A575" s="21" t="s">
        <v>1167</v>
      </c>
      <c r="B575" s="21" t="s">
        <v>2310</v>
      </c>
      <c r="C575" s="21" t="s">
        <v>2311</v>
      </c>
      <c r="D575" s="21" t="s">
        <v>728</v>
      </c>
      <c r="E575" s="21" t="s">
        <v>729</v>
      </c>
      <c r="F575" s="21" t="s">
        <v>1461</v>
      </c>
      <c r="G575" s="21" t="s">
        <v>1462</v>
      </c>
      <c r="H575" s="21" t="s">
        <v>3436</v>
      </c>
      <c r="I575" s="21">
        <v>198</v>
      </c>
      <c r="J575" s="89">
        <f t="shared" si="16"/>
        <v>0.21758241758241759</v>
      </c>
      <c r="K575" s="94">
        <f>VLOOKUP(H575,'PCT data'!B:K,10,FALSE)</f>
        <v>1.2637887326437416</v>
      </c>
      <c r="L575" s="94">
        <f t="shared" si="17"/>
        <v>0.2749782077620449</v>
      </c>
    </row>
    <row r="576" spans="1:12" x14ac:dyDescent="0.2">
      <c r="A576" s="21" t="s">
        <v>1167</v>
      </c>
      <c r="B576" s="21" t="s">
        <v>2310</v>
      </c>
      <c r="C576" s="21" t="s">
        <v>2311</v>
      </c>
      <c r="D576" s="21" t="s">
        <v>2824</v>
      </c>
      <c r="E576" s="21" t="s">
        <v>2825</v>
      </c>
      <c r="F576" s="21" t="s">
        <v>61</v>
      </c>
      <c r="G576" s="21" t="s">
        <v>62</v>
      </c>
      <c r="H576" s="21" t="s">
        <v>3468</v>
      </c>
      <c r="I576" s="21">
        <v>151</v>
      </c>
      <c r="J576" s="89">
        <f t="shared" si="16"/>
        <v>0.16593406593406593</v>
      </c>
      <c r="K576" s="94">
        <f>VLOOKUP(H576,'PCT data'!B:K,10,FALSE)</f>
        <v>1.1443756240474725</v>
      </c>
      <c r="L576" s="94">
        <f t="shared" si="17"/>
        <v>0.18989090025403113</v>
      </c>
    </row>
    <row r="577" spans="1:12" x14ac:dyDescent="0.2">
      <c r="A577" s="21" t="s">
        <v>1167</v>
      </c>
      <c r="B577" s="21" t="s">
        <v>2310</v>
      </c>
      <c r="C577" s="21" t="s">
        <v>2311</v>
      </c>
      <c r="D577" s="21" t="s">
        <v>2826</v>
      </c>
      <c r="E577" s="21" t="s">
        <v>2827</v>
      </c>
      <c r="F577" s="21" t="s">
        <v>1463</v>
      </c>
      <c r="G577" s="21" t="s">
        <v>1464</v>
      </c>
      <c r="H577" s="21" t="s">
        <v>3439</v>
      </c>
      <c r="I577" s="21">
        <v>123</v>
      </c>
      <c r="J577" s="89">
        <f t="shared" si="16"/>
        <v>0.13516483516483516</v>
      </c>
      <c r="K577" s="94">
        <f>VLOOKUP(H577,'PCT data'!B:K,10,FALSE)</f>
        <v>1.2836909174097848</v>
      </c>
      <c r="L577" s="94">
        <f t="shared" si="17"/>
        <v>0.17350987125428957</v>
      </c>
    </row>
    <row r="578" spans="1:12" x14ac:dyDescent="0.2">
      <c r="A578" s="21" t="s">
        <v>1167</v>
      </c>
      <c r="B578" s="21" t="s">
        <v>2310</v>
      </c>
      <c r="C578" s="21" t="s">
        <v>2311</v>
      </c>
      <c r="D578" s="21" t="s">
        <v>2828</v>
      </c>
      <c r="E578" s="21" t="s">
        <v>2829</v>
      </c>
      <c r="F578" s="21" t="s">
        <v>1465</v>
      </c>
      <c r="G578" s="21" t="s">
        <v>3323</v>
      </c>
      <c r="H578" s="21" t="s">
        <v>3439</v>
      </c>
      <c r="I578" s="21">
        <v>47</v>
      </c>
      <c r="J578" s="89">
        <f t="shared" si="16"/>
        <v>5.1648351648351645E-2</v>
      </c>
      <c r="K578" s="94">
        <f>VLOOKUP(H578,'PCT data'!B:K,10,FALSE)</f>
        <v>1.2836909174097848</v>
      </c>
      <c r="L578" s="94">
        <f t="shared" si="17"/>
        <v>6.6300519910175701E-2</v>
      </c>
    </row>
    <row r="579" spans="1:12" x14ac:dyDescent="0.2">
      <c r="A579" s="21" t="s">
        <v>1167</v>
      </c>
      <c r="B579" s="21" t="s">
        <v>2310</v>
      </c>
      <c r="C579" s="21" t="s">
        <v>2311</v>
      </c>
      <c r="D579" s="21" t="s">
        <v>2830</v>
      </c>
      <c r="E579" s="21" t="s">
        <v>2831</v>
      </c>
      <c r="F579" s="21" t="s">
        <v>1466</v>
      </c>
      <c r="G579" s="21" t="s">
        <v>1467</v>
      </c>
      <c r="H579" s="21" t="s">
        <v>3451</v>
      </c>
      <c r="I579" s="21">
        <v>87</v>
      </c>
      <c r="J579" s="89">
        <f t="shared" ref="J579:J642" si="18">I579/SUMIF(B:B,B579,I:I)</f>
        <v>9.5604395604395598E-2</v>
      </c>
      <c r="K579" s="94">
        <f>VLOOKUP(H579,'PCT data'!B:K,10,FALSE)</f>
        <v>1.2737398250267631</v>
      </c>
      <c r="L579" s="94">
        <f t="shared" ref="L579:L642" si="19">K579*J579</f>
        <v>0.12177512612893229</v>
      </c>
    </row>
    <row r="580" spans="1:12" x14ac:dyDescent="0.2">
      <c r="A580" s="21" t="s">
        <v>1167</v>
      </c>
      <c r="B580" s="21" t="s">
        <v>2310</v>
      </c>
      <c r="C580" s="21" t="s">
        <v>2311</v>
      </c>
      <c r="D580" s="21" t="s">
        <v>2832</v>
      </c>
      <c r="E580" s="21" t="s">
        <v>2833</v>
      </c>
      <c r="F580" s="21" t="s">
        <v>1468</v>
      </c>
      <c r="G580" s="21" t="s">
        <v>1467</v>
      </c>
      <c r="H580" s="21" t="s">
        <v>3451</v>
      </c>
      <c r="I580" s="21">
        <v>24</v>
      </c>
      <c r="J580" s="89">
        <f t="shared" si="18"/>
        <v>2.6373626373626374E-2</v>
      </c>
      <c r="K580" s="94">
        <f>VLOOKUP(H580,'PCT data'!B:K,10,FALSE)</f>
        <v>1.2737398250267631</v>
      </c>
      <c r="L580" s="94">
        <f t="shared" si="19"/>
        <v>3.3593138242464078E-2</v>
      </c>
    </row>
    <row r="581" spans="1:12" x14ac:dyDescent="0.2">
      <c r="A581" s="21" t="s">
        <v>1167</v>
      </c>
      <c r="B581" s="21" t="s">
        <v>2310</v>
      </c>
      <c r="C581" s="21" t="s">
        <v>2311</v>
      </c>
      <c r="D581" s="21" t="s">
        <v>2834</v>
      </c>
      <c r="E581" s="21" t="s">
        <v>2835</v>
      </c>
      <c r="F581" s="21" t="s">
        <v>1469</v>
      </c>
      <c r="G581" s="21" t="s">
        <v>1470</v>
      </c>
      <c r="H581" s="21" t="s">
        <v>3498</v>
      </c>
      <c r="I581" s="21">
        <v>67</v>
      </c>
      <c r="J581" s="89">
        <f t="shared" si="18"/>
        <v>7.3626373626373628E-2</v>
      </c>
      <c r="K581" s="94">
        <f>VLOOKUP(H581,'PCT data'!B:K,10,FALSE)</f>
        <v>1.1045712545153963</v>
      </c>
      <c r="L581" s="94">
        <f t="shared" si="19"/>
        <v>8.1325575881902812E-2</v>
      </c>
    </row>
    <row r="582" spans="1:12" x14ac:dyDescent="0.2">
      <c r="A582" s="21" t="s">
        <v>1167</v>
      </c>
      <c r="B582" s="21" t="s">
        <v>2310</v>
      </c>
      <c r="C582" s="21" t="s">
        <v>2311</v>
      </c>
      <c r="D582" s="21" t="s">
        <v>2836</v>
      </c>
      <c r="E582" s="21" t="s">
        <v>2837</v>
      </c>
      <c r="F582" s="21" t="s">
        <v>63</v>
      </c>
      <c r="G582" s="21" t="s">
        <v>64</v>
      </c>
      <c r="H582" s="21" t="s">
        <v>3468</v>
      </c>
      <c r="I582" s="21">
        <v>63</v>
      </c>
      <c r="J582" s="89">
        <f t="shared" si="18"/>
        <v>6.9230769230769235E-2</v>
      </c>
      <c r="K582" s="94">
        <f>VLOOKUP(H582,'PCT data'!B:K,10,FALSE)</f>
        <v>1.1443756240474725</v>
      </c>
      <c r="L582" s="94">
        <f t="shared" si="19"/>
        <v>7.9226004741748096E-2</v>
      </c>
    </row>
    <row r="583" spans="1:12" x14ac:dyDescent="0.2">
      <c r="A583" s="21" t="s">
        <v>1167</v>
      </c>
      <c r="B583" s="21" t="s">
        <v>2310</v>
      </c>
      <c r="C583" s="21" t="s">
        <v>2311</v>
      </c>
      <c r="D583" s="21" t="s">
        <v>2838</v>
      </c>
      <c r="E583" s="21" t="s">
        <v>2839</v>
      </c>
      <c r="F583" s="21" t="s">
        <v>1471</v>
      </c>
      <c r="G583" s="21" t="s">
        <v>1472</v>
      </c>
      <c r="H583" s="21" t="s">
        <v>3451</v>
      </c>
      <c r="I583" s="21">
        <v>24</v>
      </c>
      <c r="J583" s="89">
        <f t="shared" si="18"/>
        <v>2.6373626373626374E-2</v>
      </c>
      <c r="K583" s="94">
        <f>VLOOKUP(H583,'PCT data'!B:K,10,FALSE)</f>
        <v>1.2737398250267631</v>
      </c>
      <c r="L583" s="94">
        <f t="shared" si="19"/>
        <v>3.3593138242464078E-2</v>
      </c>
    </row>
    <row r="584" spans="1:12" x14ac:dyDescent="0.2">
      <c r="A584" s="21" t="s">
        <v>1167</v>
      </c>
      <c r="B584" s="21" t="s">
        <v>2310</v>
      </c>
      <c r="C584" s="21" t="s">
        <v>2311</v>
      </c>
      <c r="D584" s="21" t="s">
        <v>2840</v>
      </c>
      <c r="E584" s="21" t="s">
        <v>2841</v>
      </c>
      <c r="F584" s="21" t="s">
        <v>2111</v>
      </c>
      <c r="G584" s="21" t="s">
        <v>2112</v>
      </c>
      <c r="H584" s="21" t="s">
        <v>3480</v>
      </c>
      <c r="I584" s="21">
        <v>110</v>
      </c>
      <c r="J584" s="89">
        <f t="shared" si="18"/>
        <v>0.12087912087912088</v>
      </c>
      <c r="K584" s="94">
        <f>VLOOKUP(H584,'PCT data'!B:K,10,FALSE)</f>
        <v>1.1045712545153963</v>
      </c>
      <c r="L584" s="94">
        <f t="shared" si="19"/>
        <v>0.13351960219416878</v>
      </c>
    </row>
    <row r="585" spans="1:12" x14ac:dyDescent="0.2">
      <c r="A585" s="21" t="s">
        <v>1167</v>
      </c>
      <c r="B585" s="21" t="s">
        <v>2310</v>
      </c>
      <c r="C585" s="21" t="s">
        <v>2311</v>
      </c>
      <c r="D585" s="21" t="s">
        <v>2842</v>
      </c>
      <c r="E585" s="21" t="s">
        <v>2843</v>
      </c>
      <c r="F585" s="21" t="s">
        <v>1473</v>
      </c>
      <c r="G585" s="21" t="s">
        <v>1474</v>
      </c>
      <c r="H585" s="21" t="s">
        <v>3468</v>
      </c>
      <c r="I585" s="21">
        <v>16</v>
      </c>
      <c r="J585" s="89">
        <f t="shared" si="18"/>
        <v>1.7582417582417582E-2</v>
      </c>
      <c r="K585" s="94">
        <f>VLOOKUP(H585,'PCT data'!B:K,10,FALSE)</f>
        <v>1.1443756240474725</v>
      </c>
      <c r="L585" s="94">
        <f t="shared" si="19"/>
        <v>2.0120890093142375E-2</v>
      </c>
    </row>
    <row r="586" spans="1:12" x14ac:dyDescent="0.2">
      <c r="A586" s="21" t="s">
        <v>3034</v>
      </c>
      <c r="B586" s="21" t="s">
        <v>1330</v>
      </c>
      <c r="C586" s="21" t="s">
        <v>2844</v>
      </c>
      <c r="D586" s="21" t="s">
        <v>728</v>
      </c>
      <c r="E586" s="21" t="s">
        <v>729</v>
      </c>
      <c r="F586" s="21" t="s">
        <v>1475</v>
      </c>
      <c r="G586" s="21" t="s">
        <v>1476</v>
      </c>
      <c r="H586" s="21" t="s">
        <v>3050</v>
      </c>
      <c r="I586" s="21">
        <v>12</v>
      </c>
      <c r="J586" s="89">
        <f t="shared" si="18"/>
        <v>5.1724137931034482E-2</v>
      </c>
      <c r="K586" s="94">
        <f>VLOOKUP(H586,'PCT data'!B:K,10,FALSE)</f>
        <v>0.94535377638704965</v>
      </c>
      <c r="L586" s="94">
        <f t="shared" si="19"/>
        <v>4.8897609123468085E-2</v>
      </c>
    </row>
    <row r="587" spans="1:12" x14ac:dyDescent="0.2">
      <c r="A587" s="21" t="s">
        <v>3034</v>
      </c>
      <c r="B587" s="21" t="s">
        <v>1330</v>
      </c>
      <c r="C587" s="21" t="s">
        <v>2844</v>
      </c>
      <c r="D587" s="21" t="s">
        <v>2845</v>
      </c>
      <c r="E587" s="21" t="s">
        <v>2846</v>
      </c>
      <c r="F587" s="21" t="s">
        <v>1477</v>
      </c>
      <c r="G587" s="21" t="s">
        <v>1478</v>
      </c>
      <c r="H587" s="21" t="s">
        <v>3048</v>
      </c>
      <c r="I587" s="21">
        <v>9</v>
      </c>
      <c r="J587" s="89">
        <f t="shared" si="18"/>
        <v>3.8793103448275863E-2</v>
      </c>
      <c r="K587" s="94">
        <f>VLOOKUP(H587,'PCT data'!B:K,10,FALSE)</f>
        <v>0.97520705353611448</v>
      </c>
      <c r="L587" s="94">
        <f t="shared" si="19"/>
        <v>3.7831308111314785E-2</v>
      </c>
    </row>
    <row r="588" spans="1:12" x14ac:dyDescent="0.2">
      <c r="A588" s="21" t="s">
        <v>3034</v>
      </c>
      <c r="B588" s="21" t="s">
        <v>1330</v>
      </c>
      <c r="C588" s="21" t="s">
        <v>2844</v>
      </c>
      <c r="D588" s="21" t="s">
        <v>2847</v>
      </c>
      <c r="E588" s="21" t="s">
        <v>2848</v>
      </c>
      <c r="F588" s="21" t="s">
        <v>1479</v>
      </c>
      <c r="G588" s="21" t="s">
        <v>1480</v>
      </c>
      <c r="H588" s="21" t="s">
        <v>3048</v>
      </c>
      <c r="I588" s="21">
        <v>24</v>
      </c>
      <c r="J588" s="89">
        <f t="shared" si="18"/>
        <v>0.10344827586206896</v>
      </c>
      <c r="K588" s="94">
        <f>VLOOKUP(H588,'PCT data'!B:K,10,FALSE)</f>
        <v>0.97520705353611448</v>
      </c>
      <c r="L588" s="94">
        <f t="shared" si="19"/>
        <v>0.10088348829683942</v>
      </c>
    </row>
    <row r="589" spans="1:12" x14ac:dyDescent="0.2">
      <c r="A589" s="21" t="s">
        <v>3034</v>
      </c>
      <c r="B589" s="21" t="s">
        <v>1330</v>
      </c>
      <c r="C589" s="21" t="s">
        <v>2844</v>
      </c>
      <c r="D589" s="21" t="s">
        <v>2849</v>
      </c>
      <c r="E589" s="21" t="s">
        <v>2850</v>
      </c>
      <c r="F589" s="21" t="s">
        <v>1481</v>
      </c>
      <c r="G589" s="21" t="s">
        <v>1480</v>
      </c>
      <c r="H589" s="21" t="s">
        <v>3048</v>
      </c>
      <c r="I589" s="21">
        <v>6</v>
      </c>
      <c r="J589" s="89">
        <f t="shared" si="18"/>
        <v>2.5862068965517241E-2</v>
      </c>
      <c r="K589" s="94">
        <f>VLOOKUP(H589,'PCT data'!B:K,10,FALSE)</f>
        <v>0.97520705353611448</v>
      </c>
      <c r="L589" s="94">
        <f t="shared" si="19"/>
        <v>2.5220872074209855E-2</v>
      </c>
    </row>
    <row r="590" spans="1:12" x14ac:dyDescent="0.2">
      <c r="A590" s="21" t="s">
        <v>3034</v>
      </c>
      <c r="B590" s="21" t="s">
        <v>1330</v>
      </c>
      <c r="C590" s="21" t="s">
        <v>2844</v>
      </c>
      <c r="D590" s="21" t="s">
        <v>2851</v>
      </c>
      <c r="E590" s="21" t="s">
        <v>2852</v>
      </c>
      <c r="F590" s="21" t="s">
        <v>1482</v>
      </c>
      <c r="G590" s="21" t="s">
        <v>1483</v>
      </c>
      <c r="H590" s="21" t="s">
        <v>3048</v>
      </c>
      <c r="I590" s="21">
        <v>16</v>
      </c>
      <c r="J590" s="89">
        <f t="shared" si="18"/>
        <v>6.8965517241379309E-2</v>
      </c>
      <c r="K590" s="94">
        <f>VLOOKUP(H590,'PCT data'!B:K,10,FALSE)</f>
        <v>0.97520705353611448</v>
      </c>
      <c r="L590" s="94">
        <f t="shared" si="19"/>
        <v>6.7255658864559614E-2</v>
      </c>
    </row>
    <row r="591" spans="1:12" x14ac:dyDescent="0.2">
      <c r="A591" s="21" t="s">
        <v>3034</v>
      </c>
      <c r="B591" s="21" t="s">
        <v>1330</v>
      </c>
      <c r="C591" s="21" t="s">
        <v>2844</v>
      </c>
      <c r="D591" s="21" t="s">
        <v>2853</v>
      </c>
      <c r="E591" s="21" t="s">
        <v>2854</v>
      </c>
      <c r="F591" s="21" t="s">
        <v>1484</v>
      </c>
      <c r="G591" s="21" t="s">
        <v>1485</v>
      </c>
      <c r="H591" s="21" t="s">
        <v>3048</v>
      </c>
      <c r="I591" s="21">
        <v>12</v>
      </c>
      <c r="J591" s="89">
        <f t="shared" si="18"/>
        <v>5.1724137931034482E-2</v>
      </c>
      <c r="K591" s="94">
        <f>VLOOKUP(H591,'PCT data'!B:K,10,FALSE)</f>
        <v>0.97520705353611448</v>
      </c>
      <c r="L591" s="94">
        <f t="shared" si="19"/>
        <v>5.0441744148419711E-2</v>
      </c>
    </row>
    <row r="592" spans="1:12" x14ac:dyDescent="0.2">
      <c r="A592" s="21" t="s">
        <v>3034</v>
      </c>
      <c r="B592" s="21" t="s">
        <v>1330</v>
      </c>
      <c r="C592" s="21" t="s">
        <v>2844</v>
      </c>
      <c r="D592" s="21" t="s">
        <v>2855</v>
      </c>
      <c r="E592" s="21" t="s">
        <v>2856</v>
      </c>
      <c r="F592" s="21" t="s">
        <v>1475</v>
      </c>
      <c r="G592" s="21" t="s">
        <v>1476</v>
      </c>
      <c r="H592" s="21" t="s">
        <v>3050</v>
      </c>
      <c r="I592" s="21">
        <v>32</v>
      </c>
      <c r="J592" s="89">
        <f t="shared" si="18"/>
        <v>0.13793103448275862</v>
      </c>
      <c r="K592" s="94">
        <f>VLOOKUP(H592,'PCT data'!B:K,10,FALSE)</f>
        <v>0.94535377638704965</v>
      </c>
      <c r="L592" s="94">
        <f t="shared" si="19"/>
        <v>0.13039362432924823</v>
      </c>
    </row>
    <row r="593" spans="1:12" x14ac:dyDescent="0.2">
      <c r="A593" s="21" t="s">
        <v>3034</v>
      </c>
      <c r="B593" s="21" t="s">
        <v>1330</v>
      </c>
      <c r="C593" s="21" t="s">
        <v>2844</v>
      </c>
      <c r="D593" s="21" t="s">
        <v>2857</v>
      </c>
      <c r="E593" s="21" t="s">
        <v>2858</v>
      </c>
      <c r="F593" s="21" t="s">
        <v>1486</v>
      </c>
      <c r="G593" s="21" t="s">
        <v>1487</v>
      </c>
      <c r="H593" s="21" t="s">
        <v>3048</v>
      </c>
      <c r="I593" s="21">
        <v>16</v>
      </c>
      <c r="J593" s="89">
        <f t="shared" si="18"/>
        <v>6.8965517241379309E-2</v>
      </c>
      <c r="K593" s="94">
        <f>VLOOKUP(H593,'PCT data'!B:K,10,FALSE)</f>
        <v>0.97520705353611448</v>
      </c>
      <c r="L593" s="94">
        <f t="shared" si="19"/>
        <v>6.7255658864559614E-2</v>
      </c>
    </row>
    <row r="594" spans="1:12" x14ac:dyDescent="0.2">
      <c r="A594" s="21" t="s">
        <v>3034</v>
      </c>
      <c r="B594" s="21" t="s">
        <v>1330</v>
      </c>
      <c r="C594" s="21" t="s">
        <v>2844</v>
      </c>
      <c r="D594" s="21" t="s">
        <v>2859</v>
      </c>
      <c r="E594" s="21" t="s">
        <v>2860</v>
      </c>
      <c r="F594" s="21" t="s">
        <v>1488</v>
      </c>
      <c r="G594" s="21" t="s">
        <v>1489</v>
      </c>
      <c r="H594" s="21" t="s">
        <v>3050</v>
      </c>
      <c r="I594" s="21">
        <v>19</v>
      </c>
      <c r="J594" s="89">
        <f t="shared" si="18"/>
        <v>8.1896551724137928E-2</v>
      </c>
      <c r="K594" s="94">
        <f>VLOOKUP(H594,'PCT data'!B:K,10,FALSE)</f>
        <v>0.94535377638704965</v>
      </c>
      <c r="L594" s="94">
        <f t="shared" si="19"/>
        <v>7.7421214445491132E-2</v>
      </c>
    </row>
    <row r="595" spans="1:12" x14ac:dyDescent="0.2">
      <c r="A595" s="21" t="s">
        <v>3034</v>
      </c>
      <c r="B595" s="21" t="s">
        <v>1330</v>
      </c>
      <c r="C595" s="21" t="s">
        <v>2844</v>
      </c>
      <c r="D595" s="21" t="s">
        <v>2861</v>
      </c>
      <c r="E595" s="21" t="s">
        <v>2862</v>
      </c>
      <c r="F595" s="21" t="s">
        <v>121</v>
      </c>
      <c r="G595" s="21" t="s">
        <v>122</v>
      </c>
      <c r="H595" s="21" t="s">
        <v>3050</v>
      </c>
      <c r="I595" s="21">
        <v>20</v>
      </c>
      <c r="J595" s="89">
        <f t="shared" si="18"/>
        <v>8.6206896551724144E-2</v>
      </c>
      <c r="K595" s="94">
        <f>VLOOKUP(H595,'PCT data'!B:K,10,FALSE)</f>
        <v>0.94535377638704965</v>
      </c>
      <c r="L595" s="94">
        <f t="shared" si="19"/>
        <v>8.1496015205780148E-2</v>
      </c>
    </row>
    <row r="596" spans="1:12" x14ac:dyDescent="0.2">
      <c r="A596" s="21" t="s">
        <v>3034</v>
      </c>
      <c r="B596" s="21" t="s">
        <v>1330</v>
      </c>
      <c r="C596" s="21" t="s">
        <v>2844</v>
      </c>
      <c r="D596" s="21" t="s">
        <v>2863</v>
      </c>
      <c r="E596" s="21" t="s">
        <v>2864</v>
      </c>
      <c r="F596" s="21" t="s">
        <v>1490</v>
      </c>
      <c r="G596" s="21" t="s">
        <v>1010</v>
      </c>
      <c r="H596" s="21" t="s">
        <v>3050</v>
      </c>
      <c r="I596" s="21">
        <v>10</v>
      </c>
      <c r="J596" s="89">
        <f t="shared" si="18"/>
        <v>4.3103448275862072E-2</v>
      </c>
      <c r="K596" s="94">
        <f>VLOOKUP(H596,'PCT data'!B:K,10,FALSE)</f>
        <v>0.94535377638704965</v>
      </c>
      <c r="L596" s="94">
        <f t="shared" si="19"/>
        <v>4.0748007602890074E-2</v>
      </c>
    </row>
    <row r="597" spans="1:12" x14ac:dyDescent="0.2">
      <c r="A597" s="21" t="s">
        <v>3034</v>
      </c>
      <c r="B597" s="21" t="s">
        <v>1330</v>
      </c>
      <c r="C597" s="21" t="s">
        <v>2844</v>
      </c>
      <c r="D597" s="21" t="s">
        <v>2865</v>
      </c>
      <c r="E597" s="21" t="s">
        <v>2866</v>
      </c>
      <c r="F597" s="21" t="s">
        <v>1491</v>
      </c>
      <c r="G597" s="21" t="s">
        <v>124</v>
      </c>
      <c r="H597" s="21" t="s">
        <v>3048</v>
      </c>
      <c r="I597" s="21">
        <v>23</v>
      </c>
      <c r="J597" s="89">
        <f t="shared" si="18"/>
        <v>9.9137931034482762E-2</v>
      </c>
      <c r="K597" s="94">
        <f>VLOOKUP(H597,'PCT data'!B:K,10,FALSE)</f>
        <v>0.97520705353611448</v>
      </c>
      <c r="L597" s="94">
        <f t="shared" si="19"/>
        <v>9.6680009617804458E-2</v>
      </c>
    </row>
    <row r="598" spans="1:12" x14ac:dyDescent="0.2">
      <c r="A598" s="21" t="s">
        <v>3034</v>
      </c>
      <c r="B598" s="21" t="s">
        <v>1330</v>
      </c>
      <c r="C598" s="21" t="s">
        <v>2844</v>
      </c>
      <c r="D598" s="21" t="s">
        <v>2867</v>
      </c>
      <c r="E598" s="21" t="s">
        <v>2868</v>
      </c>
      <c r="F598" s="21" t="s">
        <v>1475</v>
      </c>
      <c r="G598" s="21" t="s">
        <v>1476</v>
      </c>
      <c r="H598" s="21" t="s">
        <v>3050</v>
      </c>
      <c r="I598" s="21">
        <v>20</v>
      </c>
      <c r="J598" s="89">
        <f t="shared" si="18"/>
        <v>8.6206896551724144E-2</v>
      </c>
      <c r="K598" s="94">
        <f>VLOOKUP(H598,'PCT data'!B:K,10,FALSE)</f>
        <v>0.94535377638704965</v>
      </c>
      <c r="L598" s="94">
        <f t="shared" si="19"/>
        <v>8.1496015205780148E-2</v>
      </c>
    </row>
    <row r="599" spans="1:12" x14ac:dyDescent="0.2">
      <c r="A599" s="21" t="s">
        <v>3034</v>
      </c>
      <c r="B599" s="21" t="s">
        <v>1330</v>
      </c>
      <c r="C599" s="21" t="s">
        <v>2844</v>
      </c>
      <c r="D599" s="21" t="s">
        <v>2869</v>
      </c>
      <c r="E599" s="21" t="s">
        <v>2870</v>
      </c>
      <c r="F599" s="21" t="s">
        <v>1492</v>
      </c>
      <c r="G599" s="21" t="s">
        <v>1493</v>
      </c>
      <c r="H599" s="21" t="s">
        <v>3048</v>
      </c>
      <c r="I599" s="21">
        <v>13</v>
      </c>
      <c r="J599" s="89">
        <f t="shared" si="18"/>
        <v>5.6034482758620691E-2</v>
      </c>
      <c r="K599" s="94">
        <f>VLOOKUP(H599,'PCT data'!B:K,10,FALSE)</f>
        <v>0.97520705353611448</v>
      </c>
      <c r="L599" s="94">
        <f t="shared" si="19"/>
        <v>5.4645222827454688E-2</v>
      </c>
    </row>
    <row r="600" spans="1:12" x14ac:dyDescent="0.2">
      <c r="A600" s="21" t="s">
        <v>3528</v>
      </c>
      <c r="B600" s="21" t="s">
        <v>411</v>
      </c>
      <c r="C600" s="21" t="s">
        <v>412</v>
      </c>
      <c r="D600" s="21" t="s">
        <v>2871</v>
      </c>
      <c r="E600" s="21" t="s">
        <v>2872</v>
      </c>
      <c r="F600" s="21" t="s">
        <v>1494</v>
      </c>
      <c r="G600" s="21" t="s">
        <v>1495</v>
      </c>
      <c r="H600" s="21" t="s">
        <v>3565</v>
      </c>
      <c r="I600" s="21">
        <v>566</v>
      </c>
      <c r="J600" s="89">
        <f t="shared" si="18"/>
        <v>0.46128769356153221</v>
      </c>
      <c r="K600" s="94">
        <f>VLOOKUP(H600,'PCT data'!B:K,10,FALSE)</f>
        <v>1.0050603306851802</v>
      </c>
      <c r="L600" s="94">
        <f t="shared" si="19"/>
        <v>0.46362196183195764</v>
      </c>
    </row>
    <row r="601" spans="1:12" x14ac:dyDescent="0.2">
      <c r="A601" s="21" t="s">
        <v>3528</v>
      </c>
      <c r="B601" s="21" t="s">
        <v>411</v>
      </c>
      <c r="C601" s="21" t="s">
        <v>412</v>
      </c>
      <c r="D601" s="21" t="s">
        <v>2873</v>
      </c>
      <c r="E601" s="21" t="s">
        <v>2874</v>
      </c>
      <c r="F601" s="21" t="s">
        <v>1496</v>
      </c>
      <c r="G601" s="21" t="s">
        <v>1497</v>
      </c>
      <c r="H601" s="21" t="s">
        <v>3567</v>
      </c>
      <c r="I601" s="21">
        <v>16</v>
      </c>
      <c r="J601" s="89">
        <f t="shared" si="18"/>
        <v>1.3039934800325998E-2</v>
      </c>
      <c r="K601" s="94">
        <f>VLOOKUP(H601,'PCT data'!B:K,10,FALSE)</f>
        <v>0.99510923830215869</v>
      </c>
      <c r="L601" s="94">
        <f t="shared" si="19"/>
        <v>1.2976159586662215E-2</v>
      </c>
    </row>
    <row r="602" spans="1:12" x14ac:dyDescent="0.2">
      <c r="A602" s="21" t="s">
        <v>3528</v>
      </c>
      <c r="B602" s="21" t="s">
        <v>411</v>
      </c>
      <c r="C602" s="21" t="s">
        <v>412</v>
      </c>
      <c r="D602" s="21" t="s">
        <v>2875</v>
      </c>
      <c r="E602" s="21" t="s">
        <v>2876</v>
      </c>
      <c r="F602" s="21" t="s">
        <v>1498</v>
      </c>
      <c r="G602" s="21" t="s">
        <v>1499</v>
      </c>
      <c r="H602" s="21" t="s">
        <v>3546</v>
      </c>
      <c r="I602" s="21">
        <v>24</v>
      </c>
      <c r="J602" s="89">
        <f t="shared" si="18"/>
        <v>1.9559902200488997E-2</v>
      </c>
      <c r="K602" s="94">
        <f>VLOOKUP(H602,'PCT data'!B:K,10,FALSE)</f>
        <v>0.95530486877007126</v>
      </c>
      <c r="L602" s="94">
        <f t="shared" si="19"/>
        <v>1.8685669804793571E-2</v>
      </c>
    </row>
    <row r="603" spans="1:12" x14ac:dyDescent="0.2">
      <c r="A603" s="21" t="s">
        <v>3528</v>
      </c>
      <c r="B603" s="21" t="s">
        <v>411</v>
      </c>
      <c r="C603" s="21" t="s">
        <v>412</v>
      </c>
      <c r="D603" s="21" t="s">
        <v>2877</v>
      </c>
      <c r="E603" s="21" t="s">
        <v>2878</v>
      </c>
      <c r="F603" s="21" t="s">
        <v>1500</v>
      </c>
      <c r="G603" s="21" t="s">
        <v>1501</v>
      </c>
      <c r="H603" s="21" t="s">
        <v>3546</v>
      </c>
      <c r="I603" s="21">
        <v>594</v>
      </c>
      <c r="J603" s="89">
        <f t="shared" si="18"/>
        <v>0.4841075794621027</v>
      </c>
      <c r="K603" s="94">
        <f>VLOOKUP(H603,'PCT data'!B:K,10,FALSE)</f>
        <v>0.95530486877007126</v>
      </c>
      <c r="L603" s="94">
        <f t="shared" si="19"/>
        <v>0.46247032766864088</v>
      </c>
    </row>
    <row r="604" spans="1:12" x14ac:dyDescent="0.2">
      <c r="A604" s="21" t="s">
        <v>3528</v>
      </c>
      <c r="B604" s="21" t="s">
        <v>411</v>
      </c>
      <c r="C604" s="21" t="s">
        <v>412</v>
      </c>
      <c r="D604" s="21" t="s">
        <v>2879</v>
      </c>
      <c r="E604" s="21" t="s">
        <v>2880</v>
      </c>
      <c r="F604" s="21" t="s">
        <v>1502</v>
      </c>
      <c r="G604" s="21" t="s">
        <v>1503</v>
      </c>
      <c r="H604" s="21" t="s">
        <v>3565</v>
      </c>
      <c r="I604" s="21">
        <v>27</v>
      </c>
      <c r="J604" s="89">
        <f t="shared" si="18"/>
        <v>2.2004889975550123E-2</v>
      </c>
      <c r="K604" s="94">
        <f>VLOOKUP(H604,'PCT data'!B:K,10,FALSE)</f>
        <v>1.0050603306851802</v>
      </c>
      <c r="L604" s="94">
        <f t="shared" si="19"/>
        <v>2.2116241995517413E-2</v>
      </c>
    </row>
    <row r="605" spans="1:12" x14ac:dyDescent="0.2">
      <c r="A605" s="21" t="s">
        <v>3528</v>
      </c>
      <c r="B605" s="21" t="s">
        <v>3386</v>
      </c>
      <c r="C605" s="21" t="s">
        <v>3387</v>
      </c>
      <c r="D605" s="21" t="s">
        <v>728</v>
      </c>
      <c r="E605" s="21" t="s">
        <v>729</v>
      </c>
      <c r="F605" s="21" t="s">
        <v>1504</v>
      </c>
      <c r="G605" s="21" t="s">
        <v>1505</v>
      </c>
      <c r="H605" s="21" t="s">
        <v>3532</v>
      </c>
      <c r="I605" s="21">
        <v>81</v>
      </c>
      <c r="J605" s="89">
        <f t="shared" si="18"/>
        <v>0.11739130434782609</v>
      </c>
      <c r="K605" s="94">
        <f>VLOOKUP(H605,'PCT data'!B:K,10,FALSE)</f>
        <v>0.99510923830215869</v>
      </c>
      <c r="L605" s="94">
        <f t="shared" si="19"/>
        <v>0.11681717145286211</v>
      </c>
    </row>
    <row r="606" spans="1:12" x14ac:dyDescent="0.2">
      <c r="A606" s="21" t="s">
        <v>3528</v>
      </c>
      <c r="B606" s="21" t="s">
        <v>3386</v>
      </c>
      <c r="C606" s="21" t="s">
        <v>3387</v>
      </c>
      <c r="D606" s="21" t="s">
        <v>2881</v>
      </c>
      <c r="E606" s="21" t="s">
        <v>2882</v>
      </c>
      <c r="F606" s="21" t="s">
        <v>885</v>
      </c>
      <c r="G606" s="21" t="s">
        <v>886</v>
      </c>
      <c r="H606" s="21" t="s">
        <v>3555</v>
      </c>
      <c r="I606" s="21">
        <v>29</v>
      </c>
      <c r="J606" s="89">
        <f t="shared" si="18"/>
        <v>4.2028985507246375E-2</v>
      </c>
      <c r="K606" s="94">
        <f>VLOOKUP(H606,'PCT data'!B:K,10,FALSE)</f>
        <v>1.0150114230682019</v>
      </c>
      <c r="L606" s="94">
        <f t="shared" si="19"/>
        <v>4.265990038982298E-2</v>
      </c>
    </row>
    <row r="607" spans="1:12" x14ac:dyDescent="0.2">
      <c r="A607" s="21" t="s">
        <v>3528</v>
      </c>
      <c r="B607" s="21" t="s">
        <v>3386</v>
      </c>
      <c r="C607" s="21" t="s">
        <v>3387</v>
      </c>
      <c r="D607" s="21" t="s">
        <v>615</v>
      </c>
      <c r="E607" s="21" t="s">
        <v>616</v>
      </c>
      <c r="F607" s="21" t="s">
        <v>1494</v>
      </c>
      <c r="G607" s="21" t="s">
        <v>1495</v>
      </c>
      <c r="H607" s="21" t="s">
        <v>3565</v>
      </c>
      <c r="I607" s="21">
        <v>105</v>
      </c>
      <c r="J607" s="89">
        <f t="shared" si="18"/>
        <v>0.15217391304347827</v>
      </c>
      <c r="K607" s="94">
        <f>VLOOKUP(H607,'PCT data'!B:K,10,FALSE)</f>
        <v>1.0050603306851802</v>
      </c>
      <c r="L607" s="94">
        <f t="shared" si="19"/>
        <v>0.15294396336513613</v>
      </c>
    </row>
    <row r="608" spans="1:12" x14ac:dyDescent="0.2">
      <c r="A608" s="21" t="s">
        <v>3528</v>
      </c>
      <c r="B608" s="21" t="s">
        <v>3386</v>
      </c>
      <c r="C608" s="21" t="s">
        <v>3387</v>
      </c>
      <c r="D608" s="21" t="s">
        <v>617</v>
      </c>
      <c r="E608" s="21" t="s">
        <v>618</v>
      </c>
      <c r="F608" s="21" t="s">
        <v>1502</v>
      </c>
      <c r="G608" s="21" t="s">
        <v>1503</v>
      </c>
      <c r="H608" s="21" t="s">
        <v>3565</v>
      </c>
      <c r="I608" s="21">
        <v>115</v>
      </c>
      <c r="J608" s="89">
        <f t="shared" si="18"/>
        <v>0.16666666666666666</v>
      </c>
      <c r="K608" s="94">
        <f>VLOOKUP(H608,'PCT data'!B:K,10,FALSE)</f>
        <v>1.0050603306851802</v>
      </c>
      <c r="L608" s="94">
        <f t="shared" si="19"/>
        <v>0.1675100551141967</v>
      </c>
    </row>
    <row r="609" spans="1:12" x14ac:dyDescent="0.2">
      <c r="A609" s="21" t="s">
        <v>3528</v>
      </c>
      <c r="B609" s="21" t="s">
        <v>3386</v>
      </c>
      <c r="C609" s="21" t="s">
        <v>3387</v>
      </c>
      <c r="D609" s="21" t="s">
        <v>619</v>
      </c>
      <c r="E609" s="21" t="s">
        <v>620</v>
      </c>
      <c r="F609" s="21" t="s">
        <v>2080</v>
      </c>
      <c r="G609" s="21" t="s">
        <v>2081</v>
      </c>
      <c r="H609" s="21" t="s">
        <v>3567</v>
      </c>
      <c r="I609" s="21">
        <v>53</v>
      </c>
      <c r="J609" s="89">
        <f t="shared" si="18"/>
        <v>7.6811594202898556E-2</v>
      </c>
      <c r="K609" s="94">
        <f>VLOOKUP(H609,'PCT data'!B:K,10,FALSE)</f>
        <v>0.99510923830215869</v>
      </c>
      <c r="L609" s="94">
        <f t="shared" si="19"/>
        <v>7.6435927000020887E-2</v>
      </c>
    </row>
    <row r="610" spans="1:12" x14ac:dyDescent="0.2">
      <c r="A610" s="21" t="s">
        <v>3528</v>
      </c>
      <c r="B610" s="21" t="s">
        <v>3386</v>
      </c>
      <c r="C610" s="21" t="s">
        <v>3387</v>
      </c>
      <c r="D610" s="21" t="s">
        <v>621</v>
      </c>
      <c r="E610" s="21" t="s">
        <v>622</v>
      </c>
      <c r="F610" s="21" t="s">
        <v>1506</v>
      </c>
      <c r="G610" s="21" t="s">
        <v>1507</v>
      </c>
      <c r="H610" s="21" t="s">
        <v>3532</v>
      </c>
      <c r="I610" s="21">
        <v>42</v>
      </c>
      <c r="J610" s="89">
        <f t="shared" si="18"/>
        <v>6.0869565217391307E-2</v>
      </c>
      <c r="K610" s="94">
        <f>VLOOKUP(H610,'PCT data'!B:K,10,FALSE)</f>
        <v>0.99510923830215869</v>
      </c>
      <c r="L610" s="94">
        <f t="shared" si="19"/>
        <v>6.0571866679261836E-2</v>
      </c>
    </row>
    <row r="611" spans="1:12" x14ac:dyDescent="0.2">
      <c r="A611" s="21" t="s">
        <v>3528</v>
      </c>
      <c r="B611" s="21" t="s">
        <v>3386</v>
      </c>
      <c r="C611" s="21" t="s">
        <v>3387</v>
      </c>
      <c r="D611" s="21" t="s">
        <v>623</v>
      </c>
      <c r="E611" s="21" t="s">
        <v>624</v>
      </c>
      <c r="F611" s="21" t="s">
        <v>1508</v>
      </c>
      <c r="G611" s="21" t="s">
        <v>1509</v>
      </c>
      <c r="H611" s="21" t="s">
        <v>3532</v>
      </c>
      <c r="I611" s="21">
        <v>26</v>
      </c>
      <c r="J611" s="89">
        <f t="shared" si="18"/>
        <v>3.7681159420289857E-2</v>
      </c>
      <c r="K611" s="94">
        <f>VLOOKUP(H611,'PCT data'!B:K,10,FALSE)</f>
        <v>0.99510923830215869</v>
      </c>
      <c r="L611" s="94">
        <f t="shared" si="19"/>
        <v>3.7496869849066854E-2</v>
      </c>
    </row>
    <row r="612" spans="1:12" x14ac:dyDescent="0.2">
      <c r="A612" s="21" t="s">
        <v>3528</v>
      </c>
      <c r="B612" s="21" t="s">
        <v>3386</v>
      </c>
      <c r="C612" s="21" t="s">
        <v>3387</v>
      </c>
      <c r="D612" s="21" t="s">
        <v>625</v>
      </c>
      <c r="E612" s="21" t="s">
        <v>626</v>
      </c>
      <c r="F612" s="21" t="s">
        <v>1510</v>
      </c>
      <c r="G612" s="21" t="s">
        <v>1511</v>
      </c>
      <c r="H612" s="21" t="s">
        <v>3544</v>
      </c>
      <c r="I612" s="21">
        <v>18</v>
      </c>
      <c r="J612" s="89">
        <f t="shared" si="18"/>
        <v>2.6086956521739129E-2</v>
      </c>
      <c r="K612" s="94">
        <f>VLOOKUP(H612,'PCT data'!B:K,10,FALSE)</f>
        <v>0.97520705353611448</v>
      </c>
      <c r="L612" s="94">
        <f t="shared" si="19"/>
        <v>2.5440184005289943E-2</v>
      </c>
    </row>
    <row r="613" spans="1:12" x14ac:dyDescent="0.2">
      <c r="A613" s="21" t="s">
        <v>3528</v>
      </c>
      <c r="B613" s="21" t="s">
        <v>3386</v>
      </c>
      <c r="C613" s="21" t="s">
        <v>3387</v>
      </c>
      <c r="D613" s="21" t="s">
        <v>627</v>
      </c>
      <c r="E613" s="21" t="s">
        <v>628</v>
      </c>
      <c r="F613" s="21" t="s">
        <v>1512</v>
      </c>
      <c r="G613" s="21" t="s">
        <v>1513</v>
      </c>
      <c r="H613" s="21" t="s">
        <v>3544</v>
      </c>
      <c r="I613" s="21">
        <v>26</v>
      </c>
      <c r="J613" s="89">
        <f t="shared" si="18"/>
        <v>3.7681159420289857E-2</v>
      </c>
      <c r="K613" s="94">
        <f>VLOOKUP(H613,'PCT data'!B:K,10,FALSE)</f>
        <v>0.97520705353611448</v>
      </c>
      <c r="L613" s="94">
        <f t="shared" si="19"/>
        <v>3.6746932452085476E-2</v>
      </c>
    </row>
    <row r="614" spans="1:12" x14ac:dyDescent="0.2">
      <c r="A614" s="21" t="s">
        <v>3528</v>
      </c>
      <c r="B614" s="21" t="s">
        <v>3386</v>
      </c>
      <c r="C614" s="21" t="s">
        <v>3387</v>
      </c>
      <c r="D614" s="21" t="s">
        <v>629</v>
      </c>
      <c r="E614" s="21" t="s">
        <v>630</v>
      </c>
      <c r="F614" s="21" t="s">
        <v>1514</v>
      </c>
      <c r="G614" s="21" t="s">
        <v>1515</v>
      </c>
      <c r="H614" s="21" t="s">
        <v>3532</v>
      </c>
      <c r="I614" s="21">
        <v>67</v>
      </c>
      <c r="J614" s="89">
        <f t="shared" si="18"/>
        <v>9.7101449275362323E-2</v>
      </c>
      <c r="K614" s="94">
        <f>VLOOKUP(H614,'PCT data'!B:K,10,FALSE)</f>
        <v>0.99510923830215869</v>
      </c>
      <c r="L614" s="94">
        <f t="shared" si="19"/>
        <v>9.6626549226441497E-2</v>
      </c>
    </row>
    <row r="615" spans="1:12" x14ac:dyDescent="0.2">
      <c r="A615" s="21" t="s">
        <v>3528</v>
      </c>
      <c r="B615" s="21" t="s">
        <v>3386</v>
      </c>
      <c r="C615" s="21" t="s">
        <v>3387</v>
      </c>
      <c r="D615" s="21" t="s">
        <v>3835</v>
      </c>
      <c r="E615" s="21" t="s">
        <v>3836</v>
      </c>
      <c r="F615" s="21" t="s">
        <v>1516</v>
      </c>
      <c r="G615" s="21" t="s">
        <v>1517</v>
      </c>
      <c r="H615" s="21" t="s">
        <v>3565</v>
      </c>
      <c r="I615" s="21">
        <v>128</v>
      </c>
      <c r="J615" s="89">
        <f t="shared" si="18"/>
        <v>0.1855072463768116</v>
      </c>
      <c r="K615" s="94">
        <f>VLOOKUP(H615,'PCT data'!B:K,10,FALSE)</f>
        <v>1.0050603306851802</v>
      </c>
      <c r="L615" s="94">
        <f t="shared" si="19"/>
        <v>0.18644597438797547</v>
      </c>
    </row>
    <row r="616" spans="1:12" x14ac:dyDescent="0.2">
      <c r="A616" s="21" t="s">
        <v>2975</v>
      </c>
      <c r="B616" s="21" t="s">
        <v>389</v>
      </c>
      <c r="C616" s="21" t="s">
        <v>390</v>
      </c>
      <c r="D616" s="21" t="s">
        <v>728</v>
      </c>
      <c r="E616" s="21" t="s">
        <v>729</v>
      </c>
      <c r="F616" s="21" t="s">
        <v>1518</v>
      </c>
      <c r="G616" s="21" t="s">
        <v>1519</v>
      </c>
      <c r="H616" s="21" t="s">
        <v>2979</v>
      </c>
      <c r="I616" s="21">
        <v>34</v>
      </c>
      <c r="J616" s="89">
        <f t="shared" si="18"/>
        <v>4.7353760445682451E-2</v>
      </c>
      <c r="K616" s="94">
        <f>VLOOKUP(H616,'PCT data'!B:K,10,FALSE)</f>
        <v>0.91550049923798604</v>
      </c>
      <c r="L616" s="94">
        <f t="shared" si="19"/>
        <v>4.3352391328818282E-2</v>
      </c>
    </row>
    <row r="617" spans="1:12" x14ac:dyDescent="0.2">
      <c r="A617" s="21" t="s">
        <v>2975</v>
      </c>
      <c r="B617" s="21" t="s">
        <v>389</v>
      </c>
      <c r="C617" s="21" t="s">
        <v>390</v>
      </c>
      <c r="D617" s="21" t="s">
        <v>3837</v>
      </c>
      <c r="E617" s="21" t="s">
        <v>3838</v>
      </c>
      <c r="F617" s="21" t="s">
        <v>1520</v>
      </c>
      <c r="G617" s="21" t="s">
        <v>1521</v>
      </c>
      <c r="H617" s="21" t="s">
        <v>2979</v>
      </c>
      <c r="I617" s="21">
        <v>63</v>
      </c>
      <c r="J617" s="89">
        <f t="shared" si="18"/>
        <v>8.7743732590529241E-2</v>
      </c>
      <c r="K617" s="94">
        <f>VLOOKUP(H617,'PCT data'!B:K,10,FALSE)</f>
        <v>0.91550049923798604</v>
      </c>
      <c r="L617" s="94">
        <f t="shared" si="19"/>
        <v>8.0329430991633866E-2</v>
      </c>
    </row>
    <row r="618" spans="1:12" x14ac:dyDescent="0.2">
      <c r="A618" s="21" t="s">
        <v>2975</v>
      </c>
      <c r="B618" s="21" t="s">
        <v>389</v>
      </c>
      <c r="C618" s="21" t="s">
        <v>390</v>
      </c>
      <c r="D618" s="21" t="s">
        <v>3839</v>
      </c>
      <c r="E618" s="21" t="s">
        <v>3840</v>
      </c>
      <c r="F618" s="21" t="s">
        <v>919</v>
      </c>
      <c r="G618" s="21" t="s">
        <v>920</v>
      </c>
      <c r="H618" s="21" t="s">
        <v>2979</v>
      </c>
      <c r="I618" s="21">
        <v>151</v>
      </c>
      <c r="J618" s="89">
        <f t="shared" si="18"/>
        <v>0.21030640668523676</v>
      </c>
      <c r="K618" s="94">
        <f>VLOOKUP(H618,'PCT data'!B:K,10,FALSE)</f>
        <v>0.91550049923798604</v>
      </c>
      <c r="L618" s="94">
        <f t="shared" si="19"/>
        <v>0.19253562031328117</v>
      </c>
    </row>
    <row r="619" spans="1:12" x14ac:dyDescent="0.2">
      <c r="A619" s="21" t="s">
        <v>2975</v>
      </c>
      <c r="B619" s="21" t="s">
        <v>389</v>
      </c>
      <c r="C619" s="21" t="s">
        <v>390</v>
      </c>
      <c r="D619" s="21" t="s">
        <v>3841</v>
      </c>
      <c r="E619" s="21" t="s">
        <v>3842</v>
      </c>
      <c r="F619" s="21" t="s">
        <v>1522</v>
      </c>
      <c r="G619" s="21" t="s">
        <v>1523</v>
      </c>
      <c r="H619" s="21" t="s">
        <v>3019</v>
      </c>
      <c r="I619" s="21">
        <v>24</v>
      </c>
      <c r="J619" s="89">
        <f t="shared" si="18"/>
        <v>3.3426183844011144E-2</v>
      </c>
      <c r="K619" s="94">
        <f>VLOOKUP(H619,'PCT data'!B:K,10,FALSE)</f>
        <v>0.91550049923798604</v>
      </c>
      <c r="L619" s="94">
        <f t="shared" si="19"/>
        <v>3.0601687996812905E-2</v>
      </c>
    </row>
    <row r="620" spans="1:12" x14ac:dyDescent="0.2">
      <c r="A620" s="21" t="s">
        <v>2975</v>
      </c>
      <c r="B620" s="21" t="s">
        <v>389</v>
      </c>
      <c r="C620" s="21" t="s">
        <v>390</v>
      </c>
      <c r="D620" s="21" t="s">
        <v>3843</v>
      </c>
      <c r="E620" s="21" t="s">
        <v>3844</v>
      </c>
      <c r="F620" s="21" t="s">
        <v>1524</v>
      </c>
      <c r="G620" s="21" t="s">
        <v>1525</v>
      </c>
      <c r="H620" s="21" t="s">
        <v>3019</v>
      </c>
      <c r="I620" s="21">
        <v>223</v>
      </c>
      <c r="J620" s="89">
        <f t="shared" si="18"/>
        <v>0.31058495821727017</v>
      </c>
      <c r="K620" s="94">
        <f>VLOOKUP(H620,'PCT data'!B:K,10,FALSE)</f>
        <v>0.91550049923798604</v>
      </c>
      <c r="L620" s="94">
        <f t="shared" si="19"/>
        <v>0.28434068430371989</v>
      </c>
    </row>
    <row r="621" spans="1:12" x14ac:dyDescent="0.2">
      <c r="A621" s="21" t="s">
        <v>2975</v>
      </c>
      <c r="B621" s="21" t="s">
        <v>389</v>
      </c>
      <c r="C621" s="21" t="s">
        <v>390</v>
      </c>
      <c r="D621" s="21" t="s">
        <v>3845</v>
      </c>
      <c r="E621" s="21" t="s">
        <v>2883</v>
      </c>
      <c r="F621" s="21" t="s">
        <v>1526</v>
      </c>
      <c r="G621" s="21" t="s">
        <v>1077</v>
      </c>
      <c r="H621" s="21" t="s">
        <v>2979</v>
      </c>
      <c r="I621" s="21">
        <v>66</v>
      </c>
      <c r="J621" s="89">
        <f t="shared" si="18"/>
        <v>9.1922005571030641E-2</v>
      </c>
      <c r="K621" s="94">
        <f>VLOOKUP(H621,'PCT data'!B:K,10,FALSE)</f>
        <v>0.91550049923798604</v>
      </c>
      <c r="L621" s="94">
        <f t="shared" si="19"/>
        <v>8.4154641991235485E-2</v>
      </c>
    </row>
    <row r="622" spans="1:12" x14ac:dyDescent="0.2">
      <c r="A622" s="21" t="s">
        <v>2975</v>
      </c>
      <c r="B622" s="21" t="s">
        <v>389</v>
      </c>
      <c r="C622" s="21" t="s">
        <v>390</v>
      </c>
      <c r="D622" s="21" t="s">
        <v>2884</v>
      </c>
      <c r="E622" s="21" t="s">
        <v>2885</v>
      </c>
      <c r="F622" s="21" t="s">
        <v>1527</v>
      </c>
      <c r="G622" s="21" t="s">
        <v>1528</v>
      </c>
      <c r="H622" s="21" t="s">
        <v>2979</v>
      </c>
      <c r="I622" s="21">
        <v>62</v>
      </c>
      <c r="J622" s="89">
        <f t="shared" si="18"/>
        <v>8.6350974930362118E-2</v>
      </c>
      <c r="K622" s="94">
        <f>VLOOKUP(H622,'PCT data'!B:K,10,FALSE)</f>
        <v>0.91550049923798604</v>
      </c>
      <c r="L622" s="94">
        <f t="shared" si="19"/>
        <v>7.905436065843334E-2</v>
      </c>
    </row>
    <row r="623" spans="1:12" x14ac:dyDescent="0.2">
      <c r="A623" s="21" t="s">
        <v>2975</v>
      </c>
      <c r="B623" s="21" t="s">
        <v>389</v>
      </c>
      <c r="C623" s="21" t="s">
        <v>390</v>
      </c>
      <c r="D623" s="21" t="s">
        <v>2886</v>
      </c>
      <c r="E623" s="21" t="s">
        <v>2887</v>
      </c>
      <c r="F623" s="21" t="s">
        <v>1529</v>
      </c>
      <c r="G623" s="21" t="s">
        <v>922</v>
      </c>
      <c r="H623" s="21" t="s">
        <v>2979</v>
      </c>
      <c r="I623" s="21">
        <v>24</v>
      </c>
      <c r="J623" s="89">
        <f t="shared" si="18"/>
        <v>3.3426183844011144E-2</v>
      </c>
      <c r="K623" s="94">
        <f>VLOOKUP(H623,'PCT data'!B:K,10,FALSE)</f>
        <v>0.91550049923798604</v>
      </c>
      <c r="L623" s="94">
        <f t="shared" si="19"/>
        <v>3.0601687996812905E-2</v>
      </c>
    </row>
    <row r="624" spans="1:12" x14ac:dyDescent="0.2">
      <c r="A624" s="21" t="s">
        <v>2975</v>
      </c>
      <c r="B624" s="21" t="s">
        <v>389</v>
      </c>
      <c r="C624" s="21" t="s">
        <v>390</v>
      </c>
      <c r="D624" s="21" t="s">
        <v>2888</v>
      </c>
      <c r="E624" s="21" t="s">
        <v>2889</v>
      </c>
      <c r="F624" s="21" t="s">
        <v>1530</v>
      </c>
      <c r="G624" s="21" t="s">
        <v>1531</v>
      </c>
      <c r="H624" s="21" t="s">
        <v>2979</v>
      </c>
      <c r="I624" s="21">
        <v>15</v>
      </c>
      <c r="J624" s="89">
        <f t="shared" si="18"/>
        <v>2.0891364902506964E-2</v>
      </c>
      <c r="K624" s="94">
        <f>VLOOKUP(H624,'PCT data'!B:K,10,FALSE)</f>
        <v>0.91550049923798604</v>
      </c>
      <c r="L624" s="94">
        <f t="shared" si="19"/>
        <v>1.9126054998008065E-2</v>
      </c>
    </row>
    <row r="625" spans="1:12" x14ac:dyDescent="0.2">
      <c r="A625" s="21" t="s">
        <v>2975</v>
      </c>
      <c r="B625" s="21" t="s">
        <v>389</v>
      </c>
      <c r="C625" s="21" t="s">
        <v>390</v>
      </c>
      <c r="D625" s="21" t="s">
        <v>2890</v>
      </c>
      <c r="E625" s="21" t="s">
        <v>2891</v>
      </c>
      <c r="F625" s="21" t="s">
        <v>1532</v>
      </c>
      <c r="G625" s="21" t="s">
        <v>1533</v>
      </c>
      <c r="H625" s="21" t="s">
        <v>3603</v>
      </c>
      <c r="I625" s="21">
        <v>56</v>
      </c>
      <c r="J625" s="89">
        <f t="shared" si="18"/>
        <v>7.7994428969359333E-2</v>
      </c>
      <c r="K625" s="94">
        <f>VLOOKUP(H625,'PCT data'!B:K,10,FALSE)</f>
        <v>0.93540268400402815</v>
      </c>
      <c r="L625" s="94">
        <f t="shared" si="19"/>
        <v>7.2956198195300248E-2</v>
      </c>
    </row>
    <row r="626" spans="1:12" x14ac:dyDescent="0.2">
      <c r="A626" s="21" t="s">
        <v>2975</v>
      </c>
      <c r="B626" s="21" t="s">
        <v>357</v>
      </c>
      <c r="C626" s="21" t="s">
        <v>358</v>
      </c>
      <c r="D626" s="21" t="s">
        <v>728</v>
      </c>
      <c r="E626" s="21" t="s">
        <v>729</v>
      </c>
      <c r="F626" s="21" t="s">
        <v>1534</v>
      </c>
      <c r="G626" s="21" t="s">
        <v>1535</v>
      </c>
      <c r="H626" s="21" t="s">
        <v>3002</v>
      </c>
      <c r="I626" s="21">
        <v>234</v>
      </c>
      <c r="J626" s="89">
        <f t="shared" si="18"/>
        <v>0.29471032745591941</v>
      </c>
      <c r="K626" s="94">
        <f>VLOOKUP(H626,'PCT data'!B:K,10,FALSE)</f>
        <v>0.91550049923798604</v>
      </c>
      <c r="L626" s="94">
        <f t="shared" si="19"/>
        <v>0.26980745191648459</v>
      </c>
    </row>
    <row r="627" spans="1:12" x14ac:dyDescent="0.2">
      <c r="A627" s="21" t="s">
        <v>2975</v>
      </c>
      <c r="B627" s="21" t="s">
        <v>357</v>
      </c>
      <c r="C627" s="21" t="s">
        <v>358</v>
      </c>
      <c r="D627" s="21" t="s">
        <v>2892</v>
      </c>
      <c r="E627" s="21" t="s">
        <v>2893</v>
      </c>
      <c r="F627" s="21" t="s">
        <v>2454</v>
      </c>
      <c r="G627" s="21" t="s">
        <v>2455</v>
      </c>
      <c r="H627" s="21" t="s">
        <v>2998</v>
      </c>
      <c r="I627" s="21">
        <v>88</v>
      </c>
      <c r="J627" s="89">
        <f t="shared" si="18"/>
        <v>0.11083123425692695</v>
      </c>
      <c r="K627" s="94">
        <f>VLOOKUP(H627,'PCT data'!B:K,10,FALSE)</f>
        <v>0.93540268400402815</v>
      </c>
      <c r="L627" s="94">
        <f t="shared" si="19"/>
        <v>0.10367183399540866</v>
      </c>
    </row>
    <row r="628" spans="1:12" x14ac:dyDescent="0.2">
      <c r="A628" s="21" t="s">
        <v>2975</v>
      </c>
      <c r="B628" s="21" t="s">
        <v>357</v>
      </c>
      <c r="C628" s="21" t="s">
        <v>358</v>
      </c>
      <c r="D628" s="21" t="s">
        <v>2894</v>
      </c>
      <c r="E628" s="21" t="s">
        <v>2895</v>
      </c>
      <c r="F628" s="21" t="s">
        <v>2430</v>
      </c>
      <c r="G628" s="21" t="s">
        <v>2431</v>
      </c>
      <c r="H628" s="21" t="s">
        <v>3002</v>
      </c>
      <c r="I628" s="21">
        <v>43</v>
      </c>
      <c r="J628" s="89">
        <f t="shared" si="18"/>
        <v>5.4156171284634763E-2</v>
      </c>
      <c r="K628" s="94">
        <f>VLOOKUP(H628,'PCT data'!B:K,10,FALSE)</f>
        <v>0.91550049923798604</v>
      </c>
      <c r="L628" s="94">
        <f t="shared" si="19"/>
        <v>4.9580001847901012E-2</v>
      </c>
    </row>
    <row r="629" spans="1:12" x14ac:dyDescent="0.2">
      <c r="A629" s="21" t="s">
        <v>2975</v>
      </c>
      <c r="B629" s="21" t="s">
        <v>357</v>
      </c>
      <c r="C629" s="21" t="s">
        <v>358</v>
      </c>
      <c r="D629" s="21" t="s">
        <v>2896</v>
      </c>
      <c r="E629" s="21" t="s">
        <v>2897</v>
      </c>
      <c r="F629" s="21" t="s">
        <v>1536</v>
      </c>
      <c r="G629" s="21" t="s">
        <v>1537</v>
      </c>
      <c r="H629" s="21" t="s">
        <v>3002</v>
      </c>
      <c r="I629" s="21">
        <v>122</v>
      </c>
      <c r="J629" s="89">
        <f t="shared" si="18"/>
        <v>0.15365239294710328</v>
      </c>
      <c r="K629" s="94">
        <f>VLOOKUP(H629,'PCT data'!B:K,10,FALSE)</f>
        <v>0.91550049923798604</v>
      </c>
      <c r="L629" s="94">
        <f t="shared" si="19"/>
        <v>0.14066884245218425</v>
      </c>
    </row>
    <row r="630" spans="1:12" x14ac:dyDescent="0.2">
      <c r="A630" s="21" t="s">
        <v>2975</v>
      </c>
      <c r="B630" s="21" t="s">
        <v>357</v>
      </c>
      <c r="C630" s="21" t="s">
        <v>358</v>
      </c>
      <c r="D630" s="21" t="s">
        <v>2898</v>
      </c>
      <c r="E630" s="21" t="s">
        <v>2899</v>
      </c>
      <c r="F630" s="21" t="s">
        <v>1538</v>
      </c>
      <c r="G630" s="21" t="s">
        <v>1539</v>
      </c>
      <c r="H630" s="21" t="s">
        <v>3002</v>
      </c>
      <c r="I630" s="21">
        <v>48</v>
      </c>
      <c r="J630" s="89">
        <f t="shared" si="18"/>
        <v>6.0453400503778336E-2</v>
      </c>
      <c r="K630" s="94">
        <f>VLOOKUP(H630,'PCT data'!B:K,10,FALSE)</f>
        <v>0.91550049923798604</v>
      </c>
      <c r="L630" s="94">
        <f t="shared" si="19"/>
        <v>5.5345118341842983E-2</v>
      </c>
    </row>
    <row r="631" spans="1:12" x14ac:dyDescent="0.2">
      <c r="A631" s="21" t="s">
        <v>2975</v>
      </c>
      <c r="B631" s="21" t="s">
        <v>357</v>
      </c>
      <c r="C631" s="21" t="s">
        <v>358</v>
      </c>
      <c r="D631" s="21" t="s">
        <v>2900</v>
      </c>
      <c r="E631" s="21" t="s">
        <v>1198</v>
      </c>
      <c r="F631" s="21" t="s">
        <v>83</v>
      </c>
      <c r="G631" s="21" t="s">
        <v>84</v>
      </c>
      <c r="H631" s="21" t="s">
        <v>3002</v>
      </c>
      <c r="I631" s="21">
        <v>42</v>
      </c>
      <c r="J631" s="89">
        <f t="shared" si="18"/>
        <v>5.2896725440806043E-2</v>
      </c>
      <c r="K631" s="94">
        <f>VLOOKUP(H631,'PCT data'!B:K,10,FALSE)</f>
        <v>0.91550049923798604</v>
      </c>
      <c r="L631" s="94">
        <f t="shared" si="19"/>
        <v>4.8426978549112612E-2</v>
      </c>
    </row>
    <row r="632" spans="1:12" x14ac:dyDescent="0.2">
      <c r="A632" s="21" t="s">
        <v>2975</v>
      </c>
      <c r="B632" s="21" t="s">
        <v>357</v>
      </c>
      <c r="C632" s="21" t="s">
        <v>358</v>
      </c>
      <c r="D632" s="21" t="s">
        <v>2901</v>
      </c>
      <c r="E632" s="21" t="s">
        <v>2902</v>
      </c>
      <c r="F632" s="21" t="s">
        <v>1540</v>
      </c>
      <c r="G632" s="21" t="s">
        <v>2429</v>
      </c>
      <c r="H632" s="21" t="s">
        <v>2982</v>
      </c>
      <c r="I632" s="21">
        <v>94</v>
      </c>
      <c r="J632" s="89">
        <f t="shared" si="18"/>
        <v>0.11838790931989925</v>
      </c>
      <c r="K632" s="94">
        <f>VLOOKUP(H632,'PCT data'!B:K,10,FALSE)</f>
        <v>0.94535377638704965</v>
      </c>
      <c r="L632" s="94">
        <f t="shared" si="19"/>
        <v>0.11191845715413434</v>
      </c>
    </row>
    <row r="633" spans="1:12" x14ac:dyDescent="0.2">
      <c r="A633" s="21" t="s">
        <v>2975</v>
      </c>
      <c r="B633" s="21" t="s">
        <v>357</v>
      </c>
      <c r="C633" s="21" t="s">
        <v>358</v>
      </c>
      <c r="D633" s="21" t="s">
        <v>2903</v>
      </c>
      <c r="E633" s="21" t="s">
        <v>2904</v>
      </c>
      <c r="F633" s="21" t="s">
        <v>1541</v>
      </c>
      <c r="G633" s="21" t="s">
        <v>1542</v>
      </c>
      <c r="H633" s="21" t="s">
        <v>3610</v>
      </c>
      <c r="I633" s="21">
        <v>40</v>
      </c>
      <c r="J633" s="89">
        <f t="shared" si="18"/>
        <v>5.0377833753148617E-2</v>
      </c>
      <c r="K633" s="94">
        <f>VLOOKUP(H633,'PCT data'!B:K,10,FALSE)</f>
        <v>0.89559831447194282</v>
      </c>
      <c r="L633" s="94">
        <f t="shared" si="19"/>
        <v>4.5118302996067651E-2</v>
      </c>
    </row>
    <row r="634" spans="1:12" x14ac:dyDescent="0.2">
      <c r="A634" s="21" t="s">
        <v>2975</v>
      </c>
      <c r="B634" s="21" t="s">
        <v>357</v>
      </c>
      <c r="C634" s="21" t="s">
        <v>358</v>
      </c>
      <c r="D634" s="21" t="s">
        <v>2905</v>
      </c>
      <c r="E634" s="21" t="s">
        <v>2906</v>
      </c>
      <c r="F634" s="21" t="s">
        <v>1543</v>
      </c>
      <c r="G634" s="21" t="s">
        <v>1544</v>
      </c>
      <c r="H634" s="21" t="s">
        <v>3610</v>
      </c>
      <c r="I634" s="21">
        <v>40</v>
      </c>
      <c r="J634" s="89">
        <f t="shared" si="18"/>
        <v>5.0377833753148617E-2</v>
      </c>
      <c r="K634" s="94">
        <f>VLOOKUP(H634,'PCT data'!B:K,10,FALSE)</f>
        <v>0.89559831447194282</v>
      </c>
      <c r="L634" s="94">
        <f t="shared" si="19"/>
        <v>4.5118302996067651E-2</v>
      </c>
    </row>
    <row r="635" spans="1:12" x14ac:dyDescent="0.2">
      <c r="A635" s="21" t="s">
        <v>2975</v>
      </c>
      <c r="B635" s="21" t="s">
        <v>357</v>
      </c>
      <c r="C635" s="21" t="s">
        <v>358</v>
      </c>
      <c r="D635" s="21" t="s">
        <v>2907</v>
      </c>
      <c r="E635" s="21" t="s">
        <v>2908</v>
      </c>
      <c r="F635" s="21" t="s">
        <v>1545</v>
      </c>
      <c r="G635" s="21" t="s">
        <v>1546</v>
      </c>
      <c r="H635" s="21" t="s">
        <v>3610</v>
      </c>
      <c r="I635" s="21">
        <v>21</v>
      </c>
      <c r="J635" s="89">
        <f t="shared" si="18"/>
        <v>2.6448362720403022E-2</v>
      </c>
      <c r="K635" s="94">
        <f>VLOOKUP(H635,'PCT data'!B:K,10,FALSE)</f>
        <v>0.89559831447194282</v>
      </c>
      <c r="L635" s="94">
        <f t="shared" si="19"/>
        <v>2.3687109072935513E-2</v>
      </c>
    </row>
    <row r="636" spans="1:12" x14ac:dyDescent="0.2">
      <c r="A636" s="21" t="s">
        <v>2975</v>
      </c>
      <c r="B636" s="21" t="s">
        <v>357</v>
      </c>
      <c r="C636" s="21" t="s">
        <v>358</v>
      </c>
      <c r="D636" s="21" t="s">
        <v>2909</v>
      </c>
      <c r="E636" s="21" t="s">
        <v>2910</v>
      </c>
      <c r="F636" s="21" t="s">
        <v>1547</v>
      </c>
      <c r="G636" s="21" t="s">
        <v>1548</v>
      </c>
      <c r="H636" s="21" t="s">
        <v>3610</v>
      </c>
      <c r="I636" s="21">
        <v>22</v>
      </c>
      <c r="J636" s="89">
        <f t="shared" si="18"/>
        <v>2.7707808564231738E-2</v>
      </c>
      <c r="K636" s="94">
        <f>VLOOKUP(H636,'PCT data'!B:K,10,FALSE)</f>
        <v>0.89559831447194282</v>
      </c>
      <c r="L636" s="94">
        <f t="shared" si="19"/>
        <v>2.4815066647837208E-2</v>
      </c>
    </row>
    <row r="637" spans="1:12" x14ac:dyDescent="0.2">
      <c r="A637" s="21" t="s">
        <v>1167</v>
      </c>
      <c r="B637" s="21" t="s">
        <v>2355</v>
      </c>
      <c r="C637" s="21" t="s">
        <v>2356</v>
      </c>
      <c r="D637" s="21" t="s">
        <v>728</v>
      </c>
      <c r="E637" s="21" t="s">
        <v>729</v>
      </c>
      <c r="F637" s="21" t="s">
        <v>1549</v>
      </c>
      <c r="G637" s="21" t="s">
        <v>1550</v>
      </c>
      <c r="H637" s="21" t="s">
        <v>1175</v>
      </c>
      <c r="I637" s="21">
        <v>22</v>
      </c>
      <c r="J637" s="89">
        <f t="shared" si="18"/>
        <v>3.3536585365853661E-2</v>
      </c>
      <c r="K637" s="94">
        <f>VLOOKUP(H637,'PCT data'!B:K,10,FALSE)</f>
        <v>1.1841799935795587</v>
      </c>
      <c r="L637" s="94">
        <f t="shared" si="19"/>
        <v>3.9713353443216907E-2</v>
      </c>
    </row>
    <row r="638" spans="1:12" x14ac:dyDescent="0.2">
      <c r="A638" s="21" t="s">
        <v>1167</v>
      </c>
      <c r="B638" s="21" t="s">
        <v>2355</v>
      </c>
      <c r="C638" s="21" t="s">
        <v>2356</v>
      </c>
      <c r="D638" s="21" t="s">
        <v>2911</v>
      </c>
      <c r="E638" s="21" t="s">
        <v>2912</v>
      </c>
      <c r="F638" s="21" t="s">
        <v>1549</v>
      </c>
      <c r="G638" s="21" t="s">
        <v>1550</v>
      </c>
      <c r="H638" s="21" t="s">
        <v>1175</v>
      </c>
      <c r="I638" s="21">
        <v>130</v>
      </c>
      <c r="J638" s="89">
        <f t="shared" si="18"/>
        <v>0.19817073170731708</v>
      </c>
      <c r="K638" s="94">
        <f>VLOOKUP(H638,'PCT data'!B:K,10,FALSE)</f>
        <v>1.1841799935795587</v>
      </c>
      <c r="L638" s="94">
        <f t="shared" si="19"/>
        <v>0.23466981580082719</v>
      </c>
    </row>
    <row r="639" spans="1:12" x14ac:dyDescent="0.2">
      <c r="A639" s="21" t="s">
        <v>1167</v>
      </c>
      <c r="B639" s="21" t="s">
        <v>2355</v>
      </c>
      <c r="C639" s="21" t="s">
        <v>2356</v>
      </c>
      <c r="D639" s="21" t="s">
        <v>2913</v>
      </c>
      <c r="E639" s="21" t="s">
        <v>2914</v>
      </c>
      <c r="F639" s="21" t="s">
        <v>1551</v>
      </c>
      <c r="G639" s="21" t="s">
        <v>3329</v>
      </c>
      <c r="H639" s="21" t="s">
        <v>3449</v>
      </c>
      <c r="I639" s="21">
        <v>36</v>
      </c>
      <c r="J639" s="89">
        <f t="shared" si="18"/>
        <v>5.4878048780487805E-2</v>
      </c>
      <c r="K639" s="94">
        <f>VLOOKUP(H639,'PCT data'!B:K,10,FALSE)</f>
        <v>1.2040821783456119</v>
      </c>
      <c r="L639" s="94">
        <f t="shared" si="19"/>
        <v>6.6077680518966508E-2</v>
      </c>
    </row>
    <row r="640" spans="1:12" x14ac:dyDescent="0.2">
      <c r="A640" s="21" t="s">
        <v>1167</v>
      </c>
      <c r="B640" s="21" t="s">
        <v>2355</v>
      </c>
      <c r="C640" s="21" t="s">
        <v>2356</v>
      </c>
      <c r="D640" s="21" t="s">
        <v>2915</v>
      </c>
      <c r="E640" s="21" t="s">
        <v>2916</v>
      </c>
      <c r="F640" s="21" t="s">
        <v>1552</v>
      </c>
      <c r="G640" s="21" t="s">
        <v>3253</v>
      </c>
      <c r="H640" s="21" t="s">
        <v>1175</v>
      </c>
      <c r="I640" s="21">
        <v>16</v>
      </c>
      <c r="J640" s="89">
        <f t="shared" si="18"/>
        <v>2.4390243902439025E-2</v>
      </c>
      <c r="K640" s="94">
        <f>VLOOKUP(H640,'PCT data'!B:K,10,FALSE)</f>
        <v>1.1841799935795587</v>
      </c>
      <c r="L640" s="94">
        <f t="shared" si="19"/>
        <v>2.8882438867794118E-2</v>
      </c>
    </row>
    <row r="641" spans="1:12" x14ac:dyDescent="0.2">
      <c r="A641" s="21" t="s">
        <v>1167</v>
      </c>
      <c r="B641" s="21" t="s">
        <v>2355</v>
      </c>
      <c r="C641" s="21" t="s">
        <v>2356</v>
      </c>
      <c r="D641" s="21" t="s">
        <v>2917</v>
      </c>
      <c r="E641" s="21" t="s">
        <v>2918</v>
      </c>
      <c r="F641" s="21" t="s">
        <v>1553</v>
      </c>
      <c r="G641" s="21" t="s">
        <v>3251</v>
      </c>
      <c r="H641" s="21" t="s">
        <v>3462</v>
      </c>
      <c r="I641" s="21">
        <v>134</v>
      </c>
      <c r="J641" s="89">
        <f t="shared" si="18"/>
        <v>0.20426829268292682</v>
      </c>
      <c r="K641" s="94">
        <f>VLOOKUP(H641,'PCT data'!B:K,10,FALSE)</f>
        <v>1.0846690697493531</v>
      </c>
      <c r="L641" s="94">
        <f t="shared" si="19"/>
        <v>0.2215634990036788</v>
      </c>
    </row>
    <row r="642" spans="1:12" x14ac:dyDescent="0.2">
      <c r="A642" s="21" t="s">
        <v>1167</v>
      </c>
      <c r="B642" s="21" t="s">
        <v>2355</v>
      </c>
      <c r="C642" s="21" t="s">
        <v>2356</v>
      </c>
      <c r="D642" s="21" t="s">
        <v>2919</v>
      </c>
      <c r="E642" s="21" t="s">
        <v>2920</v>
      </c>
      <c r="F642" s="21" t="s">
        <v>1554</v>
      </c>
      <c r="G642" s="21" t="s">
        <v>1555</v>
      </c>
      <c r="H642" s="21" t="s">
        <v>3449</v>
      </c>
      <c r="I642" s="21">
        <v>173</v>
      </c>
      <c r="J642" s="89">
        <f t="shared" si="18"/>
        <v>0.26371951219512196</v>
      </c>
      <c r="K642" s="94">
        <f>VLOOKUP(H642,'PCT data'!B:K,10,FALSE)</f>
        <v>1.2040821783456119</v>
      </c>
      <c r="L642" s="94">
        <f t="shared" si="19"/>
        <v>0.31753996471614465</v>
      </c>
    </row>
    <row r="643" spans="1:12" x14ac:dyDescent="0.2">
      <c r="A643" s="21" t="s">
        <v>1167</v>
      </c>
      <c r="B643" s="21" t="s">
        <v>2355</v>
      </c>
      <c r="C643" s="21" t="s">
        <v>2356</v>
      </c>
      <c r="D643" s="21" t="s">
        <v>2921</v>
      </c>
      <c r="E643" s="21" t="s">
        <v>2922</v>
      </c>
      <c r="F643" s="21" t="s">
        <v>1556</v>
      </c>
      <c r="G643" s="21" t="s">
        <v>1557</v>
      </c>
      <c r="H643" s="21" t="s">
        <v>1175</v>
      </c>
      <c r="I643" s="21">
        <v>145</v>
      </c>
      <c r="J643" s="89">
        <f t="shared" ref="J643:J706" si="20">I643/SUMIF(B:B,B643,I:I)</f>
        <v>0.22103658536585366</v>
      </c>
      <c r="K643" s="94">
        <f>VLOOKUP(H643,'PCT data'!B:K,10,FALSE)</f>
        <v>1.1841799935795587</v>
      </c>
      <c r="L643" s="94">
        <f t="shared" ref="L643:L706" si="21">K643*J643</f>
        <v>0.26174710223938419</v>
      </c>
    </row>
    <row r="644" spans="1:12" x14ac:dyDescent="0.2">
      <c r="A644" s="21" t="s">
        <v>1127</v>
      </c>
      <c r="B644" s="21" t="s">
        <v>548</v>
      </c>
      <c r="C644" s="21" t="s">
        <v>549</v>
      </c>
      <c r="D644" s="21" t="s">
        <v>728</v>
      </c>
      <c r="E644" s="21" t="s">
        <v>729</v>
      </c>
      <c r="F644" s="21" t="s">
        <v>1558</v>
      </c>
      <c r="G644" s="21" t="s">
        <v>1559</v>
      </c>
      <c r="H644" s="21" t="s">
        <v>1151</v>
      </c>
      <c r="I644" s="21">
        <v>170</v>
      </c>
      <c r="J644" s="89">
        <f t="shared" si="20"/>
        <v>0.32258064516129031</v>
      </c>
      <c r="K644" s="94">
        <f>VLOOKUP(H644,'PCT data'!B:K,10,FALSE)</f>
        <v>1.0249625154512234</v>
      </c>
      <c r="L644" s="94">
        <f t="shared" si="21"/>
        <v>0.33063306950039462</v>
      </c>
    </row>
    <row r="645" spans="1:12" x14ac:dyDescent="0.2">
      <c r="A645" s="21" t="s">
        <v>1127</v>
      </c>
      <c r="B645" s="21" t="s">
        <v>548</v>
      </c>
      <c r="C645" s="21" t="s">
        <v>549</v>
      </c>
      <c r="D645" s="21" t="s">
        <v>2923</v>
      </c>
      <c r="E645" s="21" t="s">
        <v>2924</v>
      </c>
      <c r="F645" s="21" t="s">
        <v>1560</v>
      </c>
      <c r="G645" s="21" t="s">
        <v>1561</v>
      </c>
      <c r="H645" s="21" t="s">
        <v>1164</v>
      </c>
      <c r="I645" s="21">
        <v>97</v>
      </c>
      <c r="J645" s="89">
        <f t="shared" si="20"/>
        <v>0.18406072106261859</v>
      </c>
      <c r="K645" s="94">
        <f>VLOOKUP(H645,'PCT data'!B:K,10,FALSE)</f>
        <v>1.0846690697493531</v>
      </c>
      <c r="L645" s="94">
        <f t="shared" si="21"/>
        <v>0.19964497109238566</v>
      </c>
    </row>
    <row r="646" spans="1:12" x14ac:dyDescent="0.2">
      <c r="A646" s="21" t="s">
        <v>1127</v>
      </c>
      <c r="B646" s="21" t="s">
        <v>548</v>
      </c>
      <c r="C646" s="21" t="s">
        <v>549</v>
      </c>
      <c r="D646" s="21" t="s">
        <v>2925</v>
      </c>
      <c r="E646" s="21" t="s">
        <v>2926</v>
      </c>
      <c r="F646" s="21" t="s">
        <v>1558</v>
      </c>
      <c r="G646" s="21" t="s">
        <v>1559</v>
      </c>
      <c r="H646" s="21" t="s">
        <v>1151</v>
      </c>
      <c r="I646" s="21">
        <v>88</v>
      </c>
      <c r="J646" s="89">
        <f t="shared" si="20"/>
        <v>0.16698292220113853</v>
      </c>
      <c r="K646" s="94">
        <f>VLOOKUP(H646,'PCT data'!B:K,10,FALSE)</f>
        <v>1.0249625154512234</v>
      </c>
      <c r="L646" s="94">
        <f t="shared" si="21"/>
        <v>0.17115123597667489</v>
      </c>
    </row>
    <row r="647" spans="1:12" x14ac:dyDescent="0.2">
      <c r="A647" s="21" t="s">
        <v>1127</v>
      </c>
      <c r="B647" s="21" t="s">
        <v>548</v>
      </c>
      <c r="C647" s="21" t="s">
        <v>549</v>
      </c>
      <c r="D647" s="21" t="s">
        <v>2927</v>
      </c>
      <c r="E647" s="21" t="s">
        <v>2928</v>
      </c>
      <c r="F647" s="21" t="s">
        <v>895</v>
      </c>
      <c r="G647" s="21" t="s">
        <v>896</v>
      </c>
      <c r="H647" s="21" t="s">
        <v>1129</v>
      </c>
      <c r="I647" s="21">
        <v>124</v>
      </c>
      <c r="J647" s="89">
        <f t="shared" si="20"/>
        <v>0.23529411764705882</v>
      </c>
      <c r="K647" s="94">
        <f>VLOOKUP(H647,'PCT data'!B:K,10,FALSE)</f>
        <v>1.0349136078342451</v>
      </c>
      <c r="L647" s="94">
        <f t="shared" si="21"/>
        <v>0.24350908419629297</v>
      </c>
    </row>
    <row r="648" spans="1:12" x14ac:dyDescent="0.2">
      <c r="A648" s="21" t="s">
        <v>1127</v>
      </c>
      <c r="B648" s="21" t="s">
        <v>548</v>
      </c>
      <c r="C648" s="21" t="s">
        <v>549</v>
      </c>
      <c r="D648" s="21" t="s">
        <v>2929</v>
      </c>
      <c r="E648" s="21" t="s">
        <v>2930</v>
      </c>
      <c r="F648" s="21" t="s">
        <v>1562</v>
      </c>
      <c r="G648" s="21" t="s">
        <v>1563</v>
      </c>
      <c r="H648" s="21" t="s">
        <v>1129</v>
      </c>
      <c r="I648" s="21">
        <v>48</v>
      </c>
      <c r="J648" s="89">
        <f t="shared" si="20"/>
        <v>9.1081593927893736E-2</v>
      </c>
      <c r="K648" s="94">
        <f>VLOOKUP(H648,'PCT data'!B:K,10,FALSE)</f>
        <v>1.0349136078342451</v>
      </c>
      <c r="L648" s="94">
        <f t="shared" si="21"/>
        <v>9.4261580979210183E-2</v>
      </c>
    </row>
    <row r="649" spans="1:12" x14ac:dyDescent="0.2">
      <c r="A649" s="21" t="s">
        <v>2133</v>
      </c>
      <c r="B649" s="21" t="s">
        <v>697</v>
      </c>
      <c r="C649" s="21" t="s">
        <v>698</v>
      </c>
      <c r="D649" s="21" t="s">
        <v>728</v>
      </c>
      <c r="E649" s="21" t="s">
        <v>729</v>
      </c>
      <c r="F649" s="21" t="s">
        <v>1564</v>
      </c>
      <c r="G649" s="21" t="s">
        <v>1565</v>
      </c>
      <c r="H649" s="21" t="s">
        <v>1125</v>
      </c>
      <c r="I649" s="21">
        <v>74</v>
      </c>
      <c r="J649" s="89">
        <f t="shared" si="20"/>
        <v>0.33789954337899542</v>
      </c>
      <c r="K649" s="94">
        <f>VLOOKUP(H649,'PCT data'!B:K,10,FALSE)</f>
        <v>0.94535377638704965</v>
      </c>
      <c r="L649" s="94">
        <f t="shared" si="21"/>
        <v>0.319434609372793</v>
      </c>
    </row>
    <row r="650" spans="1:12" x14ac:dyDescent="0.2">
      <c r="A650" s="21" t="s">
        <v>2133</v>
      </c>
      <c r="B650" s="21" t="s">
        <v>697</v>
      </c>
      <c r="C650" s="21" t="s">
        <v>698</v>
      </c>
      <c r="D650" s="21" t="s">
        <v>2931</v>
      </c>
      <c r="E650" s="21" t="s">
        <v>2932</v>
      </c>
      <c r="F650" s="21" t="s">
        <v>1566</v>
      </c>
      <c r="G650" s="21" t="s">
        <v>163</v>
      </c>
      <c r="H650" s="21" t="s">
        <v>1125</v>
      </c>
      <c r="I650" s="21">
        <v>43</v>
      </c>
      <c r="J650" s="89">
        <f t="shared" si="20"/>
        <v>0.19634703196347031</v>
      </c>
      <c r="K650" s="94">
        <f>VLOOKUP(H650,'PCT data'!B:K,10,FALSE)</f>
        <v>0.94535377638704965</v>
      </c>
      <c r="L650" s="94">
        <f t="shared" si="21"/>
        <v>0.18561740814905539</v>
      </c>
    </row>
    <row r="651" spans="1:12" x14ac:dyDescent="0.2">
      <c r="A651" s="21" t="s">
        <v>2133</v>
      </c>
      <c r="B651" s="21" t="s">
        <v>697</v>
      </c>
      <c r="C651" s="21" t="s">
        <v>698</v>
      </c>
      <c r="D651" s="21" t="s">
        <v>2933</v>
      </c>
      <c r="E651" s="21" t="s">
        <v>2934</v>
      </c>
      <c r="F651" s="21" t="s">
        <v>1567</v>
      </c>
      <c r="G651" s="21" t="s">
        <v>161</v>
      </c>
      <c r="H651" s="21" t="s">
        <v>1125</v>
      </c>
      <c r="I651" s="21">
        <v>21</v>
      </c>
      <c r="J651" s="89">
        <f t="shared" si="20"/>
        <v>9.5890410958904104E-2</v>
      </c>
      <c r="K651" s="94">
        <f>VLOOKUP(H651,'PCT data'!B:K,10,FALSE)</f>
        <v>0.94535377638704965</v>
      </c>
      <c r="L651" s="94">
        <f t="shared" si="21"/>
        <v>9.0650362119306133E-2</v>
      </c>
    </row>
    <row r="652" spans="1:12" x14ac:dyDescent="0.2">
      <c r="A652" s="21" t="s">
        <v>2133</v>
      </c>
      <c r="B652" s="21" t="s">
        <v>697</v>
      </c>
      <c r="C652" s="21" t="s">
        <v>698</v>
      </c>
      <c r="D652" s="21" t="s">
        <v>2935</v>
      </c>
      <c r="E652" s="21" t="s">
        <v>2936</v>
      </c>
      <c r="F652" s="21" t="s">
        <v>1566</v>
      </c>
      <c r="G652" s="21" t="s">
        <v>163</v>
      </c>
      <c r="H652" s="21" t="s">
        <v>1125</v>
      </c>
      <c r="I652" s="21">
        <v>42</v>
      </c>
      <c r="J652" s="89">
        <f t="shared" si="20"/>
        <v>0.19178082191780821</v>
      </c>
      <c r="K652" s="94">
        <f>VLOOKUP(H652,'PCT data'!B:K,10,FALSE)</f>
        <v>0.94535377638704965</v>
      </c>
      <c r="L652" s="94">
        <f t="shared" si="21"/>
        <v>0.18130072423861227</v>
      </c>
    </row>
    <row r="653" spans="1:12" x14ac:dyDescent="0.2">
      <c r="A653" s="21" t="s">
        <v>2133</v>
      </c>
      <c r="B653" s="21" t="s">
        <v>697</v>
      </c>
      <c r="C653" s="21" t="s">
        <v>698</v>
      </c>
      <c r="D653" s="21" t="s">
        <v>2937</v>
      </c>
      <c r="E653" s="21" t="s">
        <v>2938</v>
      </c>
      <c r="F653" s="21" t="s">
        <v>158</v>
      </c>
      <c r="G653" s="21" t="s">
        <v>159</v>
      </c>
      <c r="H653" s="21" t="s">
        <v>1125</v>
      </c>
      <c r="I653" s="21">
        <v>39</v>
      </c>
      <c r="J653" s="89">
        <f t="shared" si="20"/>
        <v>0.17808219178082191</v>
      </c>
      <c r="K653" s="94">
        <f>VLOOKUP(H653,'PCT data'!B:K,10,FALSE)</f>
        <v>0.94535377638704965</v>
      </c>
      <c r="L653" s="94">
        <f t="shared" si="21"/>
        <v>0.16835067250728281</v>
      </c>
    </row>
    <row r="654" spans="1:12" x14ac:dyDescent="0.2">
      <c r="A654" s="21" t="s">
        <v>1127</v>
      </c>
      <c r="B654" s="21" t="s">
        <v>1320</v>
      </c>
      <c r="C654" s="21" t="s">
        <v>1321</v>
      </c>
      <c r="D654" s="21" t="s">
        <v>728</v>
      </c>
      <c r="E654" s="21" t="s">
        <v>729</v>
      </c>
      <c r="F654" s="21" t="s">
        <v>1568</v>
      </c>
      <c r="G654" s="21" t="s">
        <v>146</v>
      </c>
      <c r="H654" s="21" t="s">
        <v>1142</v>
      </c>
      <c r="I654" s="21">
        <v>240</v>
      </c>
      <c r="J654" s="89">
        <f t="shared" si="20"/>
        <v>0.37735849056603776</v>
      </c>
      <c r="K654" s="94">
        <f>VLOOKUP(H654,'PCT data'!B:K,10,FALSE)</f>
        <v>1.0846690697493531</v>
      </c>
      <c r="L654" s="94">
        <f t="shared" si="21"/>
        <v>0.4093090829242842</v>
      </c>
    </row>
    <row r="655" spans="1:12" x14ac:dyDescent="0.2">
      <c r="A655" s="21" t="s">
        <v>1127</v>
      </c>
      <c r="B655" s="21" t="s">
        <v>1320</v>
      </c>
      <c r="C655" s="21" t="s">
        <v>1321</v>
      </c>
      <c r="D655" s="21" t="s">
        <v>2939</v>
      </c>
      <c r="E655" s="21" t="s">
        <v>2940</v>
      </c>
      <c r="F655" s="21" t="s">
        <v>1569</v>
      </c>
      <c r="G655" s="21" t="s">
        <v>146</v>
      </c>
      <c r="H655" s="21" t="s">
        <v>1142</v>
      </c>
      <c r="I655" s="21">
        <v>24</v>
      </c>
      <c r="J655" s="89">
        <f t="shared" si="20"/>
        <v>3.7735849056603772E-2</v>
      </c>
      <c r="K655" s="94">
        <f>VLOOKUP(H655,'PCT data'!B:K,10,FALSE)</f>
        <v>1.0846690697493531</v>
      </c>
      <c r="L655" s="94">
        <f t="shared" si="21"/>
        <v>4.0930908292428417E-2</v>
      </c>
    </row>
    <row r="656" spans="1:12" x14ac:dyDescent="0.2">
      <c r="A656" s="21" t="s">
        <v>1127</v>
      </c>
      <c r="B656" s="21" t="s">
        <v>1320</v>
      </c>
      <c r="C656" s="21" t="s">
        <v>1321</v>
      </c>
      <c r="D656" s="21" t="s">
        <v>2941</v>
      </c>
      <c r="E656" s="21" t="s">
        <v>2942</v>
      </c>
      <c r="F656" s="21" t="s">
        <v>1570</v>
      </c>
      <c r="G656" s="21" t="s">
        <v>1571</v>
      </c>
      <c r="H656" s="21" t="s">
        <v>1142</v>
      </c>
      <c r="I656" s="21">
        <v>36</v>
      </c>
      <c r="J656" s="89">
        <f t="shared" si="20"/>
        <v>5.6603773584905662E-2</v>
      </c>
      <c r="K656" s="94">
        <f>VLOOKUP(H656,'PCT data'!B:K,10,FALSE)</f>
        <v>1.0846690697493531</v>
      </c>
      <c r="L656" s="94">
        <f t="shared" si="21"/>
        <v>6.1396362438642625E-2</v>
      </c>
    </row>
    <row r="657" spans="1:12" x14ac:dyDescent="0.2">
      <c r="A657" s="21" t="s">
        <v>1127</v>
      </c>
      <c r="B657" s="21" t="s">
        <v>1320</v>
      </c>
      <c r="C657" s="21" t="s">
        <v>1321</v>
      </c>
      <c r="D657" s="21" t="s">
        <v>2943</v>
      </c>
      <c r="E657" s="21" t="s">
        <v>2944</v>
      </c>
      <c r="F657" s="21" t="s">
        <v>153</v>
      </c>
      <c r="G657" s="21" t="s">
        <v>154</v>
      </c>
      <c r="H657" s="21" t="s">
        <v>1138</v>
      </c>
      <c r="I657" s="21">
        <v>46</v>
      </c>
      <c r="J657" s="89">
        <f t="shared" si="20"/>
        <v>7.2327044025157231E-2</v>
      </c>
      <c r="K657" s="94">
        <f>VLOOKUP(H657,'PCT data'!B:K,10,FALSE)</f>
        <v>1.0747179773663313</v>
      </c>
      <c r="L657" s="94">
        <f t="shared" si="21"/>
        <v>7.7731174463602573E-2</v>
      </c>
    </row>
    <row r="658" spans="1:12" x14ac:dyDescent="0.2">
      <c r="A658" s="21" t="s">
        <v>1127</v>
      </c>
      <c r="B658" s="21" t="s">
        <v>1320</v>
      </c>
      <c r="C658" s="21" t="s">
        <v>1321</v>
      </c>
      <c r="D658" s="21" t="s">
        <v>2945</v>
      </c>
      <c r="E658" s="21" t="s">
        <v>2946</v>
      </c>
      <c r="F658" s="21" t="s">
        <v>151</v>
      </c>
      <c r="G658" s="21" t="s">
        <v>152</v>
      </c>
      <c r="H658" s="21" t="s">
        <v>1138</v>
      </c>
      <c r="I658" s="21">
        <v>68</v>
      </c>
      <c r="J658" s="89">
        <f t="shared" si="20"/>
        <v>0.1069182389937107</v>
      </c>
      <c r="K658" s="94">
        <f>VLOOKUP(H658,'PCT data'!B:K,10,FALSE)</f>
        <v>1.0747179773663313</v>
      </c>
      <c r="L658" s="94">
        <f t="shared" si="21"/>
        <v>0.11490695355489078</v>
      </c>
    </row>
    <row r="659" spans="1:12" x14ac:dyDescent="0.2">
      <c r="A659" s="21" t="s">
        <v>1127</v>
      </c>
      <c r="B659" s="21" t="s">
        <v>1320</v>
      </c>
      <c r="C659" s="21" t="s">
        <v>1321</v>
      </c>
      <c r="D659" s="21" t="s">
        <v>2947</v>
      </c>
      <c r="E659" s="21" t="s">
        <v>2948</v>
      </c>
      <c r="F659" s="21" t="s">
        <v>1572</v>
      </c>
      <c r="G659" s="21" t="s">
        <v>1573</v>
      </c>
      <c r="H659" s="21" t="s">
        <v>1142</v>
      </c>
      <c r="I659" s="21">
        <v>18</v>
      </c>
      <c r="J659" s="89">
        <f t="shared" si="20"/>
        <v>2.8301886792452831E-2</v>
      </c>
      <c r="K659" s="94">
        <f>VLOOKUP(H659,'PCT data'!B:K,10,FALSE)</f>
        <v>1.0846690697493531</v>
      </c>
      <c r="L659" s="94">
        <f t="shared" si="21"/>
        <v>3.0698181219321313E-2</v>
      </c>
    </row>
    <row r="660" spans="1:12" x14ac:dyDescent="0.2">
      <c r="A660" s="21" t="s">
        <v>1127</v>
      </c>
      <c r="B660" s="21" t="s">
        <v>1320</v>
      </c>
      <c r="C660" s="21" t="s">
        <v>1321</v>
      </c>
      <c r="D660" s="21" t="s">
        <v>2949</v>
      </c>
      <c r="E660" s="21" t="s">
        <v>2950</v>
      </c>
      <c r="F660" s="21" t="s">
        <v>1574</v>
      </c>
      <c r="G660" s="21" t="s">
        <v>1575</v>
      </c>
      <c r="H660" s="21" t="s">
        <v>1138</v>
      </c>
      <c r="I660" s="21">
        <v>20</v>
      </c>
      <c r="J660" s="89">
        <f t="shared" si="20"/>
        <v>3.1446540880503145E-2</v>
      </c>
      <c r="K660" s="94">
        <f>VLOOKUP(H660,'PCT data'!B:K,10,FALSE)</f>
        <v>1.0747179773663313</v>
      </c>
      <c r="L660" s="94">
        <f t="shared" si="21"/>
        <v>3.3796162810261994E-2</v>
      </c>
    </row>
    <row r="661" spans="1:12" x14ac:dyDescent="0.2">
      <c r="A661" s="21" t="s">
        <v>1127</v>
      </c>
      <c r="B661" s="21" t="s">
        <v>1320</v>
      </c>
      <c r="C661" s="21" t="s">
        <v>1321</v>
      </c>
      <c r="D661" s="21" t="s">
        <v>2951</v>
      </c>
      <c r="E661" s="21" t="s">
        <v>2952</v>
      </c>
      <c r="F661" s="21" t="s">
        <v>149</v>
      </c>
      <c r="G661" s="21" t="s">
        <v>150</v>
      </c>
      <c r="H661" s="21" t="s">
        <v>1142</v>
      </c>
      <c r="I661" s="21">
        <v>40</v>
      </c>
      <c r="J661" s="89">
        <f t="shared" si="20"/>
        <v>6.2893081761006289E-2</v>
      </c>
      <c r="K661" s="94">
        <f>VLOOKUP(H661,'PCT data'!B:K,10,FALSE)</f>
        <v>1.0846690697493531</v>
      </c>
      <c r="L661" s="94">
        <f t="shared" si="21"/>
        <v>6.8218180487380695E-2</v>
      </c>
    </row>
    <row r="662" spans="1:12" x14ac:dyDescent="0.2">
      <c r="A662" s="21" t="s">
        <v>1127</v>
      </c>
      <c r="B662" s="21" t="s">
        <v>1320</v>
      </c>
      <c r="C662" s="21" t="s">
        <v>1321</v>
      </c>
      <c r="D662" s="21" t="s">
        <v>2953</v>
      </c>
      <c r="E662" s="21" t="s">
        <v>2954</v>
      </c>
      <c r="F662" s="21" t="s">
        <v>1576</v>
      </c>
      <c r="G662" s="21" t="s">
        <v>1577</v>
      </c>
      <c r="H662" s="21" t="s">
        <v>1142</v>
      </c>
      <c r="I662" s="21">
        <v>24</v>
      </c>
      <c r="J662" s="89">
        <f t="shared" si="20"/>
        <v>3.7735849056603772E-2</v>
      </c>
      <c r="K662" s="94">
        <f>VLOOKUP(H662,'PCT data'!B:K,10,FALSE)</f>
        <v>1.0846690697493531</v>
      </c>
      <c r="L662" s="94">
        <f t="shared" si="21"/>
        <v>4.0930908292428417E-2</v>
      </c>
    </row>
    <row r="663" spans="1:12" x14ac:dyDescent="0.2">
      <c r="A663" s="21" t="s">
        <v>1127</v>
      </c>
      <c r="B663" s="21" t="s">
        <v>1320</v>
      </c>
      <c r="C663" s="21" t="s">
        <v>1321</v>
      </c>
      <c r="D663" s="21" t="s">
        <v>2955</v>
      </c>
      <c r="E663" s="21" t="s">
        <v>2956</v>
      </c>
      <c r="F663" s="21" t="s">
        <v>1578</v>
      </c>
      <c r="G663" s="21" t="s">
        <v>1579</v>
      </c>
      <c r="H663" s="21" t="s">
        <v>1142</v>
      </c>
      <c r="I663" s="21">
        <v>85</v>
      </c>
      <c r="J663" s="89">
        <f t="shared" si="20"/>
        <v>0.13364779874213836</v>
      </c>
      <c r="K663" s="94">
        <f>VLOOKUP(H663,'PCT data'!B:K,10,FALSE)</f>
        <v>1.0846690697493531</v>
      </c>
      <c r="L663" s="94">
        <f t="shared" si="21"/>
        <v>0.14496363353568398</v>
      </c>
    </row>
    <row r="664" spans="1:12" x14ac:dyDescent="0.2">
      <c r="A664" s="21" t="s">
        <v>1127</v>
      </c>
      <c r="B664" s="21" t="s">
        <v>1320</v>
      </c>
      <c r="C664" s="21" t="s">
        <v>1321</v>
      </c>
      <c r="D664" s="21" t="s">
        <v>2957</v>
      </c>
      <c r="E664" s="21" t="s">
        <v>2958</v>
      </c>
      <c r="F664" s="21" t="s">
        <v>1580</v>
      </c>
      <c r="G664" s="21" t="s">
        <v>1581</v>
      </c>
      <c r="H664" s="21" t="s">
        <v>1140</v>
      </c>
      <c r="I664" s="21">
        <v>35</v>
      </c>
      <c r="J664" s="89">
        <f t="shared" si="20"/>
        <v>5.5031446540880505E-2</v>
      </c>
      <c r="K664" s="94">
        <f>VLOOKUP(H664,'PCT data'!B:K,10,FALSE)</f>
        <v>0.92545159162100765</v>
      </c>
      <c r="L664" s="94">
        <f t="shared" si="21"/>
        <v>5.0928939790464256E-2</v>
      </c>
    </row>
    <row r="665" spans="1:12" x14ac:dyDescent="0.2">
      <c r="A665" s="21" t="s">
        <v>3528</v>
      </c>
      <c r="B665" s="21" t="s">
        <v>2335</v>
      </c>
      <c r="C665" s="21" t="s">
        <v>2336</v>
      </c>
      <c r="D665" s="21" t="s">
        <v>728</v>
      </c>
      <c r="E665" s="21" t="s">
        <v>729</v>
      </c>
      <c r="F665" s="21" t="s">
        <v>1582</v>
      </c>
      <c r="G665" s="21" t="s">
        <v>970</v>
      </c>
      <c r="H665" s="21" t="s">
        <v>3536</v>
      </c>
      <c r="I665" s="21">
        <v>142</v>
      </c>
      <c r="J665" s="89">
        <f t="shared" si="20"/>
        <v>0.40804597701149425</v>
      </c>
      <c r="K665" s="94">
        <f>VLOOKUP(H665,'PCT data'!B:K,10,FALSE)</f>
        <v>0.95530486877007126</v>
      </c>
      <c r="L665" s="94">
        <f t="shared" si="21"/>
        <v>0.38980830852112103</v>
      </c>
    </row>
    <row r="666" spans="1:12" x14ac:dyDescent="0.2">
      <c r="A666" s="21" t="s">
        <v>3528</v>
      </c>
      <c r="B666" s="21" t="s">
        <v>2335</v>
      </c>
      <c r="C666" s="21" t="s">
        <v>2336</v>
      </c>
      <c r="D666" s="21" t="s">
        <v>2959</v>
      </c>
      <c r="E666" s="21" t="s">
        <v>2960</v>
      </c>
      <c r="F666" s="21" t="s">
        <v>1583</v>
      </c>
      <c r="G666" s="21" t="s">
        <v>1584</v>
      </c>
      <c r="H666" s="21" t="s">
        <v>3536</v>
      </c>
      <c r="I666" s="21">
        <v>22</v>
      </c>
      <c r="J666" s="89">
        <f t="shared" si="20"/>
        <v>6.3218390804597707E-2</v>
      </c>
      <c r="K666" s="94">
        <f>VLOOKUP(H666,'PCT data'!B:K,10,FALSE)</f>
        <v>0.95530486877007126</v>
      </c>
      <c r="L666" s="94">
        <f t="shared" si="21"/>
        <v>6.0392836531441292E-2</v>
      </c>
    </row>
    <row r="667" spans="1:12" x14ac:dyDescent="0.2">
      <c r="A667" s="21" t="s">
        <v>3528</v>
      </c>
      <c r="B667" s="21" t="s">
        <v>2335</v>
      </c>
      <c r="C667" s="21" t="s">
        <v>2336</v>
      </c>
      <c r="D667" s="21" t="s">
        <v>2961</v>
      </c>
      <c r="E667" s="21" t="s">
        <v>2962</v>
      </c>
      <c r="F667" s="21" t="s">
        <v>1585</v>
      </c>
      <c r="G667" s="21" t="s">
        <v>1586</v>
      </c>
      <c r="H667" s="21" t="s">
        <v>3536</v>
      </c>
      <c r="I667" s="21">
        <v>14</v>
      </c>
      <c r="J667" s="89">
        <f t="shared" si="20"/>
        <v>4.0229885057471264E-2</v>
      </c>
      <c r="K667" s="94">
        <f>VLOOKUP(H667,'PCT data'!B:K,10,FALSE)</f>
        <v>0.95530486877007126</v>
      </c>
      <c r="L667" s="94">
        <f t="shared" si="21"/>
        <v>3.8431805065462635E-2</v>
      </c>
    </row>
    <row r="668" spans="1:12" x14ac:dyDescent="0.2">
      <c r="A668" s="21" t="s">
        <v>3528</v>
      </c>
      <c r="B668" s="21" t="s">
        <v>2335</v>
      </c>
      <c r="C668" s="21" t="s">
        <v>2336</v>
      </c>
      <c r="D668" s="21" t="s">
        <v>2963</v>
      </c>
      <c r="E668" s="21" t="s">
        <v>2964</v>
      </c>
      <c r="F668" s="21" t="s">
        <v>1582</v>
      </c>
      <c r="G668" s="21" t="s">
        <v>970</v>
      </c>
      <c r="H668" s="21" t="s">
        <v>3536</v>
      </c>
      <c r="I668" s="21">
        <v>71</v>
      </c>
      <c r="J668" s="89">
        <f t="shared" si="20"/>
        <v>0.20402298850574713</v>
      </c>
      <c r="K668" s="94">
        <f>VLOOKUP(H668,'PCT data'!B:K,10,FALSE)</f>
        <v>0.95530486877007126</v>
      </c>
      <c r="L668" s="94">
        <f t="shared" si="21"/>
        <v>0.19490415426056051</v>
      </c>
    </row>
    <row r="669" spans="1:12" x14ac:dyDescent="0.2">
      <c r="A669" s="21" t="s">
        <v>3528</v>
      </c>
      <c r="B669" s="21" t="s">
        <v>2335</v>
      </c>
      <c r="C669" s="21" t="s">
        <v>2336</v>
      </c>
      <c r="D669" s="21" t="s">
        <v>2965</v>
      </c>
      <c r="E669" s="21" t="s">
        <v>2966</v>
      </c>
      <c r="F669" s="21" t="s">
        <v>1587</v>
      </c>
      <c r="G669" s="21" t="s">
        <v>1588</v>
      </c>
      <c r="H669" s="21" t="s">
        <v>3536</v>
      </c>
      <c r="I669" s="21">
        <v>70</v>
      </c>
      <c r="J669" s="89">
        <f t="shared" si="20"/>
        <v>0.20114942528735633</v>
      </c>
      <c r="K669" s="94">
        <f>VLOOKUP(H669,'PCT data'!B:K,10,FALSE)</f>
        <v>0.95530486877007126</v>
      </c>
      <c r="L669" s="94">
        <f t="shared" si="21"/>
        <v>0.19215902532731319</v>
      </c>
    </row>
    <row r="670" spans="1:12" x14ac:dyDescent="0.2">
      <c r="A670" s="21" t="s">
        <v>3528</v>
      </c>
      <c r="B670" s="21" t="s">
        <v>2335</v>
      </c>
      <c r="C670" s="21" t="s">
        <v>2336</v>
      </c>
      <c r="D670" s="21" t="s">
        <v>2967</v>
      </c>
      <c r="E670" s="21" t="s">
        <v>2968</v>
      </c>
      <c r="F670" s="21" t="s">
        <v>1589</v>
      </c>
      <c r="G670" s="21" t="s">
        <v>1590</v>
      </c>
      <c r="H670" s="21" t="s">
        <v>3536</v>
      </c>
      <c r="I670" s="21">
        <v>29</v>
      </c>
      <c r="J670" s="89">
        <f t="shared" si="20"/>
        <v>8.3333333333333329E-2</v>
      </c>
      <c r="K670" s="94">
        <f>VLOOKUP(H670,'PCT data'!B:K,10,FALSE)</f>
        <v>0.95530486877007126</v>
      </c>
      <c r="L670" s="94">
        <f t="shared" si="21"/>
        <v>7.9608739064172596E-2</v>
      </c>
    </row>
    <row r="671" spans="1:12" x14ac:dyDescent="0.2">
      <c r="A671" s="21" t="s">
        <v>191</v>
      </c>
      <c r="B671" s="21" t="s">
        <v>2275</v>
      </c>
      <c r="C671" s="21" t="s">
        <v>2276</v>
      </c>
      <c r="D671" s="21" t="s">
        <v>728</v>
      </c>
      <c r="E671" s="21" t="s">
        <v>729</v>
      </c>
      <c r="F671" s="21" t="s">
        <v>1591</v>
      </c>
      <c r="G671" s="21" t="s">
        <v>1592</v>
      </c>
      <c r="H671" s="21" t="s">
        <v>194</v>
      </c>
      <c r="I671" s="21">
        <v>95</v>
      </c>
      <c r="J671" s="89">
        <f t="shared" si="20"/>
        <v>0.37848605577689243</v>
      </c>
      <c r="K671" s="94">
        <f>VLOOKUP(H671,'PCT data'!B:K,10,FALSE)</f>
        <v>1.0747179773663313</v>
      </c>
      <c r="L671" s="94">
        <f t="shared" si="21"/>
        <v>0.40676576832590228</v>
      </c>
    </row>
    <row r="672" spans="1:12" x14ac:dyDescent="0.2">
      <c r="A672" s="21" t="s">
        <v>191</v>
      </c>
      <c r="B672" s="21" t="s">
        <v>2275</v>
      </c>
      <c r="C672" s="21" t="s">
        <v>2276</v>
      </c>
      <c r="D672" s="21" t="s">
        <v>2969</v>
      </c>
      <c r="E672" s="21" t="s">
        <v>2970</v>
      </c>
      <c r="F672" s="21" t="s">
        <v>1593</v>
      </c>
      <c r="G672" s="21" t="s">
        <v>1930</v>
      </c>
      <c r="H672" s="21" t="s">
        <v>3524</v>
      </c>
      <c r="I672" s="21">
        <v>156</v>
      </c>
      <c r="J672" s="89">
        <f t="shared" si="20"/>
        <v>0.62151394422310757</v>
      </c>
      <c r="K672" s="94">
        <f>VLOOKUP(H672,'PCT data'!B:K,10,FALSE)</f>
        <v>1.0349136078342451</v>
      </c>
      <c r="L672" s="94">
        <f t="shared" si="21"/>
        <v>0.64321323833522803</v>
      </c>
    </row>
    <row r="673" spans="1:12" x14ac:dyDescent="0.2">
      <c r="A673" s="21" t="s">
        <v>3496</v>
      </c>
      <c r="B673" s="21" t="s">
        <v>584</v>
      </c>
      <c r="C673" s="21" t="s">
        <v>585</v>
      </c>
      <c r="D673" s="21" t="s">
        <v>728</v>
      </c>
      <c r="E673" s="21" t="s">
        <v>729</v>
      </c>
      <c r="F673" s="21" t="s">
        <v>1594</v>
      </c>
      <c r="G673" s="21" t="s">
        <v>1595</v>
      </c>
      <c r="H673" s="21" t="s">
        <v>3512</v>
      </c>
      <c r="I673" s="21">
        <v>323</v>
      </c>
      <c r="J673" s="89">
        <f t="shared" si="20"/>
        <v>0.41198979591836737</v>
      </c>
      <c r="K673" s="94">
        <f>VLOOKUP(H673,'PCT data'!B:K,10,FALSE)</f>
        <v>1.0548157926002883</v>
      </c>
      <c r="L673" s="94">
        <f t="shared" si="21"/>
        <v>0.43457334312486373</v>
      </c>
    </row>
    <row r="674" spans="1:12" x14ac:dyDescent="0.2">
      <c r="A674" s="21" t="s">
        <v>3496</v>
      </c>
      <c r="B674" s="21" t="s">
        <v>584</v>
      </c>
      <c r="C674" s="21" t="s">
        <v>585</v>
      </c>
      <c r="D674" s="21" t="s">
        <v>2971</v>
      </c>
      <c r="E674" s="21" t="s">
        <v>2972</v>
      </c>
      <c r="F674" s="21" t="s">
        <v>1596</v>
      </c>
      <c r="G674" s="21" t="s">
        <v>1597</v>
      </c>
      <c r="H674" s="21" t="s">
        <v>3500</v>
      </c>
      <c r="I674" s="21">
        <v>71</v>
      </c>
      <c r="J674" s="89">
        <f t="shared" si="20"/>
        <v>9.0561224489795922E-2</v>
      </c>
      <c r="K674" s="94">
        <f>VLOOKUP(H674,'PCT data'!B:K,10,FALSE)</f>
        <v>1.0747179773663313</v>
      </c>
      <c r="L674" s="94">
        <f t="shared" si="21"/>
        <v>9.7327776011491743E-2</v>
      </c>
    </row>
    <row r="675" spans="1:12" x14ac:dyDescent="0.2">
      <c r="A675" s="21" t="s">
        <v>3496</v>
      </c>
      <c r="B675" s="21" t="s">
        <v>584</v>
      </c>
      <c r="C675" s="21" t="s">
        <v>585</v>
      </c>
      <c r="D675" s="21" t="s">
        <v>1936</v>
      </c>
      <c r="E675" s="21" t="s">
        <v>1937</v>
      </c>
      <c r="F675" s="21" t="s">
        <v>1598</v>
      </c>
      <c r="G675" s="21" t="s">
        <v>1597</v>
      </c>
      <c r="H675" s="21" t="s">
        <v>3500</v>
      </c>
      <c r="I675" s="21">
        <v>35</v>
      </c>
      <c r="J675" s="89">
        <f t="shared" si="20"/>
        <v>4.4642857142857144E-2</v>
      </c>
      <c r="K675" s="94">
        <f>VLOOKUP(H675,'PCT data'!B:K,10,FALSE)</f>
        <v>1.0747179773663313</v>
      </c>
      <c r="L675" s="94">
        <f t="shared" si="21"/>
        <v>4.7978481132425504E-2</v>
      </c>
    </row>
    <row r="676" spans="1:12" x14ac:dyDescent="0.2">
      <c r="A676" s="21" t="s">
        <v>3496</v>
      </c>
      <c r="B676" s="21" t="s">
        <v>584</v>
      </c>
      <c r="C676" s="21" t="s">
        <v>585</v>
      </c>
      <c r="D676" s="21" t="s">
        <v>1938</v>
      </c>
      <c r="E676" s="21" t="s">
        <v>1939</v>
      </c>
      <c r="F676" s="21" t="s">
        <v>1599</v>
      </c>
      <c r="G676" s="21" t="s">
        <v>3302</v>
      </c>
      <c r="H676" s="21" t="s">
        <v>3512</v>
      </c>
      <c r="I676" s="21">
        <v>50</v>
      </c>
      <c r="J676" s="89">
        <f t="shared" si="20"/>
        <v>6.3775510204081634E-2</v>
      </c>
      <c r="K676" s="94">
        <f>VLOOKUP(H676,'PCT data'!B:K,10,FALSE)</f>
        <v>1.0548157926002883</v>
      </c>
      <c r="L676" s="94">
        <f t="shared" si="21"/>
        <v>6.7271415344406144E-2</v>
      </c>
    </row>
    <row r="677" spans="1:12" x14ac:dyDescent="0.2">
      <c r="A677" s="21" t="s">
        <v>3496</v>
      </c>
      <c r="B677" s="21" t="s">
        <v>584</v>
      </c>
      <c r="C677" s="21" t="s">
        <v>585</v>
      </c>
      <c r="D677" s="21" t="s">
        <v>1940</v>
      </c>
      <c r="E677" s="21" t="s">
        <v>1941</v>
      </c>
      <c r="F677" s="21" t="s">
        <v>1600</v>
      </c>
      <c r="G677" s="21" t="s">
        <v>3302</v>
      </c>
      <c r="H677" s="21" t="s">
        <v>3512</v>
      </c>
      <c r="I677" s="21">
        <v>39</v>
      </c>
      <c r="J677" s="89">
        <f t="shared" si="20"/>
        <v>4.9744897959183673E-2</v>
      </c>
      <c r="K677" s="94">
        <f>VLOOKUP(H677,'PCT data'!B:K,10,FALSE)</f>
        <v>1.0548157926002883</v>
      </c>
      <c r="L677" s="94">
        <f t="shared" si="21"/>
        <v>5.247170396863679E-2</v>
      </c>
    </row>
    <row r="678" spans="1:12" x14ac:dyDescent="0.2">
      <c r="A678" s="21" t="s">
        <v>3496</v>
      </c>
      <c r="B678" s="21" t="s">
        <v>584</v>
      </c>
      <c r="C678" s="21" t="s">
        <v>585</v>
      </c>
      <c r="D678" s="21" t="s">
        <v>1942</v>
      </c>
      <c r="E678" s="21" t="s">
        <v>1943</v>
      </c>
      <c r="F678" s="21" t="s">
        <v>1594</v>
      </c>
      <c r="G678" s="21" t="s">
        <v>1595</v>
      </c>
      <c r="H678" s="21" t="s">
        <v>3512</v>
      </c>
      <c r="I678" s="21">
        <v>50</v>
      </c>
      <c r="J678" s="89">
        <f t="shared" si="20"/>
        <v>6.3775510204081634E-2</v>
      </c>
      <c r="K678" s="94">
        <f>VLOOKUP(H678,'PCT data'!B:K,10,FALSE)</f>
        <v>1.0548157926002883</v>
      </c>
      <c r="L678" s="94">
        <f t="shared" si="21"/>
        <v>6.7271415344406144E-2</v>
      </c>
    </row>
    <row r="679" spans="1:12" x14ac:dyDescent="0.2">
      <c r="A679" s="21" t="s">
        <v>3496</v>
      </c>
      <c r="B679" s="21" t="s">
        <v>584</v>
      </c>
      <c r="C679" s="21" t="s">
        <v>585</v>
      </c>
      <c r="D679" s="21" t="s">
        <v>1944</v>
      </c>
      <c r="E679" s="21" t="s">
        <v>1945</v>
      </c>
      <c r="F679" s="21" t="s">
        <v>2401</v>
      </c>
      <c r="G679" s="21" t="s">
        <v>2402</v>
      </c>
      <c r="H679" s="21" t="s">
        <v>187</v>
      </c>
      <c r="I679" s="21">
        <v>63</v>
      </c>
      <c r="J679" s="89">
        <f t="shared" si="20"/>
        <v>8.0357142857142863E-2</v>
      </c>
      <c r="K679" s="94">
        <f>VLOOKUP(H679,'PCT data'!B:K,10,FALSE)</f>
        <v>1.0448647002172666</v>
      </c>
      <c r="L679" s="94">
        <f t="shared" si="21"/>
        <v>8.396234198174464E-2</v>
      </c>
    </row>
    <row r="680" spans="1:12" x14ac:dyDescent="0.2">
      <c r="A680" s="21" t="s">
        <v>3496</v>
      </c>
      <c r="B680" s="21" t="s">
        <v>584</v>
      </c>
      <c r="C680" s="21" t="s">
        <v>585</v>
      </c>
      <c r="D680" s="21" t="s">
        <v>1946</v>
      </c>
      <c r="E680" s="21" t="s">
        <v>1947</v>
      </c>
      <c r="F680" s="21" t="s">
        <v>1601</v>
      </c>
      <c r="G680" s="21" t="s">
        <v>1602</v>
      </c>
      <c r="H680" s="21" t="s">
        <v>187</v>
      </c>
      <c r="I680" s="21">
        <v>28</v>
      </c>
      <c r="J680" s="89">
        <f t="shared" si="20"/>
        <v>3.5714285714285712E-2</v>
      </c>
      <c r="K680" s="94">
        <f>VLOOKUP(H680,'PCT data'!B:K,10,FALSE)</f>
        <v>1.0448647002172666</v>
      </c>
      <c r="L680" s="94">
        <f t="shared" si="21"/>
        <v>3.7316596436330951E-2</v>
      </c>
    </row>
    <row r="681" spans="1:12" x14ac:dyDescent="0.2">
      <c r="A681" s="21" t="s">
        <v>3496</v>
      </c>
      <c r="B681" s="21" t="s">
        <v>584</v>
      </c>
      <c r="C681" s="21" t="s">
        <v>585</v>
      </c>
      <c r="D681" s="21" t="s">
        <v>1948</v>
      </c>
      <c r="E681" s="21" t="s">
        <v>1949</v>
      </c>
      <c r="F681" s="21" t="s">
        <v>1603</v>
      </c>
      <c r="G681" s="21" t="s">
        <v>2400</v>
      </c>
      <c r="H681" s="21" t="s">
        <v>3505</v>
      </c>
      <c r="I681" s="21">
        <v>31</v>
      </c>
      <c r="J681" s="89">
        <f t="shared" si="20"/>
        <v>3.9540816326530615E-2</v>
      </c>
      <c r="K681" s="94">
        <f>VLOOKUP(H681,'PCT data'!B:K,10,FALSE)</f>
        <v>1.0747179773663313</v>
      </c>
      <c r="L681" s="94">
        <f t="shared" si="21"/>
        <v>4.2495226145862597E-2</v>
      </c>
    </row>
    <row r="682" spans="1:12" x14ac:dyDescent="0.2">
      <c r="A682" s="21" t="s">
        <v>3496</v>
      </c>
      <c r="B682" s="21" t="s">
        <v>584</v>
      </c>
      <c r="C682" s="21" t="s">
        <v>585</v>
      </c>
      <c r="D682" s="21" t="s">
        <v>1950</v>
      </c>
      <c r="E682" s="21" t="s">
        <v>1951</v>
      </c>
      <c r="F682" s="21" t="s">
        <v>1603</v>
      </c>
      <c r="G682" s="21" t="s">
        <v>2400</v>
      </c>
      <c r="H682" s="21" t="s">
        <v>3505</v>
      </c>
      <c r="I682" s="21">
        <v>33</v>
      </c>
      <c r="J682" s="89">
        <f t="shared" si="20"/>
        <v>4.2091836734693876E-2</v>
      </c>
      <c r="K682" s="94">
        <f>VLOOKUP(H682,'PCT data'!B:K,10,FALSE)</f>
        <v>1.0747179773663313</v>
      </c>
      <c r="L682" s="94">
        <f t="shared" si="21"/>
        <v>4.5236853639144044E-2</v>
      </c>
    </row>
    <row r="683" spans="1:12" x14ac:dyDescent="0.2">
      <c r="A683" s="21" t="s">
        <v>3496</v>
      </c>
      <c r="B683" s="21" t="s">
        <v>584</v>
      </c>
      <c r="C683" s="21" t="s">
        <v>585</v>
      </c>
      <c r="D683" s="21" t="s">
        <v>1952</v>
      </c>
      <c r="E683" s="21" t="s">
        <v>1953</v>
      </c>
      <c r="F683" s="21" t="s">
        <v>1604</v>
      </c>
      <c r="G683" s="21" t="s">
        <v>1605</v>
      </c>
      <c r="H683" s="21" t="s">
        <v>3512</v>
      </c>
      <c r="I683" s="21">
        <v>61</v>
      </c>
      <c r="J683" s="89">
        <f t="shared" si="20"/>
        <v>7.7806122448979595E-2</v>
      </c>
      <c r="K683" s="94">
        <f>VLOOKUP(H683,'PCT data'!B:K,10,FALSE)</f>
        <v>1.0548157926002883</v>
      </c>
      <c r="L683" s="94">
        <f t="shared" si="21"/>
        <v>8.2071126720175497E-2</v>
      </c>
    </row>
    <row r="684" spans="1:12" x14ac:dyDescent="0.2">
      <c r="A684" s="21" t="s">
        <v>708</v>
      </c>
      <c r="B684" s="21" t="s">
        <v>592</v>
      </c>
      <c r="C684" s="21" t="s">
        <v>593</v>
      </c>
      <c r="D684" s="21" t="s">
        <v>728</v>
      </c>
      <c r="E684" s="21" t="s">
        <v>729</v>
      </c>
      <c r="F684" s="21" t="s">
        <v>1606</v>
      </c>
      <c r="G684" s="21" t="s">
        <v>1607</v>
      </c>
      <c r="H684" s="21" t="s">
        <v>2974</v>
      </c>
      <c r="I684" s="21">
        <v>278</v>
      </c>
      <c r="J684" s="89">
        <f t="shared" si="20"/>
        <v>0.29732620320855613</v>
      </c>
      <c r="K684" s="94">
        <f>VLOOKUP(H684,'PCT data'!B:K,10,FALSE)</f>
        <v>0.94535377638704965</v>
      </c>
      <c r="L684" s="94">
        <f t="shared" si="21"/>
        <v>0.28107844902203183</v>
      </c>
    </row>
    <row r="685" spans="1:12" x14ac:dyDescent="0.2">
      <c r="A685" s="21" t="s">
        <v>708</v>
      </c>
      <c r="B685" s="21" t="s">
        <v>592</v>
      </c>
      <c r="C685" s="21" t="s">
        <v>593</v>
      </c>
      <c r="D685" s="21" t="s">
        <v>1954</v>
      </c>
      <c r="E685" s="21" t="s">
        <v>786</v>
      </c>
      <c r="F685" s="21" t="s">
        <v>1608</v>
      </c>
      <c r="G685" s="21" t="s">
        <v>1609</v>
      </c>
      <c r="H685" s="21" t="s">
        <v>3579</v>
      </c>
      <c r="I685" s="21">
        <v>40</v>
      </c>
      <c r="J685" s="89">
        <f t="shared" si="20"/>
        <v>4.2780748663101602E-2</v>
      </c>
      <c r="K685" s="94">
        <f>VLOOKUP(H685,'PCT data'!B:K,10,FALSE)</f>
        <v>0.96525596115309287</v>
      </c>
      <c r="L685" s="94">
        <f t="shared" si="21"/>
        <v>4.1294372669651032E-2</v>
      </c>
    </row>
    <row r="686" spans="1:12" x14ac:dyDescent="0.2">
      <c r="A686" s="21" t="s">
        <v>708</v>
      </c>
      <c r="B686" s="21" t="s">
        <v>592</v>
      </c>
      <c r="C686" s="21" t="s">
        <v>593</v>
      </c>
      <c r="D686" s="21" t="s">
        <v>1955</v>
      </c>
      <c r="E686" s="21" t="s">
        <v>1956</v>
      </c>
      <c r="F686" s="21" t="s">
        <v>2434</v>
      </c>
      <c r="G686" s="21" t="s">
        <v>2435</v>
      </c>
      <c r="H686" s="21" t="s">
        <v>3579</v>
      </c>
      <c r="I686" s="21">
        <v>35</v>
      </c>
      <c r="J686" s="89">
        <f t="shared" si="20"/>
        <v>3.7433155080213901E-2</v>
      </c>
      <c r="K686" s="94">
        <f>VLOOKUP(H686,'PCT data'!B:K,10,FALSE)</f>
        <v>0.96525596115309287</v>
      </c>
      <c r="L686" s="94">
        <f t="shared" si="21"/>
        <v>3.6132576085944647E-2</v>
      </c>
    </row>
    <row r="687" spans="1:12" x14ac:dyDescent="0.2">
      <c r="A687" s="21" t="s">
        <v>708</v>
      </c>
      <c r="B687" s="21" t="s">
        <v>592</v>
      </c>
      <c r="C687" s="21" t="s">
        <v>593</v>
      </c>
      <c r="D687" s="21" t="s">
        <v>1957</v>
      </c>
      <c r="E687" s="21" t="s">
        <v>1958</v>
      </c>
      <c r="F687" s="21" t="s">
        <v>1610</v>
      </c>
      <c r="G687" s="21" t="s">
        <v>2439</v>
      </c>
      <c r="H687" s="21" t="s">
        <v>3579</v>
      </c>
      <c r="I687" s="21">
        <v>46</v>
      </c>
      <c r="J687" s="89">
        <f t="shared" si="20"/>
        <v>4.9197860962566842E-2</v>
      </c>
      <c r="K687" s="94">
        <f>VLOOKUP(H687,'PCT data'!B:K,10,FALSE)</f>
        <v>0.96525596115309287</v>
      </c>
      <c r="L687" s="94">
        <f t="shared" si="21"/>
        <v>4.7488528570098686E-2</v>
      </c>
    </row>
    <row r="688" spans="1:12" x14ac:dyDescent="0.2">
      <c r="A688" s="21" t="s">
        <v>708</v>
      </c>
      <c r="B688" s="21" t="s">
        <v>592</v>
      </c>
      <c r="C688" s="21" t="s">
        <v>593</v>
      </c>
      <c r="D688" s="21" t="s">
        <v>1959</v>
      </c>
      <c r="E688" s="21" t="s">
        <v>1960</v>
      </c>
      <c r="F688" s="21" t="s">
        <v>1611</v>
      </c>
      <c r="G688" s="21" t="s">
        <v>2443</v>
      </c>
      <c r="H688" s="21" t="s">
        <v>3579</v>
      </c>
      <c r="I688" s="21">
        <v>53</v>
      </c>
      <c r="J688" s="89">
        <f t="shared" si="20"/>
        <v>5.6684491978609627E-2</v>
      </c>
      <c r="K688" s="94">
        <f>VLOOKUP(H688,'PCT data'!B:K,10,FALSE)</f>
        <v>0.96525596115309287</v>
      </c>
      <c r="L688" s="94">
        <f t="shared" si="21"/>
        <v>5.4715043787287622E-2</v>
      </c>
    </row>
    <row r="689" spans="1:12" x14ac:dyDescent="0.2">
      <c r="A689" s="21" t="s">
        <v>708</v>
      </c>
      <c r="B689" s="21" t="s">
        <v>592</v>
      </c>
      <c r="C689" s="21" t="s">
        <v>593</v>
      </c>
      <c r="D689" s="21" t="s">
        <v>1961</v>
      </c>
      <c r="E689" s="21" t="s">
        <v>1962</v>
      </c>
      <c r="F689" s="21" t="s">
        <v>1611</v>
      </c>
      <c r="G689" s="21" t="s">
        <v>2443</v>
      </c>
      <c r="H689" s="21" t="s">
        <v>3579</v>
      </c>
      <c r="I689" s="21">
        <v>29</v>
      </c>
      <c r="J689" s="89">
        <f t="shared" si="20"/>
        <v>3.1016042780748664E-2</v>
      </c>
      <c r="K689" s="94">
        <f>VLOOKUP(H689,'PCT data'!B:K,10,FALSE)</f>
        <v>0.96525596115309287</v>
      </c>
      <c r="L689" s="94">
        <f t="shared" si="21"/>
        <v>2.9938420185497E-2</v>
      </c>
    </row>
    <row r="690" spans="1:12" x14ac:dyDescent="0.2">
      <c r="A690" s="21" t="s">
        <v>708</v>
      </c>
      <c r="B690" s="21" t="s">
        <v>592</v>
      </c>
      <c r="C690" s="21" t="s">
        <v>593</v>
      </c>
      <c r="D690" s="21" t="s">
        <v>1963</v>
      </c>
      <c r="E690" s="21" t="s">
        <v>1964</v>
      </c>
      <c r="F690" s="21" t="s">
        <v>1612</v>
      </c>
      <c r="G690" s="21" t="s">
        <v>26</v>
      </c>
      <c r="H690" s="21" t="s">
        <v>644</v>
      </c>
      <c r="I690" s="21">
        <v>237</v>
      </c>
      <c r="J690" s="89">
        <f t="shared" si="20"/>
        <v>0.25347593582887701</v>
      </c>
      <c r="K690" s="94">
        <f>VLOOKUP(H690,'PCT data'!B:K,10,FALSE)</f>
        <v>1.0050603306851802</v>
      </c>
      <c r="L690" s="94">
        <f t="shared" si="21"/>
        <v>0.25475860788490662</v>
      </c>
    </row>
    <row r="691" spans="1:12" x14ac:dyDescent="0.2">
      <c r="A691" s="21" t="s">
        <v>708</v>
      </c>
      <c r="B691" s="21" t="s">
        <v>592</v>
      </c>
      <c r="C691" s="21" t="s">
        <v>593</v>
      </c>
      <c r="D691" s="21" t="s">
        <v>1965</v>
      </c>
      <c r="E691" s="21" t="s">
        <v>1966</v>
      </c>
      <c r="F691" s="21" t="s">
        <v>1613</v>
      </c>
      <c r="G691" s="21" t="s">
        <v>1607</v>
      </c>
      <c r="H691" s="21" t="s">
        <v>2974</v>
      </c>
      <c r="I691" s="21">
        <v>33</v>
      </c>
      <c r="J691" s="89">
        <f t="shared" si="20"/>
        <v>3.5294117647058823E-2</v>
      </c>
      <c r="K691" s="94">
        <f>VLOOKUP(H691,'PCT data'!B:K,10,FALSE)</f>
        <v>0.94535377638704965</v>
      </c>
      <c r="L691" s="94">
        <f t="shared" si="21"/>
        <v>3.3365427401895867E-2</v>
      </c>
    </row>
    <row r="692" spans="1:12" x14ac:dyDescent="0.2">
      <c r="A692" s="21" t="s">
        <v>708</v>
      </c>
      <c r="B692" s="21" t="s">
        <v>592</v>
      </c>
      <c r="C692" s="21" t="s">
        <v>593</v>
      </c>
      <c r="D692" s="21" t="s">
        <v>1967</v>
      </c>
      <c r="E692" s="21" t="s">
        <v>1968</v>
      </c>
      <c r="F692" s="21" t="s">
        <v>1614</v>
      </c>
      <c r="G692" s="21" t="s">
        <v>1615</v>
      </c>
      <c r="H692" s="21" t="s">
        <v>644</v>
      </c>
      <c r="I692" s="21">
        <v>22</v>
      </c>
      <c r="J692" s="89">
        <f t="shared" si="20"/>
        <v>2.3529411764705882E-2</v>
      </c>
      <c r="K692" s="94">
        <f>VLOOKUP(H692,'PCT data'!B:K,10,FALSE)</f>
        <v>1.0050603306851802</v>
      </c>
      <c r="L692" s="94">
        <f t="shared" si="21"/>
        <v>2.3648478369063062E-2</v>
      </c>
    </row>
    <row r="693" spans="1:12" x14ac:dyDescent="0.2">
      <c r="A693" s="21" t="s">
        <v>708</v>
      </c>
      <c r="B693" s="21" t="s">
        <v>592</v>
      </c>
      <c r="C693" s="21" t="s">
        <v>593</v>
      </c>
      <c r="D693" s="21" t="s">
        <v>1969</v>
      </c>
      <c r="E693" s="21" t="s">
        <v>1970</v>
      </c>
      <c r="F693" s="21" t="s">
        <v>1616</v>
      </c>
      <c r="G693" s="21" t="s">
        <v>872</v>
      </c>
      <c r="H693" s="21" t="s">
        <v>3046</v>
      </c>
      <c r="I693" s="21">
        <v>48</v>
      </c>
      <c r="J693" s="89">
        <f t="shared" si="20"/>
        <v>5.1336898395721926E-2</v>
      </c>
      <c r="K693" s="94">
        <f>VLOOKUP(H693,'PCT data'!B:K,10,FALSE)</f>
        <v>0.97520705353611448</v>
      </c>
      <c r="L693" s="94">
        <f t="shared" si="21"/>
        <v>5.0064105422174862E-2</v>
      </c>
    </row>
    <row r="694" spans="1:12" x14ac:dyDescent="0.2">
      <c r="A694" s="21" t="s">
        <v>708</v>
      </c>
      <c r="B694" s="21" t="s">
        <v>592</v>
      </c>
      <c r="C694" s="21" t="s">
        <v>593</v>
      </c>
      <c r="D694" s="21" t="s">
        <v>1971</v>
      </c>
      <c r="E694" s="21" t="s">
        <v>2575</v>
      </c>
      <c r="F694" s="21" t="s">
        <v>1617</v>
      </c>
      <c r="G694" s="21" t="s">
        <v>1618</v>
      </c>
      <c r="H694" s="21" t="s">
        <v>712</v>
      </c>
      <c r="I694" s="21">
        <v>114</v>
      </c>
      <c r="J694" s="89">
        <f t="shared" si="20"/>
        <v>0.12192513368983957</v>
      </c>
      <c r="K694" s="94">
        <f>VLOOKUP(H694,'PCT data'!B:K,10,FALSE)</f>
        <v>1.0349136078342451</v>
      </c>
      <c r="L694" s="94">
        <f t="shared" si="21"/>
        <v>0.12618197999262454</v>
      </c>
    </row>
    <row r="695" spans="1:12" x14ac:dyDescent="0.2">
      <c r="A695" s="21" t="s">
        <v>2975</v>
      </c>
      <c r="B695" s="21" t="s">
        <v>2318</v>
      </c>
      <c r="C695" s="21" t="s">
        <v>2319</v>
      </c>
      <c r="D695" s="21" t="s">
        <v>728</v>
      </c>
      <c r="E695" s="21" t="s">
        <v>729</v>
      </c>
      <c r="F695" s="21" t="s">
        <v>1619</v>
      </c>
      <c r="G695" s="21" t="s">
        <v>1022</v>
      </c>
      <c r="H695" s="21" t="s">
        <v>2988</v>
      </c>
      <c r="I695" s="21">
        <v>121</v>
      </c>
      <c r="J695" s="89">
        <f t="shared" si="20"/>
        <v>0.23314065510597304</v>
      </c>
      <c r="K695" s="94">
        <f>VLOOKUP(H695,'PCT data'!B:K,10,FALSE)</f>
        <v>0.92545159162100765</v>
      </c>
      <c r="L695" s="94">
        <f t="shared" si="21"/>
        <v>0.21576039033938715</v>
      </c>
    </row>
    <row r="696" spans="1:12" x14ac:dyDescent="0.2">
      <c r="A696" s="21" t="s">
        <v>2975</v>
      </c>
      <c r="B696" s="21" t="s">
        <v>2318</v>
      </c>
      <c r="C696" s="21" t="s">
        <v>2319</v>
      </c>
      <c r="D696" s="21" t="s">
        <v>1972</v>
      </c>
      <c r="E696" s="21" t="s">
        <v>1828</v>
      </c>
      <c r="F696" s="21" t="s">
        <v>1082</v>
      </c>
      <c r="G696" s="21" t="s">
        <v>1083</v>
      </c>
      <c r="H696" s="21" t="s">
        <v>2996</v>
      </c>
      <c r="I696" s="21">
        <v>80</v>
      </c>
      <c r="J696" s="89">
        <f t="shared" si="20"/>
        <v>0.15414258188824662</v>
      </c>
      <c r="K696" s="94">
        <f>VLOOKUP(H696,'PCT data'!B:K,10,FALSE)</f>
        <v>0.90554940685496443</v>
      </c>
      <c r="L696" s="94">
        <f t="shared" si="21"/>
        <v>0.13958372359999452</v>
      </c>
    </row>
    <row r="697" spans="1:12" x14ac:dyDescent="0.2">
      <c r="A697" s="21" t="s">
        <v>2975</v>
      </c>
      <c r="B697" s="21" t="s">
        <v>2318</v>
      </c>
      <c r="C697" s="21" t="s">
        <v>2319</v>
      </c>
      <c r="D697" s="21" t="s">
        <v>1973</v>
      </c>
      <c r="E697" s="21" t="s">
        <v>1811</v>
      </c>
      <c r="F697" s="21" t="s">
        <v>1068</v>
      </c>
      <c r="G697" s="21" t="s">
        <v>1069</v>
      </c>
      <c r="H697" s="21" t="s">
        <v>2991</v>
      </c>
      <c r="I697" s="21">
        <v>104</v>
      </c>
      <c r="J697" s="89">
        <f t="shared" si="20"/>
        <v>0.20038535645472061</v>
      </c>
      <c r="K697" s="94">
        <f>VLOOKUP(H697,'PCT data'!B:K,10,FALSE)</f>
        <v>0.92545159162100765</v>
      </c>
      <c r="L697" s="94">
        <f t="shared" si="21"/>
        <v>0.18544694706856416</v>
      </c>
    </row>
    <row r="698" spans="1:12" x14ac:dyDescent="0.2">
      <c r="A698" s="21" t="s">
        <v>2975</v>
      </c>
      <c r="B698" s="21" t="s">
        <v>2318</v>
      </c>
      <c r="C698" s="21" t="s">
        <v>2319</v>
      </c>
      <c r="D698" s="21" t="s">
        <v>1974</v>
      </c>
      <c r="E698" s="21" t="s">
        <v>1975</v>
      </c>
      <c r="F698" s="21" t="s">
        <v>1620</v>
      </c>
      <c r="G698" s="21" t="s">
        <v>1621</v>
      </c>
      <c r="H698" s="21" t="s">
        <v>2991</v>
      </c>
      <c r="I698" s="21">
        <v>18</v>
      </c>
      <c r="J698" s="89">
        <f t="shared" si="20"/>
        <v>3.4682080924855488E-2</v>
      </c>
      <c r="K698" s="94">
        <f>VLOOKUP(H698,'PCT data'!B:K,10,FALSE)</f>
        <v>0.92545159162100765</v>
      </c>
      <c r="L698" s="94">
        <f t="shared" si="21"/>
        <v>3.2096586992636102E-2</v>
      </c>
    </row>
    <row r="699" spans="1:12" x14ac:dyDescent="0.2">
      <c r="A699" s="21" t="s">
        <v>2975</v>
      </c>
      <c r="B699" s="21" t="s">
        <v>2318</v>
      </c>
      <c r="C699" s="21" t="s">
        <v>2319</v>
      </c>
      <c r="D699" s="21" t="s">
        <v>1976</v>
      </c>
      <c r="E699" s="21" t="s">
        <v>1977</v>
      </c>
      <c r="F699" s="21" t="s">
        <v>1619</v>
      </c>
      <c r="G699" s="21" t="s">
        <v>1022</v>
      </c>
      <c r="H699" s="21" t="s">
        <v>2988</v>
      </c>
      <c r="I699" s="21">
        <v>96</v>
      </c>
      <c r="J699" s="89">
        <f t="shared" si="20"/>
        <v>0.18497109826589594</v>
      </c>
      <c r="K699" s="94">
        <f>VLOOKUP(H699,'PCT data'!B:K,10,FALSE)</f>
        <v>0.92545159162100765</v>
      </c>
      <c r="L699" s="94">
        <f t="shared" si="21"/>
        <v>0.17118179729405922</v>
      </c>
    </row>
    <row r="700" spans="1:12" x14ac:dyDescent="0.2">
      <c r="A700" s="21" t="s">
        <v>2975</v>
      </c>
      <c r="B700" s="21" t="s">
        <v>2318</v>
      </c>
      <c r="C700" s="21" t="s">
        <v>2319</v>
      </c>
      <c r="D700" s="21" t="s">
        <v>1978</v>
      </c>
      <c r="E700" s="21" t="s">
        <v>1979</v>
      </c>
      <c r="F700" s="21" t="s">
        <v>1019</v>
      </c>
      <c r="G700" s="21" t="s">
        <v>1020</v>
      </c>
      <c r="H700" s="21" t="s">
        <v>2996</v>
      </c>
      <c r="I700" s="21">
        <v>85</v>
      </c>
      <c r="J700" s="89">
        <f t="shared" si="20"/>
        <v>0.16377649325626203</v>
      </c>
      <c r="K700" s="94">
        <f>VLOOKUP(H700,'PCT data'!B:K,10,FALSE)</f>
        <v>0.90554940685496443</v>
      </c>
      <c r="L700" s="94">
        <f t="shared" si="21"/>
        <v>0.14830770632499418</v>
      </c>
    </row>
    <row r="701" spans="1:12" x14ac:dyDescent="0.2">
      <c r="A701" s="21" t="s">
        <v>2975</v>
      </c>
      <c r="B701" s="21" t="s">
        <v>2318</v>
      </c>
      <c r="C701" s="21" t="s">
        <v>2319</v>
      </c>
      <c r="D701" s="21" t="s">
        <v>1980</v>
      </c>
      <c r="E701" s="21" t="s">
        <v>1981</v>
      </c>
      <c r="F701" s="21" t="s">
        <v>1622</v>
      </c>
      <c r="G701" s="21" t="s">
        <v>1623</v>
      </c>
      <c r="H701" s="21" t="s">
        <v>2996</v>
      </c>
      <c r="I701" s="21">
        <v>15</v>
      </c>
      <c r="J701" s="89">
        <f t="shared" si="20"/>
        <v>2.8901734104046242E-2</v>
      </c>
      <c r="K701" s="94">
        <f>VLOOKUP(H701,'PCT data'!B:K,10,FALSE)</f>
        <v>0.90554940685496443</v>
      </c>
      <c r="L701" s="94">
        <f t="shared" si="21"/>
        <v>2.6171948174998971E-2</v>
      </c>
    </row>
    <row r="702" spans="1:12" x14ac:dyDescent="0.2">
      <c r="A702" s="21" t="s">
        <v>3034</v>
      </c>
      <c r="B702" s="21" t="s">
        <v>3708</v>
      </c>
      <c r="C702" s="21" t="s">
        <v>3709</v>
      </c>
      <c r="D702" s="21" t="s">
        <v>728</v>
      </c>
      <c r="E702" s="21" t="s">
        <v>729</v>
      </c>
      <c r="F702" s="21" t="s">
        <v>3275</v>
      </c>
      <c r="G702" s="21" t="s">
        <v>3276</v>
      </c>
      <c r="H702" s="21" t="s">
        <v>3044</v>
      </c>
      <c r="I702" s="21">
        <v>121</v>
      </c>
      <c r="J702" s="89">
        <f t="shared" si="20"/>
        <v>0.34472934472934474</v>
      </c>
      <c r="K702" s="94">
        <f>VLOOKUP(H702,'PCT data'!B:K,10,FALSE)</f>
        <v>1.0249625154512234</v>
      </c>
      <c r="L702" s="94">
        <f t="shared" si="21"/>
        <v>0.35333465632364114</v>
      </c>
    </row>
    <row r="703" spans="1:12" x14ac:dyDescent="0.2">
      <c r="A703" s="21" t="s">
        <v>3034</v>
      </c>
      <c r="B703" s="21" t="s">
        <v>3708</v>
      </c>
      <c r="C703" s="21" t="s">
        <v>3709</v>
      </c>
      <c r="D703" s="21" t="s">
        <v>1982</v>
      </c>
      <c r="E703" s="21" t="s">
        <v>1983</v>
      </c>
      <c r="F703" s="21" t="s">
        <v>1624</v>
      </c>
      <c r="G703" s="21" t="s">
        <v>1625</v>
      </c>
      <c r="H703" s="21" t="s">
        <v>3066</v>
      </c>
      <c r="I703" s="21">
        <v>52</v>
      </c>
      <c r="J703" s="89">
        <f t="shared" si="20"/>
        <v>0.14814814814814814</v>
      </c>
      <c r="K703" s="94">
        <f>VLOOKUP(H703,'PCT data'!B:K,10,FALSE)</f>
        <v>0.91550049923798604</v>
      </c>
      <c r="L703" s="94">
        <f t="shared" si="21"/>
        <v>0.13562970359081275</v>
      </c>
    </row>
    <row r="704" spans="1:12" x14ac:dyDescent="0.2">
      <c r="A704" s="21" t="s">
        <v>3034</v>
      </c>
      <c r="B704" s="21" t="s">
        <v>3708</v>
      </c>
      <c r="C704" s="21" t="s">
        <v>3709</v>
      </c>
      <c r="D704" s="21" t="s">
        <v>1984</v>
      </c>
      <c r="E704" s="21" t="s">
        <v>1985</v>
      </c>
      <c r="F704" s="21" t="s">
        <v>3275</v>
      </c>
      <c r="G704" s="21" t="s">
        <v>3276</v>
      </c>
      <c r="H704" s="21" t="s">
        <v>3044</v>
      </c>
      <c r="I704" s="21">
        <v>117</v>
      </c>
      <c r="J704" s="89">
        <f t="shared" si="20"/>
        <v>0.33333333333333331</v>
      </c>
      <c r="K704" s="94">
        <f>VLOOKUP(H704,'PCT data'!B:K,10,FALSE)</f>
        <v>1.0249625154512234</v>
      </c>
      <c r="L704" s="94">
        <f t="shared" si="21"/>
        <v>0.34165417181707447</v>
      </c>
    </row>
    <row r="705" spans="1:12" x14ac:dyDescent="0.2">
      <c r="A705" s="21" t="s">
        <v>3034</v>
      </c>
      <c r="B705" s="21" t="s">
        <v>3708</v>
      </c>
      <c r="C705" s="21" t="s">
        <v>3709</v>
      </c>
      <c r="D705" s="21" t="s">
        <v>1986</v>
      </c>
      <c r="E705" s="21" t="s">
        <v>1987</v>
      </c>
      <c r="F705" s="21" t="s">
        <v>3275</v>
      </c>
      <c r="G705" s="21" t="s">
        <v>3276</v>
      </c>
      <c r="H705" s="21" t="s">
        <v>3044</v>
      </c>
      <c r="I705" s="21">
        <v>33</v>
      </c>
      <c r="J705" s="89">
        <f t="shared" si="20"/>
        <v>9.4017094017094016E-2</v>
      </c>
      <c r="K705" s="94">
        <f>VLOOKUP(H705,'PCT data'!B:K,10,FALSE)</f>
        <v>1.0249625154512234</v>
      </c>
      <c r="L705" s="94">
        <f t="shared" si="21"/>
        <v>9.6363997179174848E-2</v>
      </c>
    </row>
    <row r="706" spans="1:12" x14ac:dyDescent="0.2">
      <c r="A706" s="21" t="s">
        <v>3034</v>
      </c>
      <c r="B706" s="21" t="s">
        <v>3708</v>
      </c>
      <c r="C706" s="21" t="s">
        <v>3709</v>
      </c>
      <c r="D706" s="21" t="s">
        <v>1988</v>
      </c>
      <c r="E706" s="21" t="s">
        <v>1989</v>
      </c>
      <c r="F706" s="21" t="s">
        <v>1626</v>
      </c>
      <c r="G706" s="21" t="s">
        <v>1627</v>
      </c>
      <c r="H706" s="21" t="s">
        <v>3632</v>
      </c>
      <c r="I706" s="21">
        <v>28</v>
      </c>
      <c r="J706" s="89">
        <f t="shared" si="20"/>
        <v>7.9772079772079771E-2</v>
      </c>
      <c r="K706" s="94">
        <f>VLOOKUP(H706,'PCT data'!B:K,10,FALSE)</f>
        <v>0.93540268400402815</v>
      </c>
      <c r="L706" s="94">
        <f t="shared" si="21"/>
        <v>7.4619017527386866E-2</v>
      </c>
    </row>
    <row r="707" spans="1:12" x14ac:dyDescent="0.2">
      <c r="A707" s="21" t="s">
        <v>3034</v>
      </c>
      <c r="B707" s="21" t="s">
        <v>564</v>
      </c>
      <c r="C707" s="21" t="s">
        <v>1990</v>
      </c>
      <c r="D707" s="21" t="s">
        <v>728</v>
      </c>
      <c r="E707" s="21" t="s">
        <v>729</v>
      </c>
      <c r="F707" s="21" t="s">
        <v>1628</v>
      </c>
      <c r="G707" s="21" t="s">
        <v>1629</v>
      </c>
      <c r="H707" s="21" t="s">
        <v>3055</v>
      </c>
      <c r="I707" s="21">
        <v>88</v>
      </c>
      <c r="J707" s="89">
        <f t="shared" ref="J707:J755" si="22">I707/SUMIF(B:B,B707,I:I)</f>
        <v>0.1981981981981982</v>
      </c>
      <c r="K707" s="94">
        <f>VLOOKUP(H707,'PCT data'!B:K,10,FALSE)</f>
        <v>0.94535377638704965</v>
      </c>
      <c r="L707" s="94">
        <f t="shared" ref="L707:L755" si="23">K707*J707</f>
        <v>0.18736741513977562</v>
      </c>
    </row>
    <row r="708" spans="1:12" x14ac:dyDescent="0.2">
      <c r="A708" s="21" t="s">
        <v>3034</v>
      </c>
      <c r="B708" s="21" t="s">
        <v>564</v>
      </c>
      <c r="C708" s="21" t="s">
        <v>1990</v>
      </c>
      <c r="D708" s="21" t="s">
        <v>1991</v>
      </c>
      <c r="E708" s="21" t="s">
        <v>1992</v>
      </c>
      <c r="F708" s="21" t="s">
        <v>1628</v>
      </c>
      <c r="G708" s="21" t="s">
        <v>1629</v>
      </c>
      <c r="H708" s="21" t="s">
        <v>3055</v>
      </c>
      <c r="I708" s="21">
        <v>96</v>
      </c>
      <c r="J708" s="89">
        <f t="shared" si="22"/>
        <v>0.21621621621621623</v>
      </c>
      <c r="K708" s="94">
        <f>VLOOKUP(H708,'PCT data'!B:K,10,FALSE)</f>
        <v>0.94535377638704965</v>
      </c>
      <c r="L708" s="94">
        <f t="shared" si="23"/>
        <v>0.20440081651611886</v>
      </c>
    </row>
    <row r="709" spans="1:12" x14ac:dyDescent="0.2">
      <c r="A709" s="21" t="s">
        <v>3034</v>
      </c>
      <c r="B709" s="21" t="s">
        <v>564</v>
      </c>
      <c r="C709" s="21" t="s">
        <v>1990</v>
      </c>
      <c r="D709" s="21" t="s">
        <v>1993</v>
      </c>
      <c r="E709" s="21" t="s">
        <v>1994</v>
      </c>
      <c r="F709" s="21" t="s">
        <v>1628</v>
      </c>
      <c r="G709" s="21" t="s">
        <v>1629</v>
      </c>
      <c r="H709" s="21" t="s">
        <v>3055</v>
      </c>
      <c r="I709" s="21">
        <v>97</v>
      </c>
      <c r="J709" s="89">
        <f t="shared" si="22"/>
        <v>0.21846846846846846</v>
      </c>
      <c r="K709" s="94">
        <f>VLOOKUP(H709,'PCT data'!B:K,10,FALSE)</f>
        <v>0.94535377638704965</v>
      </c>
      <c r="L709" s="94">
        <f t="shared" si="23"/>
        <v>0.20652999168816175</v>
      </c>
    </row>
    <row r="710" spans="1:12" x14ac:dyDescent="0.2">
      <c r="A710" s="21" t="s">
        <v>3034</v>
      </c>
      <c r="B710" s="21" t="s">
        <v>564</v>
      </c>
      <c r="C710" s="21" t="s">
        <v>1990</v>
      </c>
      <c r="D710" s="21" t="s">
        <v>1995</v>
      </c>
      <c r="E710" s="21" t="s">
        <v>1996</v>
      </c>
      <c r="F710" s="21" t="s">
        <v>1630</v>
      </c>
      <c r="G710" s="21" t="s">
        <v>1631</v>
      </c>
      <c r="H710" s="21" t="s">
        <v>3055</v>
      </c>
      <c r="I710" s="21">
        <v>13</v>
      </c>
      <c r="J710" s="89">
        <f t="shared" si="22"/>
        <v>2.9279279279279279E-2</v>
      </c>
      <c r="K710" s="94">
        <f>VLOOKUP(H710,'PCT data'!B:K,10,FALSE)</f>
        <v>0.94535377638704965</v>
      </c>
      <c r="L710" s="94">
        <f t="shared" si="23"/>
        <v>2.7679277236557758E-2</v>
      </c>
    </row>
    <row r="711" spans="1:12" x14ac:dyDescent="0.2">
      <c r="A711" s="21" t="s">
        <v>3034</v>
      </c>
      <c r="B711" s="21" t="s">
        <v>564</v>
      </c>
      <c r="C711" s="21" t="s">
        <v>1990</v>
      </c>
      <c r="D711" s="21" t="s">
        <v>1997</v>
      </c>
      <c r="E711" s="21" t="s">
        <v>1998</v>
      </c>
      <c r="F711" s="21" t="s">
        <v>168</v>
      </c>
      <c r="G711" s="21" t="s">
        <v>169</v>
      </c>
      <c r="H711" s="21" t="s">
        <v>3624</v>
      </c>
      <c r="I711" s="21">
        <v>40</v>
      </c>
      <c r="J711" s="89">
        <f t="shared" si="22"/>
        <v>9.0090090090090086E-2</v>
      </c>
      <c r="K711" s="94">
        <f>VLOOKUP(H711,'PCT data'!B:K,10,FALSE)</f>
        <v>0.91550049923798604</v>
      </c>
      <c r="L711" s="94">
        <f t="shared" si="23"/>
        <v>8.2477522453872618E-2</v>
      </c>
    </row>
    <row r="712" spans="1:12" x14ac:dyDescent="0.2">
      <c r="A712" s="21" t="s">
        <v>3034</v>
      </c>
      <c r="B712" s="21" t="s">
        <v>564</v>
      </c>
      <c r="C712" s="21" t="s">
        <v>1990</v>
      </c>
      <c r="D712" s="21" t="s">
        <v>1999</v>
      </c>
      <c r="E712" s="21" t="s">
        <v>2000</v>
      </c>
      <c r="F712" s="21" t="s">
        <v>2403</v>
      </c>
      <c r="G712" s="21" t="s">
        <v>2404</v>
      </c>
      <c r="H712" s="21" t="s">
        <v>3042</v>
      </c>
      <c r="I712" s="21">
        <v>43</v>
      </c>
      <c r="J712" s="89">
        <f t="shared" si="22"/>
        <v>9.6846846846846843E-2</v>
      </c>
      <c r="K712" s="94">
        <f>VLOOKUP(H712,'PCT data'!B:K,10,FALSE)</f>
        <v>0.96525596115309287</v>
      </c>
      <c r="L712" s="94">
        <f t="shared" si="23"/>
        <v>9.3481996237799528E-2</v>
      </c>
    </row>
    <row r="713" spans="1:12" x14ac:dyDescent="0.2">
      <c r="A713" s="21" t="s">
        <v>3034</v>
      </c>
      <c r="B713" s="21" t="s">
        <v>564</v>
      </c>
      <c r="C713" s="21" t="s">
        <v>1990</v>
      </c>
      <c r="D713" s="21" t="s">
        <v>2001</v>
      </c>
      <c r="E713" s="21" t="s">
        <v>2002</v>
      </c>
      <c r="F713" s="21" t="s">
        <v>1632</v>
      </c>
      <c r="G713" s="21" t="s">
        <v>1633</v>
      </c>
      <c r="H713" s="21" t="s">
        <v>3042</v>
      </c>
      <c r="I713" s="21">
        <v>67</v>
      </c>
      <c r="J713" s="89">
        <f t="shared" si="22"/>
        <v>0.15090090090090091</v>
      </c>
      <c r="K713" s="94">
        <f>VLOOKUP(H713,'PCT data'!B:K,10,FALSE)</f>
        <v>0.96525596115309287</v>
      </c>
      <c r="L713" s="94">
        <f t="shared" si="23"/>
        <v>0.14565799413796673</v>
      </c>
    </row>
    <row r="714" spans="1:12" x14ac:dyDescent="0.2">
      <c r="A714" s="21" t="s">
        <v>3069</v>
      </c>
      <c r="B714" s="21" t="s">
        <v>2333</v>
      </c>
      <c r="C714" s="21" t="s">
        <v>2334</v>
      </c>
      <c r="D714" s="21" t="s">
        <v>728</v>
      </c>
      <c r="E714" s="21" t="s">
        <v>729</v>
      </c>
      <c r="F714" s="21" t="s">
        <v>1634</v>
      </c>
      <c r="G714" s="21" t="s">
        <v>3432</v>
      </c>
      <c r="H714" s="21" t="s">
        <v>3073</v>
      </c>
      <c r="I714" s="21">
        <v>61</v>
      </c>
      <c r="J714" s="89">
        <f t="shared" si="22"/>
        <v>0.20819112627986347</v>
      </c>
      <c r="K714" s="94">
        <f>VLOOKUP(H714,'PCT data'!B:K,10,FALSE)</f>
        <v>0.89559831447194282</v>
      </c>
      <c r="L714" s="94">
        <f t="shared" si="23"/>
        <v>0.18645562178426112</v>
      </c>
    </row>
    <row r="715" spans="1:12" x14ac:dyDescent="0.2">
      <c r="A715" s="21" t="s">
        <v>3069</v>
      </c>
      <c r="B715" s="21" t="s">
        <v>2333</v>
      </c>
      <c r="C715" s="21" t="s">
        <v>2334</v>
      </c>
      <c r="D715" s="21" t="s">
        <v>2003</v>
      </c>
      <c r="E715" s="21" t="s">
        <v>2004</v>
      </c>
      <c r="F715" s="21" t="s">
        <v>1635</v>
      </c>
      <c r="G715" s="21" t="s">
        <v>1636</v>
      </c>
      <c r="H715" s="21" t="s">
        <v>3071</v>
      </c>
      <c r="I715" s="21">
        <v>18</v>
      </c>
      <c r="J715" s="89">
        <f t="shared" si="22"/>
        <v>6.1433447098976107E-2</v>
      </c>
      <c r="K715" s="94">
        <f>VLOOKUP(H715,'PCT data'!B:K,10,FALSE)</f>
        <v>0.92545159162100765</v>
      </c>
      <c r="L715" s="94">
        <f t="shared" si="23"/>
        <v>5.6853681396512416E-2</v>
      </c>
    </row>
    <row r="716" spans="1:12" x14ac:dyDescent="0.2">
      <c r="A716" s="21" t="s">
        <v>3069</v>
      </c>
      <c r="B716" s="21" t="s">
        <v>2333</v>
      </c>
      <c r="C716" s="21" t="s">
        <v>2334</v>
      </c>
      <c r="D716" s="21" t="s">
        <v>2005</v>
      </c>
      <c r="E716" s="21" t="s">
        <v>2006</v>
      </c>
      <c r="F716" s="21" t="s">
        <v>1634</v>
      </c>
      <c r="G716" s="21" t="s">
        <v>3432</v>
      </c>
      <c r="H716" s="21" t="s">
        <v>3073</v>
      </c>
      <c r="I716" s="21">
        <v>72</v>
      </c>
      <c r="J716" s="89">
        <f t="shared" si="22"/>
        <v>0.24573378839590443</v>
      </c>
      <c r="K716" s="94">
        <f>VLOOKUP(H716,'PCT data'!B:K,10,FALSE)</f>
        <v>0.89559831447194282</v>
      </c>
      <c r="L716" s="94">
        <f t="shared" si="23"/>
        <v>0.22007876669617707</v>
      </c>
    </row>
    <row r="717" spans="1:12" x14ac:dyDescent="0.2">
      <c r="A717" s="21" t="s">
        <v>3069</v>
      </c>
      <c r="B717" s="21" t="s">
        <v>2333</v>
      </c>
      <c r="C717" s="21" t="s">
        <v>2334</v>
      </c>
      <c r="D717" s="21" t="s">
        <v>2007</v>
      </c>
      <c r="E717" s="21" t="s">
        <v>2008</v>
      </c>
      <c r="F717" s="21" t="s">
        <v>1637</v>
      </c>
      <c r="G717" s="21" t="s">
        <v>1638</v>
      </c>
      <c r="H717" s="21" t="s">
        <v>3073</v>
      </c>
      <c r="I717" s="21">
        <v>11</v>
      </c>
      <c r="J717" s="89">
        <f t="shared" si="22"/>
        <v>3.7542662116040959E-2</v>
      </c>
      <c r="K717" s="94">
        <f>VLOOKUP(H717,'PCT data'!B:K,10,FALSE)</f>
        <v>0.89559831447194282</v>
      </c>
      <c r="L717" s="94">
        <f t="shared" si="23"/>
        <v>3.3623144911915946E-2</v>
      </c>
    </row>
    <row r="718" spans="1:12" x14ac:dyDescent="0.2">
      <c r="A718" s="21" t="s">
        <v>3069</v>
      </c>
      <c r="B718" s="21" t="s">
        <v>2333</v>
      </c>
      <c r="C718" s="21" t="s">
        <v>2334</v>
      </c>
      <c r="D718" s="21" t="s">
        <v>2009</v>
      </c>
      <c r="E718" s="21" t="s">
        <v>2010</v>
      </c>
      <c r="F718" s="21" t="s">
        <v>932</v>
      </c>
      <c r="G718" s="21" t="s">
        <v>933</v>
      </c>
      <c r="H718" s="21" t="s">
        <v>3071</v>
      </c>
      <c r="I718" s="21">
        <v>56</v>
      </c>
      <c r="J718" s="89">
        <f t="shared" si="22"/>
        <v>0.19112627986348124</v>
      </c>
      <c r="K718" s="94">
        <f>VLOOKUP(H718,'PCT data'!B:K,10,FALSE)</f>
        <v>0.92545159162100765</v>
      </c>
      <c r="L718" s="94">
        <f t="shared" si="23"/>
        <v>0.17687811990026087</v>
      </c>
    </row>
    <row r="719" spans="1:12" x14ac:dyDescent="0.2">
      <c r="A719" s="21" t="s">
        <v>3069</v>
      </c>
      <c r="B719" s="21" t="s">
        <v>2333</v>
      </c>
      <c r="C719" s="21" t="s">
        <v>2334</v>
      </c>
      <c r="D719" s="21" t="s">
        <v>2011</v>
      </c>
      <c r="E719" s="21" t="s">
        <v>2012</v>
      </c>
      <c r="F719" s="21" t="s">
        <v>3431</v>
      </c>
      <c r="G719" s="21" t="s">
        <v>3432</v>
      </c>
      <c r="H719" s="21" t="s">
        <v>3073</v>
      </c>
      <c r="I719" s="21">
        <v>75</v>
      </c>
      <c r="J719" s="89">
        <f t="shared" si="22"/>
        <v>0.25597269624573377</v>
      </c>
      <c r="K719" s="94">
        <f>VLOOKUP(H719,'PCT data'!B:K,10,FALSE)</f>
        <v>0.89559831447194282</v>
      </c>
      <c r="L719" s="94">
        <f t="shared" si="23"/>
        <v>0.22924871530851776</v>
      </c>
    </row>
    <row r="720" spans="1:12" x14ac:dyDescent="0.2">
      <c r="A720" s="21" t="s">
        <v>2975</v>
      </c>
      <c r="B720" s="21" t="s">
        <v>2379</v>
      </c>
      <c r="C720" s="21" t="s">
        <v>2380</v>
      </c>
      <c r="D720" s="21" t="s">
        <v>728</v>
      </c>
      <c r="E720" s="21" t="s">
        <v>729</v>
      </c>
      <c r="F720" s="21" t="s">
        <v>1639</v>
      </c>
      <c r="G720" s="21" t="s">
        <v>1640</v>
      </c>
      <c r="H720" s="21" t="s">
        <v>3000</v>
      </c>
      <c r="I720" s="21">
        <v>26</v>
      </c>
      <c r="J720" s="89">
        <f t="shared" si="22"/>
        <v>4.0372670807453416E-2</v>
      </c>
      <c r="K720" s="94">
        <f>VLOOKUP(H720,'PCT data'!B:K,10,FALSE)</f>
        <v>0.88564722208892122</v>
      </c>
      <c r="L720" s="94">
        <f t="shared" si="23"/>
        <v>3.5755943748931603E-2</v>
      </c>
    </row>
    <row r="721" spans="1:12" x14ac:dyDescent="0.2">
      <c r="A721" s="21" t="s">
        <v>2975</v>
      </c>
      <c r="B721" s="21" t="s">
        <v>2379</v>
      </c>
      <c r="C721" s="21" t="s">
        <v>2380</v>
      </c>
      <c r="D721" s="21" t="s">
        <v>2013</v>
      </c>
      <c r="E721" s="21" t="s">
        <v>2014</v>
      </c>
      <c r="F721" s="21" t="s">
        <v>1639</v>
      </c>
      <c r="G721" s="21" t="s">
        <v>1640</v>
      </c>
      <c r="H721" s="21" t="s">
        <v>3000</v>
      </c>
      <c r="I721" s="21">
        <v>247</v>
      </c>
      <c r="J721" s="89">
        <f t="shared" si="22"/>
        <v>0.38354037267080743</v>
      </c>
      <c r="K721" s="94">
        <f>VLOOKUP(H721,'PCT data'!B:K,10,FALSE)</f>
        <v>0.88564722208892122</v>
      </c>
      <c r="L721" s="94">
        <f t="shared" si="23"/>
        <v>0.33968146561485019</v>
      </c>
    </row>
    <row r="722" spans="1:12" x14ac:dyDescent="0.2">
      <c r="A722" s="21" t="s">
        <v>2975</v>
      </c>
      <c r="B722" s="21" t="s">
        <v>2379</v>
      </c>
      <c r="C722" s="21" t="s">
        <v>2380</v>
      </c>
      <c r="D722" s="21" t="s">
        <v>2015</v>
      </c>
      <c r="E722" s="21" t="s">
        <v>2016</v>
      </c>
      <c r="F722" s="21" t="s">
        <v>1641</v>
      </c>
      <c r="G722" s="21" t="s">
        <v>1642</v>
      </c>
      <c r="H722" s="21" t="s">
        <v>3017</v>
      </c>
      <c r="I722" s="21">
        <v>46</v>
      </c>
      <c r="J722" s="89">
        <f t="shared" si="22"/>
        <v>7.1428571428571425E-2</v>
      </c>
      <c r="K722" s="94">
        <f>VLOOKUP(H722,'PCT data'!B:K,10,FALSE)</f>
        <v>0.91550049923798604</v>
      </c>
      <c r="L722" s="94">
        <f t="shared" si="23"/>
        <v>6.5392892802713279E-2</v>
      </c>
    </row>
    <row r="723" spans="1:12" x14ac:dyDescent="0.2">
      <c r="A723" s="21" t="s">
        <v>2975</v>
      </c>
      <c r="B723" s="21" t="s">
        <v>2379</v>
      </c>
      <c r="C723" s="21" t="s">
        <v>2380</v>
      </c>
      <c r="D723" s="21" t="s">
        <v>2017</v>
      </c>
      <c r="E723" s="21" t="s">
        <v>2018</v>
      </c>
      <c r="F723" s="21" t="s">
        <v>3230</v>
      </c>
      <c r="G723" s="21" t="s">
        <v>3231</v>
      </c>
      <c r="H723" s="21" t="s">
        <v>3017</v>
      </c>
      <c r="I723" s="21">
        <v>77</v>
      </c>
      <c r="J723" s="89">
        <f t="shared" si="22"/>
        <v>0.11956521739130435</v>
      </c>
      <c r="K723" s="94">
        <f>VLOOKUP(H723,'PCT data'!B:K,10,FALSE)</f>
        <v>0.91550049923798604</v>
      </c>
      <c r="L723" s="94">
        <f t="shared" si="23"/>
        <v>0.10946201621323746</v>
      </c>
    </row>
    <row r="724" spans="1:12" x14ac:dyDescent="0.2">
      <c r="A724" s="21" t="s">
        <v>2975</v>
      </c>
      <c r="B724" s="21" t="s">
        <v>2379</v>
      </c>
      <c r="C724" s="21" t="s">
        <v>2380</v>
      </c>
      <c r="D724" s="21" t="s">
        <v>2019</v>
      </c>
      <c r="E724" s="21" t="s">
        <v>2020</v>
      </c>
      <c r="F724" s="21" t="s">
        <v>3230</v>
      </c>
      <c r="G724" s="21" t="s">
        <v>3231</v>
      </c>
      <c r="H724" s="21" t="s">
        <v>3017</v>
      </c>
      <c r="I724" s="21">
        <v>35</v>
      </c>
      <c r="J724" s="89">
        <f t="shared" si="22"/>
        <v>5.434782608695652E-2</v>
      </c>
      <c r="K724" s="94">
        <f>VLOOKUP(H724,'PCT data'!B:K,10,FALSE)</f>
        <v>0.91550049923798604</v>
      </c>
      <c r="L724" s="94">
        <f t="shared" si="23"/>
        <v>4.9755461915107935E-2</v>
      </c>
    </row>
    <row r="725" spans="1:12" x14ac:dyDescent="0.2">
      <c r="A725" s="21" t="s">
        <v>2975</v>
      </c>
      <c r="B725" s="21" t="s">
        <v>2379</v>
      </c>
      <c r="C725" s="21" t="s">
        <v>2380</v>
      </c>
      <c r="D725" s="21" t="s">
        <v>2021</v>
      </c>
      <c r="E725" s="21" t="s">
        <v>2022</v>
      </c>
      <c r="F725" s="21" t="s">
        <v>3234</v>
      </c>
      <c r="G725" s="21" t="s">
        <v>3235</v>
      </c>
      <c r="H725" s="21" t="s">
        <v>3010</v>
      </c>
      <c r="I725" s="21">
        <v>132</v>
      </c>
      <c r="J725" s="89">
        <f t="shared" si="22"/>
        <v>0.20496894409937888</v>
      </c>
      <c r="K725" s="94">
        <f>VLOOKUP(H725,'PCT data'!B:K,10,FALSE)</f>
        <v>0.91550049923798604</v>
      </c>
      <c r="L725" s="94">
        <f t="shared" si="23"/>
        <v>0.18764917065126421</v>
      </c>
    </row>
    <row r="726" spans="1:12" x14ac:dyDescent="0.2">
      <c r="A726" s="21" t="s">
        <v>2975</v>
      </c>
      <c r="B726" s="21" t="s">
        <v>2379</v>
      </c>
      <c r="C726" s="21" t="s">
        <v>2380</v>
      </c>
      <c r="D726" s="21" t="s">
        <v>2023</v>
      </c>
      <c r="E726" s="21" t="s">
        <v>2024</v>
      </c>
      <c r="F726" s="21" t="s">
        <v>3232</v>
      </c>
      <c r="G726" s="21" t="s">
        <v>3233</v>
      </c>
      <c r="H726" s="21" t="s">
        <v>3027</v>
      </c>
      <c r="I726" s="21">
        <v>81</v>
      </c>
      <c r="J726" s="89">
        <f t="shared" si="22"/>
        <v>0.12577639751552794</v>
      </c>
      <c r="K726" s="94">
        <f>VLOOKUP(H726,'PCT data'!B:K,10,FALSE)</f>
        <v>0.93540268400402815</v>
      </c>
      <c r="L726" s="94">
        <f t="shared" si="23"/>
        <v>0.11765157982038241</v>
      </c>
    </row>
    <row r="727" spans="1:12" x14ac:dyDescent="0.2">
      <c r="A727" s="21" t="s">
        <v>2133</v>
      </c>
      <c r="B727" s="21" t="s">
        <v>7</v>
      </c>
      <c r="C727" s="21" t="s">
        <v>8</v>
      </c>
      <c r="D727" s="21" t="s">
        <v>728</v>
      </c>
      <c r="E727" s="21" t="s">
        <v>729</v>
      </c>
      <c r="F727" s="21" t="s">
        <v>1643</v>
      </c>
      <c r="G727" s="21" t="s">
        <v>1036</v>
      </c>
      <c r="H727" s="21" t="s">
        <v>2142</v>
      </c>
      <c r="I727" s="21">
        <v>188</v>
      </c>
      <c r="J727" s="89">
        <f t="shared" si="22"/>
        <v>0.3715415019762846</v>
      </c>
      <c r="K727" s="94">
        <f>VLOOKUP(H727,'PCT data'!B:K,10,FALSE)</f>
        <v>0.95530486877007126</v>
      </c>
      <c r="L727" s="94">
        <f t="shared" si="23"/>
        <v>0.35493540578808974</v>
      </c>
    </row>
    <row r="728" spans="1:12" x14ac:dyDescent="0.2">
      <c r="A728" s="21" t="s">
        <v>2133</v>
      </c>
      <c r="B728" s="21" t="s">
        <v>7</v>
      </c>
      <c r="C728" s="21" t="s">
        <v>8</v>
      </c>
      <c r="D728" s="21" t="s">
        <v>2025</v>
      </c>
      <c r="E728" s="21" t="s">
        <v>2026</v>
      </c>
      <c r="F728" s="21" t="s">
        <v>1644</v>
      </c>
      <c r="G728" s="21" t="s">
        <v>1645</v>
      </c>
      <c r="H728" s="21" t="s">
        <v>2146</v>
      </c>
      <c r="I728" s="21">
        <v>48</v>
      </c>
      <c r="J728" s="89">
        <f t="shared" si="22"/>
        <v>9.4861660079051377E-2</v>
      </c>
      <c r="K728" s="94">
        <f>VLOOKUP(H728,'PCT data'!B:K,10,FALSE)</f>
        <v>0.95530486877007126</v>
      </c>
      <c r="L728" s="94">
        <f t="shared" si="23"/>
        <v>9.0621805733129279E-2</v>
      </c>
    </row>
    <row r="729" spans="1:12" x14ac:dyDescent="0.2">
      <c r="A729" s="21" t="s">
        <v>2133</v>
      </c>
      <c r="B729" s="21" t="s">
        <v>7</v>
      </c>
      <c r="C729" s="21" t="s">
        <v>8</v>
      </c>
      <c r="D729" s="21" t="s">
        <v>2027</v>
      </c>
      <c r="E729" s="21" t="s">
        <v>2028</v>
      </c>
      <c r="F729" s="21" t="s">
        <v>1643</v>
      </c>
      <c r="G729" s="21" t="s">
        <v>1036</v>
      </c>
      <c r="H729" s="21" t="s">
        <v>2142</v>
      </c>
      <c r="I729" s="21">
        <v>130</v>
      </c>
      <c r="J729" s="89">
        <f t="shared" si="22"/>
        <v>0.25691699604743085</v>
      </c>
      <c r="K729" s="94">
        <f>VLOOKUP(H729,'PCT data'!B:K,10,FALSE)</f>
        <v>0.95530486877007126</v>
      </c>
      <c r="L729" s="94">
        <f t="shared" si="23"/>
        <v>0.24543405719389183</v>
      </c>
    </row>
    <row r="730" spans="1:12" x14ac:dyDescent="0.2">
      <c r="A730" s="21" t="s">
        <v>2133</v>
      </c>
      <c r="B730" s="21" t="s">
        <v>7</v>
      </c>
      <c r="C730" s="21" t="s">
        <v>8</v>
      </c>
      <c r="D730" s="21" t="s">
        <v>2029</v>
      </c>
      <c r="E730" s="21" t="s">
        <v>2030</v>
      </c>
      <c r="F730" s="21" t="s">
        <v>1646</v>
      </c>
      <c r="G730" s="21" t="s">
        <v>998</v>
      </c>
      <c r="H730" s="21" t="s">
        <v>2146</v>
      </c>
      <c r="I730" s="21">
        <v>48</v>
      </c>
      <c r="J730" s="89">
        <f t="shared" si="22"/>
        <v>9.4861660079051377E-2</v>
      </c>
      <c r="K730" s="94">
        <f>VLOOKUP(H730,'PCT data'!B:K,10,FALSE)</f>
        <v>0.95530486877007126</v>
      </c>
      <c r="L730" s="94">
        <f t="shared" si="23"/>
        <v>9.0621805733129279E-2</v>
      </c>
    </row>
    <row r="731" spans="1:12" x14ac:dyDescent="0.2">
      <c r="A731" s="21" t="s">
        <v>2133</v>
      </c>
      <c r="B731" s="21" t="s">
        <v>7</v>
      </c>
      <c r="C731" s="21" t="s">
        <v>8</v>
      </c>
      <c r="D731" s="21" t="s">
        <v>2031</v>
      </c>
      <c r="E731" s="21" t="s">
        <v>2032</v>
      </c>
      <c r="F731" s="21" t="s">
        <v>1647</v>
      </c>
      <c r="G731" s="21" t="s">
        <v>1648</v>
      </c>
      <c r="H731" s="21" t="s">
        <v>1401</v>
      </c>
      <c r="I731" s="21">
        <v>92</v>
      </c>
      <c r="J731" s="89">
        <f t="shared" si="22"/>
        <v>0.18181818181818182</v>
      </c>
      <c r="K731" s="94">
        <f>VLOOKUP(H731,'PCT data'!B:K,10,FALSE)</f>
        <v>0.95530486877007126</v>
      </c>
      <c r="L731" s="94">
        <f t="shared" si="23"/>
        <v>0.17369179432183116</v>
      </c>
    </row>
    <row r="732" spans="1:12" x14ac:dyDescent="0.2">
      <c r="A732" s="21" t="s">
        <v>2133</v>
      </c>
      <c r="B732" s="21" t="s">
        <v>2343</v>
      </c>
      <c r="C732" s="21" t="s">
        <v>2344</v>
      </c>
      <c r="D732" s="21" t="s">
        <v>2033</v>
      </c>
      <c r="E732" s="21" t="s">
        <v>2034</v>
      </c>
      <c r="F732" s="21" t="s">
        <v>1649</v>
      </c>
      <c r="G732" s="21" t="s">
        <v>1650</v>
      </c>
      <c r="H732" s="21" t="s">
        <v>1122</v>
      </c>
      <c r="I732" s="21">
        <v>40</v>
      </c>
      <c r="J732" s="89">
        <f t="shared" si="22"/>
        <v>0.17316017316017315</v>
      </c>
      <c r="K732" s="94">
        <f>VLOOKUP(H732,'PCT data'!B:K,10,FALSE)</f>
        <v>0.91550049923798604</v>
      </c>
      <c r="L732" s="94">
        <f t="shared" si="23"/>
        <v>0.15852822497627464</v>
      </c>
    </row>
    <row r="733" spans="1:12" x14ac:dyDescent="0.2">
      <c r="A733" s="21" t="s">
        <v>2133</v>
      </c>
      <c r="B733" s="21" t="s">
        <v>2343</v>
      </c>
      <c r="C733" s="21" t="s">
        <v>2344</v>
      </c>
      <c r="D733" s="21" t="s">
        <v>2035</v>
      </c>
      <c r="E733" s="21" t="s">
        <v>2036</v>
      </c>
      <c r="F733" s="21" t="s">
        <v>1651</v>
      </c>
      <c r="G733" s="21" t="s">
        <v>1067</v>
      </c>
      <c r="H733" s="21" t="s">
        <v>1122</v>
      </c>
      <c r="I733" s="21">
        <v>78</v>
      </c>
      <c r="J733" s="89">
        <f t="shared" si="22"/>
        <v>0.33766233766233766</v>
      </c>
      <c r="K733" s="94">
        <f>VLOOKUP(H733,'PCT data'!B:K,10,FALSE)</f>
        <v>0.91550049923798604</v>
      </c>
      <c r="L733" s="94">
        <f t="shared" si="23"/>
        <v>0.30913003870373557</v>
      </c>
    </row>
    <row r="734" spans="1:12" x14ac:dyDescent="0.2">
      <c r="A734" s="21" t="s">
        <v>2133</v>
      </c>
      <c r="B734" s="21" t="s">
        <v>2343</v>
      </c>
      <c r="C734" s="21" t="s">
        <v>2344</v>
      </c>
      <c r="D734" s="21" t="s">
        <v>2037</v>
      </c>
      <c r="E734" s="21" t="s">
        <v>2038</v>
      </c>
      <c r="F734" s="21" t="s">
        <v>1652</v>
      </c>
      <c r="G734" s="21" t="s">
        <v>3249</v>
      </c>
      <c r="H734" s="21" t="s">
        <v>2144</v>
      </c>
      <c r="I734" s="21">
        <v>113</v>
      </c>
      <c r="J734" s="89">
        <f t="shared" si="22"/>
        <v>0.48917748917748916</v>
      </c>
      <c r="K734" s="94">
        <f>VLOOKUP(H734,'PCT data'!B:K,10,FALSE)</f>
        <v>0.90554940685496443</v>
      </c>
      <c r="L734" s="94">
        <f t="shared" si="23"/>
        <v>0.44297438517147608</v>
      </c>
    </row>
    <row r="735" spans="1:12" x14ac:dyDescent="0.2">
      <c r="A735" s="21" t="s">
        <v>3034</v>
      </c>
      <c r="B735" s="21" t="s">
        <v>2287</v>
      </c>
      <c r="C735" s="21" t="s">
        <v>2288</v>
      </c>
      <c r="D735" s="21" t="s">
        <v>728</v>
      </c>
      <c r="E735" s="21" t="s">
        <v>729</v>
      </c>
      <c r="F735" s="21" t="s">
        <v>1653</v>
      </c>
      <c r="G735" s="21" t="s">
        <v>1654</v>
      </c>
      <c r="H735" s="21" t="s">
        <v>3036</v>
      </c>
      <c r="I735" s="21">
        <v>149</v>
      </c>
      <c r="J735" s="89">
        <f t="shared" si="22"/>
        <v>0.34490740740740738</v>
      </c>
      <c r="K735" s="94">
        <f>VLOOKUP(H735,'PCT data'!B:K,10,FALSE)</f>
        <v>0.91550049923798604</v>
      </c>
      <c r="L735" s="94">
        <f t="shared" si="23"/>
        <v>0.31576290367236093</v>
      </c>
    </row>
    <row r="736" spans="1:12" x14ac:dyDescent="0.2">
      <c r="A736" s="21" t="s">
        <v>3034</v>
      </c>
      <c r="B736" s="21" t="s">
        <v>2287</v>
      </c>
      <c r="C736" s="21" t="s">
        <v>2288</v>
      </c>
      <c r="D736" s="21" t="s">
        <v>2039</v>
      </c>
      <c r="E736" s="21" t="s">
        <v>2040</v>
      </c>
      <c r="F736" s="21" t="s">
        <v>1655</v>
      </c>
      <c r="G736" s="21" t="s">
        <v>1656</v>
      </c>
      <c r="H736" s="21" t="s">
        <v>3036</v>
      </c>
      <c r="I736" s="21">
        <v>20</v>
      </c>
      <c r="J736" s="89">
        <f t="shared" si="22"/>
        <v>4.6296296296296294E-2</v>
      </c>
      <c r="K736" s="94">
        <f>VLOOKUP(H736,'PCT data'!B:K,10,FALSE)</f>
        <v>0.91550049923798604</v>
      </c>
      <c r="L736" s="94">
        <f t="shared" si="23"/>
        <v>4.2384282372128983E-2</v>
      </c>
    </row>
    <row r="737" spans="1:12" x14ac:dyDescent="0.2">
      <c r="A737" s="21" t="s">
        <v>3034</v>
      </c>
      <c r="B737" s="21" t="s">
        <v>2287</v>
      </c>
      <c r="C737" s="21" t="s">
        <v>2288</v>
      </c>
      <c r="D737" s="21" t="s">
        <v>2041</v>
      </c>
      <c r="E737" s="21" t="s">
        <v>2042</v>
      </c>
      <c r="F737" s="21" t="s">
        <v>1657</v>
      </c>
      <c r="G737" s="21" t="s">
        <v>2098</v>
      </c>
      <c r="H737" s="21" t="s">
        <v>3036</v>
      </c>
      <c r="I737" s="21">
        <v>18</v>
      </c>
      <c r="J737" s="89">
        <f t="shared" si="22"/>
        <v>4.1666666666666664E-2</v>
      </c>
      <c r="K737" s="94">
        <f>VLOOKUP(H737,'PCT data'!B:K,10,FALSE)</f>
        <v>0.91550049923798604</v>
      </c>
      <c r="L737" s="94">
        <f t="shared" si="23"/>
        <v>3.8145854134916085E-2</v>
      </c>
    </row>
    <row r="738" spans="1:12" x14ac:dyDescent="0.2">
      <c r="A738" s="21" t="s">
        <v>3034</v>
      </c>
      <c r="B738" s="21" t="s">
        <v>2287</v>
      </c>
      <c r="C738" s="21" t="s">
        <v>2288</v>
      </c>
      <c r="D738" s="21" t="s">
        <v>2043</v>
      </c>
      <c r="E738" s="21" t="s">
        <v>2044</v>
      </c>
      <c r="F738" s="21" t="s">
        <v>1658</v>
      </c>
      <c r="G738" s="21" t="s">
        <v>2098</v>
      </c>
      <c r="H738" s="21" t="s">
        <v>3036</v>
      </c>
      <c r="I738" s="21">
        <v>171</v>
      </c>
      <c r="J738" s="89">
        <f t="shared" si="22"/>
        <v>0.39583333333333331</v>
      </c>
      <c r="K738" s="94">
        <f>VLOOKUP(H738,'PCT data'!B:K,10,FALSE)</f>
        <v>0.91550049923798604</v>
      </c>
      <c r="L738" s="94">
        <f t="shared" si="23"/>
        <v>0.36238561428170279</v>
      </c>
    </row>
    <row r="739" spans="1:12" x14ac:dyDescent="0.2">
      <c r="A739" s="21" t="s">
        <v>3034</v>
      </c>
      <c r="B739" s="21" t="s">
        <v>2287</v>
      </c>
      <c r="C739" s="21" t="s">
        <v>2288</v>
      </c>
      <c r="D739" s="21" t="s">
        <v>2045</v>
      </c>
      <c r="E739" s="21" t="s">
        <v>2046</v>
      </c>
      <c r="F739" s="21" t="s">
        <v>1659</v>
      </c>
      <c r="G739" s="21" t="s">
        <v>876</v>
      </c>
      <c r="H739" s="21" t="s">
        <v>3036</v>
      </c>
      <c r="I739" s="21">
        <v>74</v>
      </c>
      <c r="J739" s="89">
        <f t="shared" si="22"/>
        <v>0.17129629629629631</v>
      </c>
      <c r="K739" s="94">
        <f>VLOOKUP(H739,'PCT data'!B:K,10,FALSE)</f>
        <v>0.91550049923798604</v>
      </c>
      <c r="L739" s="94">
        <f t="shared" si="23"/>
        <v>0.15682184477687724</v>
      </c>
    </row>
    <row r="740" spans="1:12" x14ac:dyDescent="0.2">
      <c r="A740" s="21" t="s">
        <v>2975</v>
      </c>
      <c r="B740" s="21" t="s">
        <v>383</v>
      </c>
      <c r="C740" s="21" t="s">
        <v>384</v>
      </c>
      <c r="D740" s="21" t="s">
        <v>2047</v>
      </c>
      <c r="E740" s="21" t="s">
        <v>2048</v>
      </c>
      <c r="F740" s="21" t="s">
        <v>109</v>
      </c>
      <c r="G740" s="21" t="s">
        <v>110</v>
      </c>
      <c r="H740" s="21" t="s">
        <v>2986</v>
      </c>
      <c r="I740" s="21">
        <v>94</v>
      </c>
      <c r="J740" s="89">
        <f t="shared" si="22"/>
        <v>0.38211382113821141</v>
      </c>
      <c r="K740" s="94">
        <f>VLOOKUP(H740,'PCT data'!B:K,10,FALSE)</f>
        <v>0.94535377638704965</v>
      </c>
      <c r="L740" s="94">
        <f t="shared" si="23"/>
        <v>0.36123274382269377</v>
      </c>
    </row>
    <row r="741" spans="1:12" x14ac:dyDescent="0.2">
      <c r="A741" s="21" t="s">
        <v>2975</v>
      </c>
      <c r="B741" s="21" t="s">
        <v>383</v>
      </c>
      <c r="C741" s="21" t="s">
        <v>384</v>
      </c>
      <c r="D741" s="21" t="s">
        <v>2049</v>
      </c>
      <c r="E741" s="21" t="s">
        <v>2050</v>
      </c>
      <c r="F741" s="21" t="s">
        <v>3228</v>
      </c>
      <c r="G741" s="21" t="s">
        <v>3229</v>
      </c>
      <c r="H741" s="21" t="s">
        <v>2986</v>
      </c>
      <c r="I741" s="21">
        <v>72</v>
      </c>
      <c r="J741" s="89">
        <f t="shared" si="22"/>
        <v>0.29268292682926828</v>
      </c>
      <c r="K741" s="94">
        <f>VLOOKUP(H741,'PCT data'!B:K,10,FALSE)</f>
        <v>0.94535377638704965</v>
      </c>
      <c r="L741" s="94">
        <f t="shared" si="23"/>
        <v>0.27668891016206332</v>
      </c>
    </row>
    <row r="742" spans="1:12" x14ac:dyDescent="0.2">
      <c r="A742" s="21" t="s">
        <v>2975</v>
      </c>
      <c r="B742" s="21" t="s">
        <v>383</v>
      </c>
      <c r="C742" s="21" t="s">
        <v>384</v>
      </c>
      <c r="D742" s="21" t="s">
        <v>2051</v>
      </c>
      <c r="E742" s="21" t="s">
        <v>2052</v>
      </c>
      <c r="F742" s="21" t="s">
        <v>119</v>
      </c>
      <c r="G742" s="21" t="s">
        <v>120</v>
      </c>
      <c r="H742" s="21" t="s">
        <v>2986</v>
      </c>
      <c r="I742" s="21">
        <v>80</v>
      </c>
      <c r="J742" s="89">
        <f t="shared" si="22"/>
        <v>0.32520325203252032</v>
      </c>
      <c r="K742" s="94">
        <f>VLOOKUP(H742,'PCT data'!B:K,10,FALSE)</f>
        <v>0.94535377638704965</v>
      </c>
      <c r="L742" s="94">
        <f t="shared" si="23"/>
        <v>0.30743212240229256</v>
      </c>
    </row>
    <row r="743" spans="1:12" x14ac:dyDescent="0.2">
      <c r="A743" s="21" t="s">
        <v>1167</v>
      </c>
      <c r="B743" s="21" t="s">
        <v>2308</v>
      </c>
      <c r="C743" s="21" t="s">
        <v>2053</v>
      </c>
      <c r="D743" s="21" t="s">
        <v>728</v>
      </c>
      <c r="E743" s="21" t="s">
        <v>729</v>
      </c>
      <c r="F743" s="21" t="s">
        <v>1660</v>
      </c>
      <c r="G743" s="21" t="s">
        <v>1661</v>
      </c>
      <c r="H743" s="21" t="s">
        <v>3436</v>
      </c>
      <c r="I743" s="21">
        <v>249</v>
      </c>
      <c r="J743" s="89">
        <f t="shared" si="22"/>
        <v>0.58588235294117652</v>
      </c>
      <c r="K743" s="94">
        <f>VLOOKUP(H743,'PCT data'!B:K,10,FALSE)</f>
        <v>1.2637887326437416</v>
      </c>
      <c r="L743" s="94">
        <f t="shared" si="23"/>
        <v>0.74043151630186277</v>
      </c>
    </row>
    <row r="744" spans="1:12" x14ac:dyDescent="0.2">
      <c r="A744" s="21" t="s">
        <v>1167</v>
      </c>
      <c r="B744" s="21" t="s">
        <v>2308</v>
      </c>
      <c r="C744" s="21" t="s">
        <v>2053</v>
      </c>
      <c r="D744" s="21" t="s">
        <v>2054</v>
      </c>
      <c r="E744" s="21" t="s">
        <v>2055</v>
      </c>
      <c r="F744" s="21" t="s">
        <v>1662</v>
      </c>
      <c r="G744" s="21" t="s">
        <v>1663</v>
      </c>
      <c r="H744" s="21" t="s">
        <v>1173</v>
      </c>
      <c r="I744" s="21">
        <v>40</v>
      </c>
      <c r="J744" s="89">
        <f t="shared" si="22"/>
        <v>9.4117647058823528E-2</v>
      </c>
      <c r="K744" s="94">
        <f>VLOOKUP(H744,'PCT data'!B:K,10,FALSE)</f>
        <v>1.2140332707286337</v>
      </c>
      <c r="L744" s="94">
        <f t="shared" si="23"/>
        <v>0.11426195489210669</v>
      </c>
    </row>
    <row r="745" spans="1:12" x14ac:dyDescent="0.2">
      <c r="A745" s="21" t="s">
        <v>1167</v>
      </c>
      <c r="B745" s="21" t="s">
        <v>2308</v>
      </c>
      <c r="C745" s="21" t="s">
        <v>2053</v>
      </c>
      <c r="D745" s="21" t="s">
        <v>2056</v>
      </c>
      <c r="E745" s="21" t="s">
        <v>2057</v>
      </c>
      <c r="F745" s="21" t="s">
        <v>1664</v>
      </c>
      <c r="G745" s="21" t="s">
        <v>1038</v>
      </c>
      <c r="H745" s="21" t="s">
        <v>3436</v>
      </c>
      <c r="I745" s="21">
        <v>136</v>
      </c>
      <c r="J745" s="89">
        <f t="shared" si="22"/>
        <v>0.32</v>
      </c>
      <c r="K745" s="94">
        <f>VLOOKUP(H745,'PCT data'!B:K,10,FALSE)</f>
        <v>1.2637887326437416</v>
      </c>
      <c r="L745" s="94">
        <f t="shared" si="23"/>
        <v>0.4044123944459973</v>
      </c>
    </row>
    <row r="746" spans="1:12" x14ac:dyDescent="0.2">
      <c r="A746" s="21" t="s">
        <v>3034</v>
      </c>
      <c r="B746" s="21" t="s">
        <v>2774</v>
      </c>
      <c r="C746" s="21" t="s">
        <v>2775</v>
      </c>
      <c r="D746" s="21" t="s">
        <v>728</v>
      </c>
      <c r="E746" s="21" t="s">
        <v>729</v>
      </c>
      <c r="F746" s="21" t="s">
        <v>1665</v>
      </c>
      <c r="G746" s="21" t="s">
        <v>2708</v>
      </c>
      <c r="H746" s="21" t="s">
        <v>3061</v>
      </c>
      <c r="I746" s="21">
        <v>21</v>
      </c>
      <c r="J746" s="89">
        <f t="shared" si="22"/>
        <v>7.0469798657718116E-2</v>
      </c>
      <c r="K746" s="94">
        <f>VLOOKUP(H746,'PCT data'!B:K,10,FALSE)</f>
        <v>0.98515814591913609</v>
      </c>
      <c r="L746" s="94">
        <f t="shared" si="23"/>
        <v>6.942389618893241E-2</v>
      </c>
    </row>
    <row r="747" spans="1:12" x14ac:dyDescent="0.2">
      <c r="A747" s="21" t="s">
        <v>3034</v>
      </c>
      <c r="B747" s="21" t="s">
        <v>2774</v>
      </c>
      <c r="C747" s="21" t="s">
        <v>2775</v>
      </c>
      <c r="D747" s="21" t="s">
        <v>2058</v>
      </c>
      <c r="E747" s="21" t="s">
        <v>2059</v>
      </c>
      <c r="F747" s="21" t="s">
        <v>2709</v>
      </c>
      <c r="G747" s="21" t="s">
        <v>880</v>
      </c>
      <c r="H747" s="21" t="s">
        <v>3061</v>
      </c>
      <c r="I747" s="21">
        <v>90</v>
      </c>
      <c r="J747" s="89">
        <f t="shared" si="22"/>
        <v>0.30201342281879195</v>
      </c>
      <c r="K747" s="94">
        <f>VLOOKUP(H747,'PCT data'!B:K,10,FALSE)</f>
        <v>0.98515814591913609</v>
      </c>
      <c r="L747" s="94">
        <f t="shared" si="23"/>
        <v>0.29753098366685321</v>
      </c>
    </row>
    <row r="748" spans="1:12" x14ac:dyDescent="0.2">
      <c r="A748" s="21" t="s">
        <v>3034</v>
      </c>
      <c r="B748" s="21" t="s">
        <v>2774</v>
      </c>
      <c r="C748" s="21" t="s">
        <v>2775</v>
      </c>
      <c r="D748" s="21" t="s">
        <v>2060</v>
      </c>
      <c r="E748" s="21" t="s">
        <v>2061</v>
      </c>
      <c r="F748" s="21" t="s">
        <v>2710</v>
      </c>
      <c r="G748" s="21" t="s">
        <v>2711</v>
      </c>
      <c r="H748" s="21" t="s">
        <v>3061</v>
      </c>
      <c r="I748" s="21">
        <v>22</v>
      </c>
      <c r="J748" s="89">
        <f t="shared" si="22"/>
        <v>7.3825503355704702E-2</v>
      </c>
      <c r="K748" s="94">
        <f>VLOOKUP(H748,'PCT data'!B:K,10,FALSE)</f>
        <v>0.98515814591913609</v>
      </c>
      <c r="L748" s="94">
        <f t="shared" si="23"/>
        <v>7.272979600745301E-2</v>
      </c>
    </row>
    <row r="749" spans="1:12" x14ac:dyDescent="0.2">
      <c r="A749" s="21" t="s">
        <v>3034</v>
      </c>
      <c r="B749" s="21" t="s">
        <v>2774</v>
      </c>
      <c r="C749" s="21" t="s">
        <v>2775</v>
      </c>
      <c r="D749" s="21" t="s">
        <v>2062</v>
      </c>
      <c r="E749" s="21" t="s">
        <v>2063</v>
      </c>
      <c r="F749" s="21" t="s">
        <v>2712</v>
      </c>
      <c r="G749" s="21" t="s">
        <v>2713</v>
      </c>
      <c r="H749" s="21" t="s">
        <v>3061</v>
      </c>
      <c r="I749" s="21">
        <v>71</v>
      </c>
      <c r="J749" s="89">
        <f t="shared" si="22"/>
        <v>0.23825503355704697</v>
      </c>
      <c r="K749" s="94">
        <f>VLOOKUP(H749,'PCT data'!B:K,10,FALSE)</f>
        <v>0.98515814591913609</v>
      </c>
      <c r="L749" s="94">
        <f t="shared" si="23"/>
        <v>0.23471888711496194</v>
      </c>
    </row>
    <row r="750" spans="1:12" x14ac:dyDescent="0.2">
      <c r="A750" s="21" t="s">
        <v>3034</v>
      </c>
      <c r="B750" s="21" t="s">
        <v>2774</v>
      </c>
      <c r="C750" s="21" t="s">
        <v>2775</v>
      </c>
      <c r="D750" s="21" t="s">
        <v>2064</v>
      </c>
      <c r="E750" s="21" t="s">
        <v>2065</v>
      </c>
      <c r="F750" s="21" t="s">
        <v>2714</v>
      </c>
      <c r="G750" s="21" t="s">
        <v>2715</v>
      </c>
      <c r="H750" s="21" t="s">
        <v>3061</v>
      </c>
      <c r="I750" s="21">
        <v>60</v>
      </c>
      <c r="J750" s="89">
        <f t="shared" si="22"/>
        <v>0.20134228187919462</v>
      </c>
      <c r="K750" s="94">
        <f>VLOOKUP(H750,'PCT data'!B:K,10,FALSE)</f>
        <v>0.98515814591913609</v>
      </c>
      <c r="L750" s="94">
        <f t="shared" si="23"/>
        <v>0.19835398911123545</v>
      </c>
    </row>
    <row r="751" spans="1:12" x14ac:dyDescent="0.2">
      <c r="A751" s="21" t="s">
        <v>3034</v>
      </c>
      <c r="B751" s="21" t="s">
        <v>2774</v>
      </c>
      <c r="C751" s="21" t="s">
        <v>2775</v>
      </c>
      <c r="D751" s="21" t="s">
        <v>2066</v>
      </c>
      <c r="E751" s="21" t="s">
        <v>2067</v>
      </c>
      <c r="F751" s="21" t="s">
        <v>2716</v>
      </c>
      <c r="G751" s="21" t="s">
        <v>2717</v>
      </c>
      <c r="H751" s="21" t="s">
        <v>3061</v>
      </c>
      <c r="I751" s="21">
        <v>34</v>
      </c>
      <c r="J751" s="89">
        <f t="shared" si="22"/>
        <v>0.11409395973154363</v>
      </c>
      <c r="K751" s="94">
        <f>VLOOKUP(H751,'PCT data'!B:K,10,FALSE)</f>
        <v>0.98515814591913609</v>
      </c>
      <c r="L751" s="94">
        <f t="shared" si="23"/>
        <v>0.11240059382970009</v>
      </c>
    </row>
    <row r="752" spans="1:12" x14ac:dyDescent="0.2">
      <c r="A752" s="21" t="s">
        <v>2133</v>
      </c>
      <c r="B752" s="21" t="s">
        <v>2770</v>
      </c>
      <c r="C752" s="21" t="s">
        <v>2771</v>
      </c>
      <c r="D752" s="21" t="s">
        <v>728</v>
      </c>
      <c r="E752" s="21" t="s">
        <v>729</v>
      </c>
      <c r="F752" s="21" t="s">
        <v>2718</v>
      </c>
      <c r="G752" s="21" t="s">
        <v>2719</v>
      </c>
      <c r="H752" s="21" t="s">
        <v>1113</v>
      </c>
      <c r="I752" s="21">
        <v>40</v>
      </c>
      <c r="J752" s="89">
        <f t="shared" si="22"/>
        <v>0.19047619047619047</v>
      </c>
      <c r="K752" s="94">
        <f>VLOOKUP(H752,'PCT data'!B:K,10,FALSE)</f>
        <v>0.94535377638704965</v>
      </c>
      <c r="L752" s="94">
        <f t="shared" si="23"/>
        <v>0.18006738597848565</v>
      </c>
    </row>
    <row r="753" spans="1:12" x14ac:dyDescent="0.2">
      <c r="A753" s="21" t="s">
        <v>2133</v>
      </c>
      <c r="B753" s="21" t="s">
        <v>2770</v>
      </c>
      <c r="C753" s="21" t="s">
        <v>2771</v>
      </c>
      <c r="D753" s="21" t="s">
        <v>2068</v>
      </c>
      <c r="E753" s="21" t="s">
        <v>2069</v>
      </c>
      <c r="F753" s="21" t="s">
        <v>2720</v>
      </c>
      <c r="G753" s="21" t="s">
        <v>2721</v>
      </c>
      <c r="H753" s="21" t="s">
        <v>1113</v>
      </c>
      <c r="I753" s="21">
        <v>87</v>
      </c>
      <c r="J753" s="89">
        <f t="shared" si="22"/>
        <v>0.41428571428571431</v>
      </c>
      <c r="K753" s="94">
        <f>VLOOKUP(H753,'PCT data'!B:K,10,FALSE)</f>
        <v>0.94535377638704965</v>
      </c>
      <c r="L753" s="94">
        <f t="shared" si="23"/>
        <v>0.39164656450320628</v>
      </c>
    </row>
    <row r="754" spans="1:12" x14ac:dyDescent="0.2">
      <c r="A754" s="21" t="s">
        <v>2133</v>
      </c>
      <c r="B754" s="21" t="s">
        <v>2770</v>
      </c>
      <c r="C754" s="21" t="s">
        <v>2771</v>
      </c>
      <c r="D754" s="21" t="s">
        <v>2070</v>
      </c>
      <c r="E754" s="21" t="s">
        <v>2071</v>
      </c>
      <c r="F754" s="21" t="s">
        <v>2722</v>
      </c>
      <c r="G754" s="21" t="s">
        <v>2723</v>
      </c>
      <c r="H754" s="21" t="s">
        <v>1113</v>
      </c>
      <c r="I754" s="21">
        <v>29</v>
      </c>
      <c r="J754" s="89">
        <f t="shared" si="22"/>
        <v>0.1380952380952381</v>
      </c>
      <c r="K754" s="94">
        <f>VLOOKUP(H754,'PCT data'!B:K,10,FALSE)</f>
        <v>0.94535377638704965</v>
      </c>
      <c r="L754" s="94">
        <f t="shared" si="23"/>
        <v>0.13054885483440209</v>
      </c>
    </row>
    <row r="755" spans="1:12" ht="13.5" thickBot="1" x14ac:dyDescent="0.25">
      <c r="A755" s="49" t="s">
        <v>2133</v>
      </c>
      <c r="B755" s="49" t="s">
        <v>2770</v>
      </c>
      <c r="C755" s="49" t="s">
        <v>2771</v>
      </c>
      <c r="D755" s="49" t="s">
        <v>2072</v>
      </c>
      <c r="E755" s="49" t="s">
        <v>2073</v>
      </c>
      <c r="F755" s="49" t="s">
        <v>2724</v>
      </c>
      <c r="G755" s="49" t="s">
        <v>2417</v>
      </c>
      <c r="H755" s="49" t="s">
        <v>1113</v>
      </c>
      <c r="I755" s="49">
        <v>54</v>
      </c>
      <c r="J755" s="90">
        <f t="shared" si="22"/>
        <v>0.25714285714285712</v>
      </c>
      <c r="K755" s="95">
        <f>VLOOKUP(H755,'PCT data'!B:K,10,FALSE)</f>
        <v>0.94535377638704965</v>
      </c>
      <c r="L755" s="95">
        <f t="shared" si="23"/>
        <v>0.24309097107095559</v>
      </c>
    </row>
    <row r="756" spans="1:12" x14ac:dyDescent="0.2">
      <c r="K756" s="160"/>
    </row>
    <row r="757" spans="1:12" x14ac:dyDescent="0.2">
      <c r="L757" s="19"/>
    </row>
    <row r="758" spans="1:12" ht="13.5" thickBot="1" x14ac:dyDescent="0.25">
      <c r="C758" s="14" t="s">
        <v>4157</v>
      </c>
    </row>
    <row r="759" spans="1:12" ht="39" thickBot="1" x14ac:dyDescent="0.25">
      <c r="A759" s="85" t="s">
        <v>2754</v>
      </c>
      <c r="B759" s="85" t="s">
        <v>3573</v>
      </c>
      <c r="C759" s="85" t="s">
        <v>2755</v>
      </c>
      <c r="D759" s="85"/>
      <c r="E759" s="85"/>
      <c r="F759" s="85"/>
      <c r="G759" s="85"/>
      <c r="H759" s="85"/>
      <c r="I759" s="85"/>
      <c r="J759" s="85"/>
      <c r="K759" s="85"/>
      <c r="L759" s="85" t="s">
        <v>4159</v>
      </c>
    </row>
    <row r="760" spans="1:12" x14ac:dyDescent="0.2">
      <c r="A760" s="39" t="s">
        <v>2133</v>
      </c>
      <c r="B760" s="39" t="s">
        <v>2281</v>
      </c>
      <c r="C760" s="39" t="s">
        <v>2282</v>
      </c>
      <c r="D760" s="39"/>
      <c r="E760" s="39"/>
      <c r="F760" s="39"/>
      <c r="G760" s="39"/>
      <c r="H760" s="39"/>
      <c r="I760" s="39"/>
      <c r="J760" s="88"/>
      <c r="K760" s="93"/>
      <c r="L760" s="88">
        <f>SUMIF('PCT data'!$F$3:$F$159,$B760,'PCT data'!$L$3:$L$159)/SUMIF('PCT data'!$F$3:$F$159,$B760,'PCT data'!$D$3:$D$159)</f>
        <v>0.94535377638704976</v>
      </c>
    </row>
    <row r="761" spans="1:12" x14ac:dyDescent="0.2">
      <c r="A761" s="21" t="s">
        <v>2975</v>
      </c>
      <c r="B761" s="21" t="s">
        <v>2291</v>
      </c>
      <c r="C761" s="21" t="s">
        <v>654</v>
      </c>
      <c r="D761" s="21"/>
      <c r="E761" s="21"/>
      <c r="F761" s="21"/>
      <c r="G761" s="21"/>
      <c r="H761" s="21"/>
      <c r="I761" s="21"/>
      <c r="J761" s="89"/>
      <c r="K761" s="94"/>
      <c r="L761" s="89">
        <f>SUMIF('PCT data'!$F$3:$F$159,$B761,'PCT data'!$L$3:$L$159)/SUMIF('PCT data'!$F$3:$F$159,$B761,'PCT data'!$D$3:$D$159)</f>
        <v>0.88564722208892122</v>
      </c>
    </row>
    <row r="762" spans="1:12" x14ac:dyDescent="0.2">
      <c r="A762" s="21" t="s">
        <v>1127</v>
      </c>
      <c r="B762" s="21" t="s">
        <v>2306</v>
      </c>
      <c r="C762" s="21" t="s">
        <v>2307</v>
      </c>
      <c r="D762" s="21"/>
      <c r="E762" s="21"/>
      <c r="F762" s="21"/>
      <c r="G762" s="21"/>
      <c r="H762" s="21"/>
      <c r="I762" s="21"/>
      <c r="J762" s="89"/>
      <c r="K762" s="94"/>
      <c r="L762" s="89">
        <f>SUMIF('PCT data'!$F$3:$F$159,$B762,'PCT data'!$L$3:$L$159)/SUMIF('PCT data'!$F$3:$F$159,$B762,'PCT data'!$D$3:$D$159)</f>
        <v>0.99396233006422219</v>
      </c>
    </row>
    <row r="763" spans="1:12" x14ac:dyDescent="0.2">
      <c r="A763" s="21" t="s">
        <v>1167</v>
      </c>
      <c r="B763" s="21" t="s">
        <v>2312</v>
      </c>
      <c r="C763" s="21" t="s">
        <v>2313</v>
      </c>
      <c r="D763" s="21"/>
      <c r="E763" s="21"/>
      <c r="F763" s="21"/>
      <c r="G763" s="21"/>
      <c r="H763" s="21"/>
      <c r="I763" s="21"/>
      <c r="J763" s="89"/>
      <c r="K763" s="94"/>
      <c r="L763" s="89">
        <f>SUMIF('PCT data'!$F$3:$F$159,$B763,'PCT data'!$L$3:$L$159)/SUMIF('PCT data'!$F$3:$F$159,$B763,'PCT data'!$D$3:$D$159)</f>
        <v>1.2171297347132426</v>
      </c>
    </row>
    <row r="764" spans="1:12" x14ac:dyDescent="0.2">
      <c r="A764" s="21" t="s">
        <v>3069</v>
      </c>
      <c r="B764" s="21" t="s">
        <v>2331</v>
      </c>
      <c r="C764" s="21" t="s">
        <v>2332</v>
      </c>
      <c r="D764" s="21"/>
      <c r="E764" s="21"/>
      <c r="F764" s="21"/>
      <c r="G764" s="21"/>
      <c r="H764" s="21"/>
      <c r="I764" s="21"/>
      <c r="J764" s="89"/>
      <c r="K764" s="94"/>
      <c r="L764" s="89">
        <f>SUMIF('PCT data'!$F$3:$F$159,$B764,'PCT data'!$L$3:$L$159)/SUMIF('PCT data'!$F$3:$F$159,$B764,'PCT data'!$D$3:$D$159)</f>
        <v>0.92545159162100765</v>
      </c>
    </row>
    <row r="765" spans="1:12" x14ac:dyDescent="0.2">
      <c r="A765" s="21" t="s">
        <v>1127</v>
      </c>
      <c r="B765" s="21" t="s">
        <v>1318</v>
      </c>
      <c r="C765" s="21" t="s">
        <v>1319</v>
      </c>
      <c r="D765" s="21"/>
      <c r="E765" s="21"/>
      <c r="F765" s="21"/>
      <c r="G765" s="21"/>
      <c r="H765" s="21"/>
      <c r="I765" s="21"/>
      <c r="J765" s="89"/>
      <c r="K765" s="94"/>
      <c r="L765" s="89">
        <f>SUMIF('PCT data'!$F$3:$F$159,$B765,'PCT data'!$L$3:$L$159)/SUMIF('PCT data'!$F$3:$F$159,$B765,'PCT data'!$D$3:$D$159)</f>
        <v>1.0796935235578422</v>
      </c>
    </row>
    <row r="766" spans="1:12" x14ac:dyDescent="0.2">
      <c r="A766" s="21" t="s">
        <v>1167</v>
      </c>
      <c r="B766" s="21" t="s">
        <v>1326</v>
      </c>
      <c r="C766" s="21" t="s">
        <v>1327</v>
      </c>
      <c r="D766" s="21"/>
      <c r="E766" s="21"/>
      <c r="F766" s="21"/>
      <c r="G766" s="21"/>
      <c r="H766" s="21"/>
      <c r="I766" s="21"/>
      <c r="J766" s="89"/>
      <c r="K766" s="94"/>
      <c r="L766" s="89">
        <f>SUMIF('PCT data'!$F$3:$F$159,$B766,'PCT data'!$L$3:$L$159)/SUMIF('PCT data'!$F$3:$F$159,$B766,'PCT data'!$D$3:$D$159)</f>
        <v>1.1045712545153963</v>
      </c>
    </row>
    <row r="767" spans="1:12" x14ac:dyDescent="0.2">
      <c r="A767" s="21" t="s">
        <v>191</v>
      </c>
      <c r="B767" s="21" t="s">
        <v>3374</v>
      </c>
      <c r="C767" s="21" t="s">
        <v>3375</v>
      </c>
      <c r="D767" s="21"/>
      <c r="E767" s="21"/>
      <c r="F767" s="21"/>
      <c r="G767" s="21"/>
      <c r="H767" s="21"/>
      <c r="I767" s="21"/>
      <c r="J767" s="89"/>
      <c r="K767" s="94"/>
      <c r="L767" s="89">
        <f>SUMIF('PCT data'!$F$3:$F$159,$B767,'PCT data'!$L$3:$L$159)/SUMIF('PCT data'!$F$3:$F$159,$B767,'PCT data'!$D$3:$D$159)</f>
        <v>1.0249625154512234</v>
      </c>
    </row>
    <row r="768" spans="1:12" x14ac:dyDescent="0.2">
      <c r="A768" s="21" t="s">
        <v>3496</v>
      </c>
      <c r="B768" s="21" t="s">
        <v>1340</v>
      </c>
      <c r="C768" s="21" t="s">
        <v>657</v>
      </c>
      <c r="D768" s="21"/>
      <c r="E768" s="21"/>
      <c r="F768" s="21"/>
      <c r="G768" s="21"/>
      <c r="H768" s="21"/>
      <c r="I768" s="21"/>
      <c r="J768" s="89"/>
      <c r="K768" s="94"/>
      <c r="L768" s="89">
        <f>SUMIF('PCT data'!$F$3:$F$159,$B768,'PCT data'!$L$3:$L$159)/SUMIF('PCT data'!$F$3:$F$159,$B768,'PCT data'!$D$3:$D$159)</f>
        <v>1.0591030778002071</v>
      </c>
    </row>
    <row r="769" spans="1:12" x14ac:dyDescent="0.2">
      <c r="A769" s="21" t="s">
        <v>3069</v>
      </c>
      <c r="B769" s="21" t="s">
        <v>367</v>
      </c>
      <c r="C769" s="21" t="s">
        <v>368</v>
      </c>
      <c r="D769" s="21"/>
      <c r="E769" s="21"/>
      <c r="F769" s="21"/>
      <c r="G769" s="21"/>
      <c r="H769" s="21"/>
      <c r="I769" s="21"/>
      <c r="J769" s="89"/>
      <c r="K769" s="94"/>
      <c r="L769" s="89">
        <f>SUMIF('PCT data'!$F$3:$F$159,$B769,'PCT data'!$L$3:$L$159)/SUMIF('PCT data'!$F$3:$F$159,$B769,'PCT data'!$D$3:$D$159)</f>
        <v>0.90554940685496443</v>
      </c>
    </row>
    <row r="770" spans="1:12" x14ac:dyDescent="0.2">
      <c r="A770" s="21" t="s">
        <v>2975</v>
      </c>
      <c r="B770" s="21" t="s">
        <v>371</v>
      </c>
      <c r="C770" s="21" t="s">
        <v>372</v>
      </c>
      <c r="D770" s="21"/>
      <c r="E770" s="21"/>
      <c r="F770" s="21"/>
      <c r="G770" s="21"/>
      <c r="H770" s="21"/>
      <c r="I770" s="21"/>
      <c r="J770" s="89"/>
      <c r="K770" s="94"/>
      <c r="L770" s="89">
        <f>SUMIF('PCT data'!$F$3:$F$159,$B770,'PCT data'!$L$3:$L$159)/SUMIF('PCT data'!$F$3:$F$159,$B770,'PCT data'!$D$3:$D$159)</f>
        <v>0.91550049923798604</v>
      </c>
    </row>
    <row r="771" spans="1:12" x14ac:dyDescent="0.2">
      <c r="A771" s="21" t="s">
        <v>1127</v>
      </c>
      <c r="B771" s="21" t="s">
        <v>409</v>
      </c>
      <c r="C771" s="21" t="s">
        <v>410</v>
      </c>
      <c r="D771" s="21"/>
      <c r="E771" s="21"/>
      <c r="F771" s="21"/>
      <c r="G771" s="21"/>
      <c r="H771" s="21"/>
      <c r="I771" s="21"/>
      <c r="J771" s="89"/>
      <c r="K771" s="94"/>
      <c r="L771" s="89">
        <f>SUMIF('PCT data'!$F$3:$F$159,$B771,'PCT data'!$L$3:$L$159)/SUMIF('PCT data'!$F$3:$F$159,$B771,'PCT data'!$D$3:$D$159)</f>
        <v>0.92545159162100765</v>
      </c>
    </row>
    <row r="772" spans="1:12" x14ac:dyDescent="0.2">
      <c r="A772" s="21" t="s">
        <v>2133</v>
      </c>
      <c r="B772" s="21" t="s">
        <v>2784</v>
      </c>
      <c r="C772" s="21" t="s">
        <v>650</v>
      </c>
      <c r="D772" s="21"/>
      <c r="E772" s="21"/>
      <c r="F772" s="21"/>
      <c r="G772" s="21"/>
      <c r="H772" s="21"/>
      <c r="I772" s="21"/>
      <c r="J772" s="89"/>
      <c r="K772" s="94"/>
      <c r="L772" s="89">
        <f>SUMIF('PCT data'!$F$3:$F$159,$B772,'PCT data'!$L$3:$L$159)/SUMIF('PCT data'!$F$3:$F$159,$B772,'PCT data'!$D$3:$D$159)</f>
        <v>0.9282671313133275</v>
      </c>
    </row>
    <row r="773" spans="1:12" x14ac:dyDescent="0.2">
      <c r="A773" s="21" t="s">
        <v>191</v>
      </c>
      <c r="B773" s="21" t="s">
        <v>2785</v>
      </c>
      <c r="C773" s="21" t="s">
        <v>2786</v>
      </c>
      <c r="D773" s="21"/>
      <c r="E773" s="21"/>
      <c r="F773" s="21"/>
      <c r="G773" s="21"/>
      <c r="H773" s="21"/>
      <c r="I773" s="21"/>
      <c r="J773" s="89"/>
      <c r="K773" s="94"/>
      <c r="L773" s="89">
        <f>SUMIF('PCT data'!$F$3:$F$159,$B773,'PCT data'!$L$3:$L$159)/SUMIF('PCT data'!$F$3:$F$159,$B773,'PCT data'!$D$3:$D$159)</f>
        <v>1.001182228224599</v>
      </c>
    </row>
    <row r="774" spans="1:12" x14ac:dyDescent="0.2">
      <c r="A774" s="21" t="s">
        <v>2133</v>
      </c>
      <c r="B774" s="21" t="s">
        <v>577</v>
      </c>
      <c r="C774" s="21" t="s">
        <v>651</v>
      </c>
      <c r="D774" s="21"/>
      <c r="E774" s="21"/>
      <c r="F774" s="21"/>
      <c r="G774" s="21"/>
      <c r="H774" s="21"/>
      <c r="I774" s="21"/>
      <c r="J774" s="89"/>
      <c r="K774" s="94"/>
      <c r="L774" s="89">
        <f>SUMIF('PCT data'!$F$3:$F$159,$B774,'PCT data'!$L$3:$L$159)/SUMIF('PCT data'!$F$3:$F$159,$B774,'PCT data'!$D$3:$D$159)</f>
        <v>0.91779866132456767</v>
      </c>
    </row>
    <row r="775" spans="1:12" x14ac:dyDescent="0.2">
      <c r="A775" s="21" t="s">
        <v>2975</v>
      </c>
      <c r="B775" s="21" t="s">
        <v>691</v>
      </c>
      <c r="C775" s="21" t="s">
        <v>692</v>
      </c>
      <c r="D775" s="21"/>
      <c r="E775" s="21"/>
      <c r="F775" s="21"/>
      <c r="G775" s="21"/>
      <c r="H775" s="21"/>
      <c r="I775" s="21"/>
      <c r="J775" s="89"/>
      <c r="K775" s="94"/>
      <c r="L775" s="89">
        <f>SUMIF('PCT data'!$F$3:$F$159,$B775,'PCT data'!$L$3:$L$159)/SUMIF('PCT data'!$F$3:$F$159,$B775,'PCT data'!$D$3:$D$159)</f>
        <v>0.92545159162100776</v>
      </c>
    </row>
    <row r="776" spans="1:12" x14ac:dyDescent="0.2">
      <c r="A776" s="21" t="s">
        <v>3034</v>
      </c>
      <c r="B776" s="21" t="s">
        <v>3513</v>
      </c>
      <c r="C776" s="21" t="s">
        <v>3515</v>
      </c>
      <c r="D776" s="21"/>
      <c r="E776" s="21"/>
      <c r="F776" s="21"/>
      <c r="G776" s="21"/>
      <c r="H776" s="21"/>
      <c r="I776" s="21"/>
      <c r="J776" s="89"/>
      <c r="K776" s="94"/>
      <c r="L776" s="89">
        <f>SUMIF('PCT data'!$F$3:$F$159,$B776,'PCT data'!$L$3:$L$159)/SUMIF('PCT data'!$F$3:$F$159,$B776,'PCT data'!$D$3:$D$159)</f>
        <v>0.97520705353611448</v>
      </c>
    </row>
    <row r="777" spans="1:12" x14ac:dyDescent="0.2">
      <c r="A777" s="21" t="s">
        <v>3528</v>
      </c>
      <c r="B777" s="21" t="s">
        <v>3514</v>
      </c>
      <c r="C777" s="21" t="s">
        <v>1177</v>
      </c>
      <c r="D777" s="21"/>
      <c r="E777" s="21"/>
      <c r="F777" s="21"/>
      <c r="G777" s="21"/>
      <c r="H777" s="21"/>
      <c r="I777" s="21"/>
      <c r="J777" s="89"/>
      <c r="K777" s="94"/>
      <c r="L777" s="89">
        <f>SUMIF('PCT data'!$F$3:$F$159,$B777,'PCT data'!$L$3:$L$159)/SUMIF('PCT data'!$F$3:$F$159,$B777,'PCT data'!$D$3:$D$159)</f>
        <v>0.97520705353611448</v>
      </c>
    </row>
    <row r="778" spans="1:12" ht="13.5" thickBot="1" x14ac:dyDescent="0.25">
      <c r="A778" s="49" t="s">
        <v>3528</v>
      </c>
      <c r="B778" s="49" t="s">
        <v>659</v>
      </c>
      <c r="C778" s="49" t="s">
        <v>3883</v>
      </c>
      <c r="D778" s="49"/>
      <c r="E778" s="49"/>
      <c r="F778" s="49"/>
      <c r="G778" s="49"/>
      <c r="H778" s="49"/>
      <c r="I778" s="49"/>
      <c r="J778" s="90"/>
      <c r="K778" s="95"/>
      <c r="L778" s="90">
        <f>SUMIF('PCT data'!$F$3:$F$159,$B778,'PCT data'!$L$3:$L$159)/SUMIF('PCT data'!$F$3:$F$159,$B778,'PCT data'!$D$3:$D$159)</f>
        <v>0.97520705353611448</v>
      </c>
    </row>
    <row r="781" spans="1:12" ht="13.5" thickBot="1" x14ac:dyDescent="0.25">
      <c r="C781" s="19" t="s">
        <v>4156</v>
      </c>
    </row>
    <row r="782" spans="1:12" ht="39" thickBot="1" x14ac:dyDescent="0.25">
      <c r="A782" s="85" t="s">
        <v>2754</v>
      </c>
      <c r="B782" s="85" t="s">
        <v>3573</v>
      </c>
      <c r="C782" s="85" t="s">
        <v>2755</v>
      </c>
      <c r="D782" s="85"/>
      <c r="E782" s="85"/>
      <c r="F782" s="85"/>
      <c r="G782" s="85"/>
      <c r="H782" s="85"/>
      <c r="I782" s="85"/>
      <c r="J782" s="85"/>
      <c r="K782" s="85"/>
      <c r="L782" s="85" t="s">
        <v>4159</v>
      </c>
    </row>
    <row r="783" spans="1:12" x14ac:dyDescent="0.2">
      <c r="A783" s="39" t="s">
        <v>3069</v>
      </c>
      <c r="B783" s="39" t="s">
        <v>2357</v>
      </c>
      <c r="C783" s="39" t="s">
        <v>2358</v>
      </c>
      <c r="D783" s="39"/>
      <c r="E783" s="39"/>
      <c r="F783" s="39"/>
      <c r="G783" s="39"/>
      <c r="H783" s="39"/>
      <c r="I783" s="39"/>
      <c r="J783" s="88"/>
      <c r="K783" s="93"/>
      <c r="L783" s="88">
        <f>SUMIF('PCT data'!$E$3:$E$154,$B783,'PCT data'!$L$3:$L$154)/SUMIF('PCT data'!$E$3:$E$154,$B783,'PCT data'!$D$3:$D$154)</f>
        <v>0.92155319971296334</v>
      </c>
    </row>
    <row r="784" spans="1:12" x14ac:dyDescent="0.2">
      <c r="A784" s="21" t="s">
        <v>1127</v>
      </c>
      <c r="B784" s="21" t="s">
        <v>2359</v>
      </c>
      <c r="C784" s="21" t="s">
        <v>2360</v>
      </c>
      <c r="D784" s="21"/>
      <c r="E784" s="21"/>
      <c r="F784" s="21"/>
      <c r="G784" s="21"/>
      <c r="H784" s="21"/>
      <c r="I784" s="21"/>
      <c r="J784" s="89"/>
      <c r="K784" s="94"/>
      <c r="L784" s="89">
        <f>SUMIF('PCT data'!$E$3:$E$154,$B784,'PCT data'!$L$3:$L$154)/SUMIF('PCT data'!$E$3:$E$154,$B784,'PCT data'!$D$3:$D$154)</f>
        <v>1.0061288592346893</v>
      </c>
    </row>
    <row r="785" spans="1:12" x14ac:dyDescent="0.2">
      <c r="A785" s="21" t="s">
        <v>3528</v>
      </c>
      <c r="B785" s="21" t="s">
        <v>2375</v>
      </c>
      <c r="C785" s="21" t="s">
        <v>2376</v>
      </c>
      <c r="D785" s="21"/>
      <c r="E785" s="21"/>
      <c r="F785" s="21"/>
      <c r="G785" s="21"/>
      <c r="H785" s="21"/>
      <c r="I785" s="21"/>
      <c r="J785" s="89"/>
      <c r="K785" s="94"/>
      <c r="L785" s="89">
        <f>SUMIF('PCT data'!$E$3:$E$154,$B785,'PCT data'!$L$3:$L$154)/SUMIF('PCT data'!$E$3:$E$154,$B785,'PCT data'!$D$3:$D$154)</f>
        <v>0.98727919403517062</v>
      </c>
    </row>
    <row r="786" spans="1:12" x14ac:dyDescent="0.2">
      <c r="A786" s="21" t="s">
        <v>1167</v>
      </c>
      <c r="B786" s="21" t="s">
        <v>377</v>
      </c>
      <c r="C786" s="21" t="s">
        <v>378</v>
      </c>
      <c r="D786" s="21"/>
      <c r="E786" s="21"/>
      <c r="F786" s="21"/>
      <c r="G786" s="21"/>
      <c r="H786" s="21"/>
      <c r="I786" s="21"/>
      <c r="J786" s="89"/>
      <c r="K786" s="94"/>
      <c r="L786" s="89">
        <f>SUMIF('PCT data'!$E$3:$E$154,$B786,'PCT data'!$L$3:$L$154)/SUMIF('PCT data'!$E$3:$E$154,$B786,'PCT data'!$D$3:$D$154)</f>
        <v>1.1553526305524331</v>
      </c>
    </row>
    <row r="787" spans="1:12" x14ac:dyDescent="0.2">
      <c r="A787" s="21" t="s">
        <v>708</v>
      </c>
      <c r="B787" s="21" t="s">
        <v>415</v>
      </c>
      <c r="C787" s="21" t="s">
        <v>653</v>
      </c>
      <c r="D787" s="21"/>
      <c r="E787" s="21"/>
      <c r="F787" s="21"/>
      <c r="G787" s="21"/>
      <c r="H787" s="21"/>
      <c r="I787" s="21"/>
      <c r="J787" s="89"/>
      <c r="K787" s="94"/>
      <c r="L787" s="89">
        <f>SUMIF('PCT data'!$E$3:$E$154,$B787,'PCT data'!$L$3:$L$154)/SUMIF('PCT data'!$E$3:$E$154,$B787,'PCT data'!$D$3:$D$154)</f>
        <v>0.97904651425036082</v>
      </c>
    </row>
    <row r="788" spans="1:12" x14ac:dyDescent="0.2">
      <c r="A788" s="21" t="s">
        <v>2975</v>
      </c>
      <c r="B788" s="21" t="s">
        <v>3662</v>
      </c>
      <c r="C788" s="21" t="s">
        <v>3663</v>
      </c>
      <c r="D788" s="21"/>
      <c r="E788" s="21"/>
      <c r="F788" s="21"/>
      <c r="G788" s="21"/>
      <c r="H788" s="21"/>
      <c r="I788" s="21"/>
      <c r="J788" s="89"/>
      <c r="K788" s="94"/>
      <c r="L788" s="89">
        <f>SUMIF('PCT data'!$E$3:$E$154,$B788,'PCT data'!$L$3:$L$154)/SUMIF('PCT data'!$E$3:$E$154,$B788,'PCT data'!$D$3:$D$154)</f>
        <v>0.92077120937248436</v>
      </c>
    </row>
    <row r="789" spans="1:12" x14ac:dyDescent="0.2">
      <c r="A789" s="21" t="s">
        <v>191</v>
      </c>
      <c r="B789" s="21" t="s">
        <v>2789</v>
      </c>
      <c r="C789" s="21" t="s">
        <v>655</v>
      </c>
      <c r="D789" s="21"/>
      <c r="E789" s="21"/>
      <c r="F789" s="21"/>
      <c r="G789" s="21"/>
      <c r="H789" s="21"/>
      <c r="I789" s="21"/>
      <c r="J789" s="89"/>
      <c r="K789" s="94"/>
      <c r="L789" s="89">
        <f>SUMIF('PCT data'!$E$3:$E$154,$B789,'PCT data'!$L$3:$L$154)/SUMIF('PCT data'!$E$3:$E$154,$B789,'PCT data'!$D$3:$D$154)</f>
        <v>1.0287350937538653</v>
      </c>
    </row>
    <row r="790" spans="1:12" x14ac:dyDescent="0.2">
      <c r="A790" s="21" t="s">
        <v>3496</v>
      </c>
      <c r="B790" s="21" t="s">
        <v>547</v>
      </c>
      <c r="C790" s="21" t="s">
        <v>656</v>
      </c>
      <c r="D790" s="21"/>
      <c r="E790" s="21"/>
      <c r="F790" s="21"/>
      <c r="G790" s="21"/>
      <c r="H790" s="21"/>
      <c r="I790" s="21"/>
      <c r="J790" s="89"/>
      <c r="K790" s="94"/>
      <c r="L790" s="89">
        <f>SUMIF('PCT data'!$E$3:$E$154,$B790,'PCT data'!$L$3:$L$154)/SUMIF('PCT data'!$E$3:$E$154,$B790,'PCT data'!$D$3:$D$154)</f>
        <v>1.0706481388224727</v>
      </c>
    </row>
    <row r="791" spans="1:12" x14ac:dyDescent="0.2">
      <c r="A791" s="21" t="s">
        <v>3528</v>
      </c>
      <c r="B791" s="21" t="s">
        <v>566</v>
      </c>
      <c r="C791" s="21" t="s">
        <v>649</v>
      </c>
      <c r="D791" s="21"/>
      <c r="E791" s="21"/>
      <c r="F791" s="21"/>
      <c r="G791" s="21"/>
      <c r="H791" s="21"/>
      <c r="I791" s="21"/>
      <c r="J791" s="89"/>
      <c r="K791" s="94"/>
      <c r="L791" s="89">
        <f>SUMIF('PCT data'!$E$3:$E$154,$B791,'PCT data'!$L$3:$L$154)/SUMIF('PCT data'!$E$3:$E$154,$B791,'PCT data'!$D$3:$D$154)</f>
        <v>0.9696699974433739</v>
      </c>
    </row>
    <row r="792" spans="1:12" x14ac:dyDescent="0.2">
      <c r="A792" s="21" t="s">
        <v>2133</v>
      </c>
      <c r="B792" s="21" t="s">
        <v>682</v>
      </c>
      <c r="C792" s="21" t="s">
        <v>648</v>
      </c>
      <c r="D792" s="21"/>
      <c r="E792" s="21"/>
      <c r="F792" s="21"/>
      <c r="G792" s="21"/>
      <c r="H792" s="21"/>
      <c r="I792" s="21"/>
      <c r="J792" s="89"/>
      <c r="K792" s="94"/>
      <c r="L792" s="89">
        <f>SUMIF('PCT data'!$E$3:$E$154,$B792,'PCT data'!$L$3:$L$154)/SUMIF('PCT data'!$E$3:$E$154,$B792,'PCT data'!$D$3:$D$154)</f>
        <v>0.93489601596012528</v>
      </c>
    </row>
    <row r="793" spans="1:12" ht="13.5" thickBot="1" x14ac:dyDescent="0.25">
      <c r="A793" s="49" t="s">
        <v>3034</v>
      </c>
      <c r="B793" s="49" t="s">
        <v>705</v>
      </c>
      <c r="C793" s="49" t="s">
        <v>706</v>
      </c>
      <c r="D793" s="49"/>
      <c r="E793" s="49"/>
      <c r="F793" s="49"/>
      <c r="G793" s="49"/>
      <c r="H793" s="49"/>
      <c r="I793" s="49"/>
      <c r="J793" s="90"/>
      <c r="K793" s="95"/>
      <c r="L793" s="90">
        <f>SUMIF('PCT data'!$E$3:$E$154,$B793,'PCT data'!$L$3:$L$154)/SUMIF('PCT data'!$E$3:$E$154,$B793,'PCT data'!$D$3:$D$154)</f>
        <v>0.95793078036587764</v>
      </c>
    </row>
  </sheetData>
  <autoFilter ref="A1:L755"/>
  <phoneticPr fontId="7" type="noConversion"/>
  <pageMargins left="0.75" right="0.75" top="1" bottom="1" header="0.5" footer="0.5"/>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LongProperties xmlns="http://schemas.microsoft.com/office/2006/metadata/long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BDF0B5C44B61854B9F7CBE9591C76B14" ma:contentTypeVersion="0" ma:contentTypeDescription="Create a new document." ma:contentTypeScope="" ma:versionID="ebd452da1a3f9ef5b9f6406530559361">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A366875-CBB3-49CB-8A9C-7B427C786334}"/>
</file>

<file path=customXml/itemProps2.xml><?xml version="1.0" encoding="utf-8"?>
<ds:datastoreItem xmlns:ds="http://schemas.openxmlformats.org/officeDocument/2006/customXml" ds:itemID="{DEA47E39-3794-4948-8518-B01FFBF86659}"/>
</file>

<file path=customXml/itemProps3.xml><?xml version="1.0" encoding="utf-8"?>
<ds:datastoreItem xmlns:ds="http://schemas.openxmlformats.org/officeDocument/2006/customXml" ds:itemID="{671E6B04-1597-4104-AF0B-16ABED75BA2E}"/>
</file>

<file path=customXml/itemProps4.xml><?xml version="1.0" encoding="utf-8"?>
<ds:datastoreItem xmlns:ds="http://schemas.openxmlformats.org/officeDocument/2006/customXml" ds:itemID="{40E66218-2CB6-48EC-B142-55A91B1D561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34</vt:i4>
      </vt:variant>
      <vt:variant>
        <vt:lpstr>Named Ranges</vt:lpstr>
      </vt:variant>
      <vt:variant>
        <vt:i4>10</vt:i4>
      </vt:variant>
    </vt:vector>
  </HeadingPairs>
  <TitlesOfParts>
    <vt:vector size="44" baseType="lpstr">
      <vt:lpstr>Front page</vt:lpstr>
      <vt:lpstr>Guidance</vt:lpstr>
      <vt:lpstr>Linked sheet</vt:lpstr>
      <vt:lpstr>All Trusts</vt:lpstr>
      <vt:lpstr>Base MFF calcs</vt:lpstr>
      <vt:lpstr>PCT data</vt:lpstr>
      <vt:lpstr>Staff data</vt:lpstr>
      <vt:lpstr>M&amp;D data</vt:lpstr>
      <vt:lpstr>Buildings data</vt:lpstr>
      <vt:lpstr>Land data</vt:lpstr>
      <vt:lpstr>Other corrections needed</vt:lpstr>
      <vt:lpstr>Mergers &gt;&gt;</vt:lpstr>
      <vt:lpstr>Merged Trusts and MFF year</vt:lpstr>
      <vt:lpstr>Mergers &amp; new Provs to 2013-14</vt:lpstr>
      <vt:lpstr>Mergers for 2014-15 &gt;&gt;</vt:lpstr>
      <vt:lpstr>1.Summary</vt:lpstr>
      <vt:lpstr>Queen Mary to Oxleas</vt:lpstr>
      <vt:lpstr>QMS &amp; QE to Lewisham</vt:lpstr>
      <vt:lpstr>QMS to GSTT</vt:lpstr>
      <vt:lpstr>QMS to Dartford</vt:lpstr>
      <vt:lpstr>QMS &amp; PRUH to Kings</vt:lpstr>
      <vt:lpstr>Index values</vt:lpstr>
      <vt:lpstr>Mergers for 2015-16 &gt;&gt;</vt:lpstr>
      <vt:lpstr>Royal Free + Barnet|Chase Farm</vt:lpstr>
      <vt:lpstr>Mid Staff|Royal Wolverhampton</vt:lpstr>
      <vt:lpstr>Mid Staff|UHNS</vt:lpstr>
      <vt:lpstr>Frimley + Heatherwood|Wexham</vt:lpstr>
      <vt:lpstr>London North West Trust</vt:lpstr>
      <vt:lpstr>RUH Bath + RNHRD</vt:lpstr>
      <vt:lpstr>RJD ERIC 2008|09</vt:lpstr>
      <vt:lpstr>Mergers for 2016-17 &gt;&gt;</vt:lpstr>
      <vt:lpstr>Chelsea Westminster+West Midsx</vt:lpstr>
      <vt:lpstr>South Devon + Torbay|Sthn Devon</vt:lpstr>
      <vt:lpstr>2014-15 MFF Payment values</vt:lpstr>
      <vt:lpstr>Building_Weight</vt:lpstr>
      <vt:lpstr>Land_Weight</vt:lpstr>
      <vt:lpstr>Lowest_Underlying_MFF</vt:lpstr>
      <vt:lpstr>MFF_2014_15</vt:lpstr>
      <vt:lpstr>MnD_Weight</vt:lpstr>
      <vt:lpstr>Other_Weight</vt:lpstr>
      <vt:lpstr>Guidance!Print_Area</vt:lpstr>
      <vt:lpstr>'Linked sheet'!Print_Area</vt:lpstr>
      <vt:lpstr>'Linked sheet'!Print_Titles</vt:lpstr>
      <vt:lpstr>Staff_Weight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Laurence Davies</dc:creator>
  <cp:lastModifiedBy>James Lorigan</cp:lastModifiedBy>
  <cp:lastPrinted>2016-02-05T13:51:02Z</cp:lastPrinted>
  <dcterms:created xsi:type="dcterms:W3CDTF">1996-10-14T23:33:28Z</dcterms:created>
  <dcterms:modified xsi:type="dcterms:W3CDTF">2016-03-21T18:24:47Z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729509b32a34273afbf773e0c72336c">
    <vt:lpwstr>Please select...|d4c3a339-8617-448c-96a4-aa4fe7bbd822</vt:lpwstr>
  </property>
  <property fmtid="{D5CDD505-2E9C-101B-9397-08002B2CF9AE}" pid="3" name="e993c7ebdb0844bda77b49081e8191e4">
    <vt:lpwstr>NOT PROTECTIVELY MARKED|59351c5f-b7fd-4a97-8559-c38b9b573e6f</vt:lpwstr>
  </property>
  <property fmtid="{D5CDD505-2E9C-101B-9397-08002B2CF9AE}" pid="4" name="_dlc_ExpireDate">
    <vt:lpwstr>2016-08-13T10:47:22Z</vt:lpwstr>
  </property>
  <property fmtid="{D5CDD505-2E9C-101B-9397-08002B2CF9AE}" pid="5" name="ItemRetentionFormula">
    <vt:lpwstr>&lt;formula id="Microsoft.Office.RecordsManagement.PolicyFeatures.Expiration.Formula.BuiltIn"&gt;&lt;number&gt;3&lt;/number&gt;&lt;property&gt;Modified&lt;/property&gt;&lt;propertyId&gt;28cf69c5-fa48-462a-b5cd-27b6f9d2bd5f&lt;/propertyId&gt;&lt;period&gt;years&lt;/period&gt;&lt;/formula&gt;</vt:lpwstr>
  </property>
  <property fmtid="{D5CDD505-2E9C-101B-9397-08002B2CF9AE}" pid="6" name="_dlc_policyId">
    <vt:lpwstr>/sr/gandf/Programmes and Projects</vt:lpwstr>
  </property>
  <property fmtid="{D5CDD505-2E9C-101B-9397-08002B2CF9AE}" pid="7" name="_dlc_DocId">
    <vt:lpwstr>AAFXSQ5MW4ZD-212-15154</vt:lpwstr>
  </property>
  <property fmtid="{D5CDD505-2E9C-101B-9397-08002B2CF9AE}" pid="8" name="_dlc_DocIdItemGuid">
    <vt:lpwstr>c1cbfc99-ede0-4821-8485-344e83d4d023</vt:lpwstr>
  </property>
  <property fmtid="{D5CDD505-2E9C-101B-9397-08002B2CF9AE}" pid="9" name="_dlc_DocIdUrl">
    <vt:lpwstr>http://iws.ims.gov.uk/sr/gandf/_layouts/DocIdRedir.aspx?ID=AAFXSQ5MW4ZD-212-15154, AAFXSQ5MW4ZD-212-15154</vt:lpwstr>
  </property>
  <property fmtid="{D5CDD505-2E9C-101B-9397-08002B2CF9AE}" pid="10" name="Document Subject">
    <vt:lpwstr>742</vt:lpwstr>
  </property>
  <property fmtid="{D5CDD505-2E9C-101B-9397-08002B2CF9AE}" pid="11" name="Record Class">
    <vt:lpwstr>29</vt:lpwstr>
  </property>
  <property fmtid="{D5CDD505-2E9C-101B-9397-08002B2CF9AE}" pid="12" name="TaxKeyword">
    <vt:lpwstr/>
  </property>
  <property fmtid="{D5CDD505-2E9C-101B-9397-08002B2CF9AE}" pid="13" name="WTTeamSiteDocumentType">
    <vt:lpwstr/>
  </property>
  <property fmtid="{D5CDD505-2E9C-101B-9397-08002B2CF9AE}" pid="14" name="ContentTypeId">
    <vt:lpwstr>0x010100BDF0B5C44B61854B9F7CBE9591C76B14</vt:lpwstr>
  </property>
  <property fmtid="{D5CDD505-2E9C-101B-9397-08002B2CF9AE}" pid="15" name="WTWorkSpaceDocumentType">
    <vt:lpwstr/>
  </property>
</Properties>
</file>