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360" windowWidth="28830" windowHeight="6405"/>
  </bookViews>
  <sheets>
    <sheet name="Disclaimer" sheetId="50" r:id="rId1"/>
    <sheet name="Navigation" sheetId="52" r:id="rId2"/>
    <sheet name="Linked Sheet" sheetId="40" r:id="rId3"/>
    <sheet name="Radio_&amp;_Chemo_SQL" sheetId="21" r:id="rId4"/>
    <sheet name="DI_SQL" sheetId="22" r:id="rId5"/>
    <sheet name="DI_activity_mapping_SQL" sheetId="67" r:id="rId6"/>
    <sheet name="AKI_SQL" sheetId="61" r:id="rId7"/>
    <sheet name="Input_Rad" sheetId="2" r:id="rId8"/>
    <sheet name="Input_DI" sheetId="18" r:id="rId9"/>
    <sheet name="Input_DI_activity_mapping" sheetId="66" r:id="rId10"/>
    <sheet name="Input_AKI" sheetId="62" r:id="rId11"/>
    <sheet name="2015-16 Tariff" sheetId="58" r:id="rId12"/>
    <sheet name="Price Adjustments" sheetId="43" r:id="rId13"/>
    <sheet name="Manual adjustment requests" sheetId="69" r:id="rId14"/>
    <sheet name="DI Cost of reporting" sheetId="41" r:id="rId15"/>
    <sheet name="Rad_Calc" sheetId="35" r:id="rId16"/>
    <sheet name="Chem_Calc" sheetId="8" r:id="rId17"/>
    <sheet name="DI_Calc" sheetId="31" r:id="rId18"/>
    <sheet name="DI Activity Mapping_Calc" sheetId="65" r:id="rId19"/>
    <sheet name="AKI_Calc " sheetId="63" r:id="rId20"/>
    <sheet name="Manual adjustments" sheetId="60" r:id="rId21"/>
  </sheets>
  <externalReferences>
    <externalReference r:id="rId22"/>
    <externalReference r:id="rId23"/>
    <externalReference r:id="rId24"/>
    <externalReference r:id="rId25"/>
  </externalReferences>
  <definedNames>
    <definedName name="____net1" localSheetId="11" hidden="1">{"NET",#N/A,FALSE,"401C11"}</definedName>
    <definedName name="____net1" hidden="1">{"NET",#N/A,FALSE,"401C11"}</definedName>
    <definedName name="__123Graph_A" localSheetId="19" hidden="1">'[1]2002PCTs'!#REF!</definedName>
    <definedName name="__123Graph_A" localSheetId="18" hidden="1">'[1]2002PCTs'!#REF!</definedName>
    <definedName name="__123Graph_A" localSheetId="5" hidden="1">'[1]2002PCTs'!#REF!</definedName>
    <definedName name="__123Graph_A" localSheetId="9" hidden="1">'[1]2002PCTs'!#REF!</definedName>
    <definedName name="__123Graph_A" hidden="1">'[1]2002PCTs'!#REF!</definedName>
    <definedName name="__123Graph_B" localSheetId="19" hidden="1">[2]Dnurse!#REF!</definedName>
    <definedName name="__123Graph_B" localSheetId="18" hidden="1">[2]Dnurse!#REF!</definedName>
    <definedName name="__123Graph_B" localSheetId="5" hidden="1">[2]Dnurse!#REF!</definedName>
    <definedName name="__123Graph_B" localSheetId="9" hidden="1">[2]Dnurse!#REF!</definedName>
    <definedName name="__123Graph_B" hidden="1">[2]Dnurse!#REF!</definedName>
    <definedName name="__123Graph_C" localSheetId="19" hidden="1">[2]Dnurse!#REF!</definedName>
    <definedName name="__123Graph_C" localSheetId="18" hidden="1">[2]Dnurse!#REF!</definedName>
    <definedName name="__123Graph_C" localSheetId="5" hidden="1">[2]Dnurse!#REF!</definedName>
    <definedName name="__123Graph_C" localSheetId="9" hidden="1">[2]Dnurse!#REF!</definedName>
    <definedName name="__123Graph_C" hidden="1">[2]Dnurse!#REF!</definedName>
    <definedName name="__123Graph_X" localSheetId="19" hidden="1">[2]Dnurse!#REF!</definedName>
    <definedName name="__123Graph_X" localSheetId="18" hidden="1">[2]Dnurse!#REF!</definedName>
    <definedName name="__123Graph_X" localSheetId="5" hidden="1">[2]Dnurse!#REF!</definedName>
    <definedName name="__123Graph_X" localSheetId="9" hidden="1">[2]Dnurse!#REF!</definedName>
    <definedName name="__123Graph_X" hidden="1">[2]Dnurse!#REF!</definedName>
    <definedName name="__net1" localSheetId="11" hidden="1">{"NET",#N/A,FALSE,"401C11"}</definedName>
    <definedName name="__net1" hidden="1">{"NET",#N/A,FALSE,"401C11"}</definedName>
    <definedName name="_1_0__123Grap" localSheetId="19" hidden="1">'[3]#REF'!#REF!</definedName>
    <definedName name="_1_0__123Grap" localSheetId="18" hidden="1">'[3]#REF'!#REF!</definedName>
    <definedName name="_1_0__123Grap" localSheetId="5" hidden="1">'[3]#REF'!#REF!</definedName>
    <definedName name="_1_0__123Grap" localSheetId="9" hidden="1">'[3]#REF'!#REF!</definedName>
    <definedName name="_1_0__123Grap" hidden="1">'[3]#REF'!#REF!</definedName>
    <definedName name="_1_123Grap" localSheetId="19" hidden="1">'[4]#REF'!#REF!</definedName>
    <definedName name="_1_123Grap" localSheetId="18" hidden="1">'[4]#REF'!#REF!</definedName>
    <definedName name="_1_123Grap" localSheetId="5" hidden="1">'[4]#REF'!#REF!</definedName>
    <definedName name="_1_123Grap" localSheetId="9" hidden="1">'[4]#REF'!#REF!</definedName>
    <definedName name="_1_123Grap" hidden="1">'[4]#REF'!#REF!</definedName>
    <definedName name="_2_0__123Grap" localSheetId="19" hidden="1">'[4]#REF'!#REF!</definedName>
    <definedName name="_2_0__123Grap" localSheetId="18" hidden="1">'[4]#REF'!#REF!</definedName>
    <definedName name="_2_0__123Grap" localSheetId="5" hidden="1">'[4]#REF'!#REF!</definedName>
    <definedName name="_2_0__123Grap" localSheetId="9" hidden="1">'[4]#REF'!#REF!</definedName>
    <definedName name="_2_0__123Grap" hidden="1">'[4]#REF'!#REF!</definedName>
    <definedName name="_2_123Grap" localSheetId="19" hidden="1">'[2]#REF'!#REF!</definedName>
    <definedName name="_2_123Grap" localSheetId="18" hidden="1">'[2]#REF'!#REF!</definedName>
    <definedName name="_2_123Grap" localSheetId="5" hidden="1">'[2]#REF'!#REF!</definedName>
    <definedName name="_2_123Grap" localSheetId="9" hidden="1">'[2]#REF'!#REF!</definedName>
    <definedName name="_2_123Grap" hidden="1">'[2]#REF'!#REF!</definedName>
    <definedName name="_3_0_S" localSheetId="19" hidden="1">'[3]#REF'!#REF!</definedName>
    <definedName name="_3_0_S" localSheetId="18" hidden="1">'[3]#REF'!#REF!</definedName>
    <definedName name="_3_0_S" localSheetId="5" hidden="1">'[3]#REF'!#REF!</definedName>
    <definedName name="_3_0_S" localSheetId="9" hidden="1">'[3]#REF'!#REF!</definedName>
    <definedName name="_3_0_S" hidden="1">'[3]#REF'!#REF!</definedName>
    <definedName name="_3_123Grap" localSheetId="19" hidden="1">'[4]#REF'!#REF!</definedName>
    <definedName name="_3_123Grap" localSheetId="18" hidden="1">'[4]#REF'!#REF!</definedName>
    <definedName name="_3_123Grap" localSheetId="5" hidden="1">'[4]#REF'!#REF!</definedName>
    <definedName name="_3_123Grap" localSheetId="9" hidden="1">'[4]#REF'!#REF!</definedName>
    <definedName name="_3_123Grap" hidden="1">'[4]#REF'!#REF!</definedName>
    <definedName name="_34_123Grap" localSheetId="19" hidden="1">'[4]#REF'!#REF!</definedName>
    <definedName name="_34_123Grap" localSheetId="18" hidden="1">'[4]#REF'!#REF!</definedName>
    <definedName name="_34_123Grap" localSheetId="5" hidden="1">'[4]#REF'!#REF!</definedName>
    <definedName name="_34_123Grap" localSheetId="9" hidden="1">'[4]#REF'!#REF!</definedName>
    <definedName name="_34_123Grap" hidden="1">'[4]#REF'!#REF!</definedName>
    <definedName name="_42S" localSheetId="19" hidden="1">'[4]#REF'!#REF!</definedName>
    <definedName name="_42S" localSheetId="18" hidden="1">'[4]#REF'!#REF!</definedName>
    <definedName name="_42S" localSheetId="5" hidden="1">'[4]#REF'!#REF!</definedName>
    <definedName name="_42S" localSheetId="9" hidden="1">'[4]#REF'!#REF!</definedName>
    <definedName name="_42S" hidden="1">'[4]#REF'!#REF!</definedName>
    <definedName name="_4S" localSheetId="19" hidden="1">'[4]#REF'!#REF!</definedName>
    <definedName name="_4S" localSheetId="18" hidden="1">'[4]#REF'!#REF!</definedName>
    <definedName name="_4S" localSheetId="5" hidden="1">'[4]#REF'!#REF!</definedName>
    <definedName name="_4S" localSheetId="9" hidden="1">'[4]#REF'!#REF!</definedName>
    <definedName name="_4S" hidden="1">'[4]#REF'!#REF!</definedName>
    <definedName name="_5_0__123Grap" localSheetId="19" hidden="1">'[4]#REF'!#REF!</definedName>
    <definedName name="_5_0__123Grap" localSheetId="18" hidden="1">'[4]#REF'!#REF!</definedName>
    <definedName name="_5_0__123Grap" localSheetId="5" hidden="1">'[4]#REF'!#REF!</definedName>
    <definedName name="_5_0__123Grap" localSheetId="9" hidden="1">'[4]#REF'!#REF!</definedName>
    <definedName name="_5_0__123Grap" hidden="1">'[4]#REF'!#REF!</definedName>
    <definedName name="_6_0_S" localSheetId="19" hidden="1">'[4]#REF'!#REF!</definedName>
    <definedName name="_6_0_S" localSheetId="18" hidden="1">'[4]#REF'!#REF!</definedName>
    <definedName name="_6_0_S" localSheetId="5" hidden="1">'[4]#REF'!#REF!</definedName>
    <definedName name="_6_0_S" localSheetId="9" hidden="1">'[4]#REF'!#REF!</definedName>
    <definedName name="_6_0_S" hidden="1">'[4]#REF'!#REF!</definedName>
    <definedName name="_6_123Grap" localSheetId="19" hidden="1">'[2]#REF'!#REF!</definedName>
    <definedName name="_6_123Grap" localSheetId="18" hidden="1">'[2]#REF'!#REF!</definedName>
    <definedName name="_6_123Grap" localSheetId="5" hidden="1">'[2]#REF'!#REF!</definedName>
    <definedName name="_6_123Grap" localSheetId="9" hidden="1">'[2]#REF'!#REF!</definedName>
    <definedName name="_6_123Grap" hidden="1">'[2]#REF'!#REF!</definedName>
    <definedName name="_8_123Grap" localSheetId="19" hidden="1">'[4]#REF'!#REF!</definedName>
    <definedName name="_8_123Grap" localSheetId="18" hidden="1">'[4]#REF'!#REF!</definedName>
    <definedName name="_8_123Grap" localSheetId="5" hidden="1">'[4]#REF'!#REF!</definedName>
    <definedName name="_8_123Grap" localSheetId="9" hidden="1">'[4]#REF'!#REF!</definedName>
    <definedName name="_8_123Grap" hidden="1">'[4]#REF'!#REF!</definedName>
    <definedName name="_8S" localSheetId="19" hidden="1">'[2]#REF'!#REF!</definedName>
    <definedName name="_8S" localSheetId="18" hidden="1">'[2]#REF'!#REF!</definedName>
    <definedName name="_8S" localSheetId="5" hidden="1">'[2]#REF'!#REF!</definedName>
    <definedName name="_8S" localSheetId="9" hidden="1">'[2]#REF'!#REF!</definedName>
    <definedName name="_8S" hidden="1">'[2]#REF'!#REF!</definedName>
    <definedName name="_xlnm._FilterDatabase" localSheetId="11" hidden="1">'2015-16 Tariff'!$A$13:$D$13</definedName>
    <definedName name="_xlnm._FilterDatabase" localSheetId="18" hidden="1">'DI Activity Mapping_Calc'!$AH$3:$AI$53</definedName>
    <definedName name="_Key1" localSheetId="19" hidden="1">'[2]#REF'!#REF!</definedName>
    <definedName name="_Key1" localSheetId="18" hidden="1">'[2]#REF'!#REF!</definedName>
    <definedName name="_Key1" localSheetId="5" hidden="1">'[2]#REF'!#REF!</definedName>
    <definedName name="_Key1" localSheetId="9" hidden="1">'[2]#REF'!#REF!</definedName>
    <definedName name="_Key1" hidden="1">'[2]#REF'!#REF!</definedName>
    <definedName name="_net1" localSheetId="11" hidden="1">{"NET",#N/A,FALSE,"401C11"}</definedName>
    <definedName name="_net1" hidden="1">{"NET",#N/A,FALSE,"401C11"}</definedName>
    <definedName name="_Order1" hidden="1">0</definedName>
    <definedName name="_Sort" localSheetId="19" hidden="1">[2]ComPsy!#REF!</definedName>
    <definedName name="_Sort" localSheetId="18" hidden="1">[2]ComPsy!#REF!</definedName>
    <definedName name="_Sort" localSheetId="5" hidden="1">[2]ComPsy!#REF!</definedName>
    <definedName name="_Sort" localSheetId="9" hidden="1">[2]ComPsy!#REF!</definedName>
    <definedName name="_Sort" hidden="1">[2]ComPsy!#REF!</definedName>
    <definedName name="a" localSheetId="11" hidden="1">{"CHARGE",#N/A,FALSE,"401C11"}</definedName>
    <definedName name="a" hidden="1">{"CHARGE",#N/A,FALSE,"401C11"}</definedName>
    <definedName name="aa" localSheetId="11" hidden="1">{"CHARGE",#N/A,FALSE,"401C11"}</definedName>
    <definedName name="aa" hidden="1">{"CHARGE",#N/A,FALSE,"401C11"}</definedName>
    <definedName name="aaa" localSheetId="11" hidden="1">{"CHARGE",#N/A,FALSE,"401C11"}</definedName>
    <definedName name="aaa" hidden="1">{"CHARGE",#N/A,FALSE,"401C11"}</definedName>
    <definedName name="aaaa" localSheetId="11" hidden="1">{"CHARGE",#N/A,FALSE,"401C11"}</definedName>
    <definedName name="aaaa" hidden="1">{"CHARGE",#N/A,FALSE,"401C11"}</definedName>
    <definedName name="adbr" localSheetId="11" hidden="1">{"CHARGE",#N/A,FALSE,"401C11"}</definedName>
    <definedName name="adbr" hidden="1">{"CHARGE",#N/A,FALSE,"401C11"}</definedName>
    <definedName name="AKI_Tariff_Calc">'AKI_Calc '!$B$14:$P$16</definedName>
    <definedName name="b" localSheetId="11" hidden="1">{"CHARGE",#N/A,FALSE,"401C11"}</definedName>
    <definedName name="b" hidden="1">{"CHARGE",#N/A,FALSE,"401C11"}</definedName>
    <definedName name="BMGHIndex" hidden="1">"O"</definedName>
    <definedName name="change1" localSheetId="11" hidden="1">{"CHARGE",#N/A,FALSE,"401C11"}</definedName>
    <definedName name="change1" hidden="1">{"CHARGE",#N/A,FALSE,"401C11"}</definedName>
    <definedName name="charge" localSheetId="11" hidden="1">{"CHARGE",#N/A,FALSE,"401C11"}</definedName>
    <definedName name="charge" hidden="1">{"CHARGE",#N/A,FALSE,"401C11"}</definedName>
    <definedName name="Chem_Tariff_Calc">Chem_Calc!$B$15:$T$20</definedName>
    <definedName name="DI_Cost_of_Rep_Calc">DI_Calc!$B$60:$S$102</definedName>
    <definedName name="DI_Tariff_Calc">DI_Calc!$B$14:$Q$57</definedName>
    <definedName name="dog" localSheetId="11" hidden="1">{"NET",#N/A,FALSE,"401C11"}</definedName>
    <definedName name="dog" hidden="1">{"NET",#N/A,FALSE,"401C11"}</definedName>
    <definedName name="Efficiency_2016_17">'Price Adjustments'!$F$5</definedName>
    <definedName name="EV__LASTREFTIME__" hidden="1">40339.4799074074</definedName>
    <definedName name="Expired" hidden="1">FALSE</definedName>
    <definedName name="gfff" localSheetId="11" hidden="1">{"CHARGE",#N/A,FALSE,"401C11"}</definedName>
    <definedName name="gfff" hidden="1">{"CHARGE",#N/A,FALSE,"401C11"}</definedName>
    <definedName name="gross" localSheetId="11" hidden="1">{"GROSS",#N/A,FALSE,"401C11"}</definedName>
    <definedName name="gross" hidden="1">{"GROSS",#N/A,FALSE,"401C11"}</definedName>
    <definedName name="gross1" localSheetId="11" hidden="1">{"GROSS",#N/A,FALSE,"401C11"}</definedName>
    <definedName name="gross1" hidden="1">{"GROSS",#N/A,FALSE,"401C11"}</definedName>
    <definedName name="hasdfjklhklj" localSheetId="11" hidden="1">{"NET",#N/A,FALSE,"401C11"}</definedName>
    <definedName name="hasdfjklhklj" hidden="1">{"NET",#N/A,FALSE,"401C11"}</definedName>
    <definedName name="help" localSheetId="11" hidden="1">{"CHARGE",#N/A,FALSE,"401C11"}</definedName>
    <definedName name="help" hidden="1">{"CHARGE",#N/A,FALSE,"401C11"}</definedName>
    <definedName name="hghghhj" localSheetId="11" hidden="1">{"CHARGE",#N/A,FALSE,"401C11"}</definedName>
    <definedName name="hghghhj" hidden="1">{"CHARGE",#N/A,FALSE,"401C11"}</definedName>
    <definedName name="HTML_CodePage" hidden="1">1252</definedName>
    <definedName name="HTML_Control" localSheetId="11"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nflation_2016_17">'Price Adjustments'!$F$4</definedName>
    <definedName name="Inflation_Efficiency_2016_17">'Price Adjustments'!$F$6</definedName>
    <definedName name="JFELL" localSheetId="19" hidden="1">#REF!</definedName>
    <definedName name="JFELL" localSheetId="18" hidden="1">#REF!</definedName>
    <definedName name="JFELL" localSheetId="5" hidden="1">#REF!</definedName>
    <definedName name="JFELL" localSheetId="9" hidden="1">#REF!</definedName>
    <definedName name="JFELL" hidden="1">#REF!</definedName>
    <definedName name="OISIII" localSheetId="19" hidden="1">#REF!</definedName>
    <definedName name="OISIII" localSheetId="18" hidden="1">#REF!</definedName>
    <definedName name="OISIII" localSheetId="5" hidden="1">#REF!</definedName>
    <definedName name="OISIII" localSheetId="9" hidden="1">#REF!</definedName>
    <definedName name="OISIII" hidden="1">#REF!</definedName>
    <definedName name="_xlnm.Print_Area" localSheetId="11">'2015-16 Tariff'!$A$1:$D$93</definedName>
    <definedName name="_xlnm.Print_Area" localSheetId="2">'Linked Sheet'!$A$1:$F$91</definedName>
    <definedName name="QR1_Unbundled">'Price Adjustments'!$D$92</definedName>
    <definedName name="Rad_Tariff_Calc">Rad_Calc!$B$20:$W$41</definedName>
    <definedName name="rytry" localSheetId="11" hidden="1">{"NET",#N/A,FALSE,"401C11"}</definedName>
    <definedName name="rytry" hidden="1">{"NET",#N/A,FALSE,"401C11"}</definedName>
    <definedName name="Scaling_AKI">'Manual adjustments'!$G$6</definedName>
    <definedName name="Scaling_Chemo">'Manual adjustments'!$E$6</definedName>
    <definedName name="Scaling_DI">'Manual adjustments'!$D$6</definedName>
    <definedName name="Scaling_Radio">'Manual adjustments'!$F$6</definedName>
    <definedName name="Table3.4" localSheetId="11" hidden="1">{"CHARGE",#N/A,FALSE,"401C11"}</definedName>
    <definedName name="Table3.4" hidden="1">{"CHARGE",#N/A,FALSE,"401C11"}</definedName>
    <definedName name="Tariff_CHEMO_1617">'Linked Sheet'!$B$59:$D$65</definedName>
    <definedName name="Tariff_Diagim_1617">'Linked Sheet'!$B$13:$E$55</definedName>
    <definedName name="Tariff_RADIO_1617">'Linked Sheet'!$B$70:$D$91</definedName>
    <definedName name="Unbundled_2015_16_Tariff">'2015-16 Tariff'!$A$13:$D$98</definedName>
    <definedName name="wert" localSheetId="11" hidden="1">{"GROSS",#N/A,FALSE,"401C11"}</definedName>
    <definedName name="wert" hidden="1">{"GROSS",#N/A,FALSE,"401C11"}</definedName>
    <definedName name="wombat" localSheetId="19" hidden="1">#REF!</definedName>
    <definedName name="wombat" localSheetId="18" hidden="1">#REF!</definedName>
    <definedName name="wombat" localSheetId="5" hidden="1">#REF!</definedName>
    <definedName name="wombat" localSheetId="9" hidden="1">#REF!</definedName>
    <definedName name="wombat" hidden="1">#REF!</definedName>
    <definedName name="wrn.CHARGE." localSheetId="11" hidden="1">{"CHARGE",#N/A,FALSE,"401C11"}</definedName>
    <definedName name="wrn.CHARGE." hidden="1">{"CHARGE",#N/A,FALSE,"401C11"}</definedName>
    <definedName name="wrn.GROSS." localSheetId="11" hidden="1">{"GROSS",#N/A,FALSE,"401C11"}</definedName>
    <definedName name="wrn.GROSS." hidden="1">{"GROSS",#N/A,FALSE,"401C11"}</definedName>
    <definedName name="wrn.NET." localSheetId="11" hidden="1">{"NET",#N/A,FALSE,"401C11"}</definedName>
    <definedName name="wrn.NET." hidden="1">{"NET",#N/A,FALSE,"401C11"}</definedName>
    <definedName name="xxx" localSheetId="11" hidden="1">{"CHARGE",#N/A,FALSE,"401C11"}</definedName>
    <definedName name="xxx" hidden="1">{"CHARGE",#N/A,FALSE,"401C11"}</definedName>
    <definedName name="yyy" localSheetId="11" hidden="1">{"GROSS",#N/A,FALSE,"401C11"}</definedName>
    <definedName name="yyy" hidden="1">{"GROSS",#N/A,FALSE,"401C11"}</definedName>
    <definedName name="zzz" localSheetId="11" hidden="1">{"NET",#N/A,FALSE,"401C11"}</definedName>
    <definedName name="zzz" hidden="1">{"NET",#N/A,FALSE,"401C11"}</definedName>
  </definedNames>
  <calcPr calcId="145621"/>
</workbook>
</file>

<file path=xl/calcChain.xml><?xml version="1.0" encoding="utf-8"?>
<calcChain xmlns="http://schemas.openxmlformats.org/spreadsheetml/2006/main">
  <c r="T107" i="60" l="1"/>
  <c r="T57" i="60"/>
  <c r="D107" i="60" l="1"/>
  <c r="D106" i="60"/>
  <c r="D98" i="60"/>
  <c r="D97" i="60"/>
  <c r="D96" i="60"/>
  <c r="D95" i="60"/>
  <c r="D94" i="60"/>
  <c r="D93" i="60"/>
  <c r="D92" i="60"/>
  <c r="D91" i="60"/>
  <c r="D90" i="60"/>
  <c r="D89" i="60"/>
  <c r="D88" i="60"/>
  <c r="D87" i="60"/>
  <c r="D86" i="60"/>
  <c r="D85" i="60"/>
  <c r="D84" i="60"/>
  <c r="D83" i="60"/>
  <c r="D82" i="60"/>
  <c r="D81" i="60"/>
  <c r="D80" i="60"/>
  <c r="D79" i="60"/>
  <c r="D78" i="60"/>
  <c r="D70" i="60"/>
  <c r="D69" i="60"/>
  <c r="D68" i="60"/>
  <c r="D67" i="60"/>
  <c r="D66" i="60"/>
  <c r="D65" i="60"/>
  <c r="E57" i="60"/>
  <c r="D57" i="60"/>
  <c r="E56" i="60"/>
  <c r="D56" i="60"/>
  <c r="E55" i="60"/>
  <c r="D55" i="60"/>
  <c r="E54" i="60"/>
  <c r="D54" i="60"/>
  <c r="E53" i="60"/>
  <c r="D53" i="60"/>
  <c r="E52" i="60"/>
  <c r="D52" i="60"/>
  <c r="E51" i="60"/>
  <c r="D51" i="60"/>
  <c r="E50" i="60"/>
  <c r="D50" i="60"/>
  <c r="E49" i="60"/>
  <c r="D49" i="60"/>
  <c r="E48" i="60"/>
  <c r="D48" i="60"/>
  <c r="E47" i="60"/>
  <c r="D47" i="60"/>
  <c r="E46" i="60"/>
  <c r="D46" i="60"/>
  <c r="E45" i="60"/>
  <c r="D45" i="60"/>
  <c r="E44" i="60"/>
  <c r="D44" i="60"/>
  <c r="E43" i="60"/>
  <c r="D43" i="60"/>
  <c r="E42" i="60"/>
  <c r="D42" i="60"/>
  <c r="E41" i="60"/>
  <c r="D41" i="60"/>
  <c r="E40" i="60"/>
  <c r="D40" i="60"/>
  <c r="E39" i="60"/>
  <c r="D39" i="60"/>
  <c r="E38" i="60"/>
  <c r="D38" i="60"/>
  <c r="E37" i="60"/>
  <c r="D37" i="60"/>
  <c r="E36" i="60"/>
  <c r="D36" i="60"/>
  <c r="E35" i="60"/>
  <c r="D35" i="60"/>
  <c r="E34" i="60"/>
  <c r="D34" i="60"/>
  <c r="E33" i="60"/>
  <c r="D33" i="60"/>
  <c r="E32" i="60"/>
  <c r="D32" i="60"/>
  <c r="E31" i="60"/>
  <c r="D31" i="60"/>
  <c r="E30" i="60"/>
  <c r="D30" i="60"/>
  <c r="E29" i="60"/>
  <c r="D29" i="60"/>
  <c r="E28" i="60"/>
  <c r="D28" i="60"/>
  <c r="E27" i="60"/>
  <c r="D27" i="60"/>
  <c r="E26" i="60"/>
  <c r="D26" i="60"/>
  <c r="E25" i="60"/>
  <c r="D25" i="60"/>
  <c r="E24" i="60"/>
  <c r="D24" i="60"/>
  <c r="E23" i="60"/>
  <c r="D23" i="60"/>
  <c r="E22" i="60"/>
  <c r="D22" i="60"/>
  <c r="E21" i="60"/>
  <c r="D21" i="60"/>
  <c r="E20" i="60"/>
  <c r="D20" i="60"/>
  <c r="E19" i="60"/>
  <c r="D19" i="60"/>
  <c r="E18" i="60"/>
  <c r="D18" i="60"/>
  <c r="E17" i="60"/>
  <c r="D17" i="60"/>
  <c r="E16" i="60"/>
  <c r="D16" i="60"/>
  <c r="E15" i="60"/>
  <c r="D15" i="60"/>
  <c r="D12" i="8" l="1"/>
  <c r="E12" i="8" s="1"/>
  <c r="F12" i="8" s="1"/>
  <c r="G12" i="8" s="1"/>
  <c r="H12" i="8" s="1"/>
  <c r="I12" i="8" s="1"/>
  <c r="J12" i="8" s="1"/>
  <c r="K12" i="8" s="1"/>
  <c r="L12" i="8" s="1"/>
  <c r="M12" i="8" s="1"/>
  <c r="N12" i="8" s="1"/>
  <c r="O12" i="8" s="1"/>
  <c r="P12" i="8" s="1"/>
  <c r="Q12" i="8" s="1"/>
  <c r="R12" i="8" s="1"/>
  <c r="S12" i="8" s="1"/>
  <c r="T12" i="8" s="1"/>
  <c r="C12" i="8"/>
  <c r="B26" i="41" l="1"/>
  <c r="B25" i="41"/>
  <c r="B24" i="41"/>
  <c r="B23" i="41"/>
  <c r="B22" i="41"/>
  <c r="B21" i="41"/>
  <c r="B20" i="41"/>
  <c r="B19" i="41"/>
  <c r="B18" i="41"/>
  <c r="B17" i="41"/>
  <c r="B16" i="41"/>
  <c r="B15" i="41"/>
  <c r="B14" i="41"/>
  <c r="B13" i="41"/>
  <c r="B12" i="41"/>
  <c r="B11" i="41"/>
  <c r="B10" i="41"/>
  <c r="B9" i="41"/>
  <c r="B8" i="41"/>
  <c r="B7" i="41"/>
  <c r="B6" i="41"/>
  <c r="B5" i="41"/>
  <c r="B4" i="41"/>
  <c r="D18" i="35" l="1"/>
  <c r="E18" i="35" s="1"/>
  <c r="F18" i="35" s="1"/>
  <c r="G18" i="35" s="1"/>
  <c r="H18" i="35" s="1"/>
  <c r="I18" i="35" s="1"/>
  <c r="J18" i="35" s="1"/>
  <c r="K18" i="35" s="1"/>
  <c r="L18" i="35" s="1"/>
  <c r="M18" i="35" s="1"/>
  <c r="N18" i="35" s="1"/>
  <c r="O18" i="35" s="1"/>
  <c r="P18" i="35" s="1"/>
  <c r="Q18" i="35" s="1"/>
  <c r="R18" i="35" s="1"/>
  <c r="S18" i="35" s="1"/>
  <c r="T18" i="35" s="1"/>
  <c r="U18" i="35" s="1"/>
  <c r="V18" i="35" s="1"/>
  <c r="W18" i="35" s="1"/>
  <c r="C18" i="35"/>
  <c r="I41" i="35" l="1"/>
  <c r="I26" i="35"/>
  <c r="J55" i="60" l="1"/>
  <c r="J54" i="60"/>
  <c r="J52" i="60"/>
  <c r="J49" i="60"/>
  <c r="J40" i="60"/>
  <c r="J39" i="60"/>
  <c r="J37" i="60"/>
  <c r="J36" i="60"/>
  <c r="J35" i="60"/>
  <c r="J34" i="60"/>
  <c r="J33" i="60"/>
  <c r="J32" i="60"/>
  <c r="J31" i="60"/>
  <c r="J30" i="60"/>
  <c r="J29" i="60"/>
  <c r="J28" i="60"/>
  <c r="J27" i="60"/>
  <c r="J24" i="60"/>
  <c r="J23" i="60"/>
  <c r="J22" i="60"/>
  <c r="J21" i="60"/>
  <c r="J20" i="60"/>
  <c r="J19" i="60"/>
  <c r="J18" i="60"/>
  <c r="J17" i="60"/>
  <c r="J16" i="60"/>
  <c r="J53" i="60"/>
  <c r="I57" i="60" l="1"/>
  <c r="Z1" i="65"/>
  <c r="AA1" i="65" s="1"/>
  <c r="AB1" i="65" s="1"/>
  <c r="AC1" i="65" s="1"/>
  <c r="AD1" i="65" s="1"/>
  <c r="AE1" i="65" s="1"/>
  <c r="AF1" i="65" s="1"/>
  <c r="AG1" i="65" s="1"/>
  <c r="AH1" i="65" s="1"/>
  <c r="G12" i="62" l="1"/>
  <c r="F12" i="62"/>
  <c r="E12" i="62"/>
  <c r="D12" i="62"/>
  <c r="G8" i="18"/>
  <c r="H8" i="18"/>
  <c r="F8" i="18"/>
  <c r="E8" i="18"/>
  <c r="G56" i="60" l="1"/>
  <c r="S56" i="60" s="1"/>
  <c r="E56" i="31"/>
  <c r="D56" i="31"/>
  <c r="I56" i="60" s="1"/>
  <c r="AI3" i="65"/>
  <c r="G56" i="31" l="1"/>
  <c r="W53" i="65"/>
  <c r="H5" i="65"/>
  <c r="H4" i="65"/>
  <c r="H6" i="65" l="1"/>
  <c r="B71" i="65"/>
  <c r="M71" i="65" s="1"/>
  <c r="A71" i="65"/>
  <c r="K71" i="65" s="1"/>
  <c r="L71" i="65" s="1"/>
  <c r="O71" i="65" s="1"/>
  <c r="B70" i="65"/>
  <c r="M70" i="65" s="1"/>
  <c r="A70" i="65"/>
  <c r="K70" i="65" s="1"/>
  <c r="L70" i="65" s="1"/>
  <c r="O70" i="65" s="1"/>
  <c r="B69" i="65"/>
  <c r="M69" i="65" s="1"/>
  <c r="A69" i="65"/>
  <c r="K69" i="65" s="1"/>
  <c r="L69" i="65" s="1"/>
  <c r="O69" i="65" s="1"/>
  <c r="B68" i="65"/>
  <c r="M68" i="65" s="1"/>
  <c r="A68" i="65"/>
  <c r="K68" i="65" s="1"/>
  <c r="L68" i="65" s="1"/>
  <c r="O68" i="65" s="1"/>
  <c r="B67" i="65"/>
  <c r="M67" i="65" s="1"/>
  <c r="A67" i="65"/>
  <c r="K67" i="65" s="1"/>
  <c r="L67" i="65" s="1"/>
  <c r="O67" i="65" s="1"/>
  <c r="B66" i="65"/>
  <c r="M66" i="65" s="1"/>
  <c r="A66" i="65"/>
  <c r="K66" i="65" s="1"/>
  <c r="L66" i="65" s="1"/>
  <c r="O66" i="65" s="1"/>
  <c r="B65" i="65"/>
  <c r="M65" i="65" s="1"/>
  <c r="A65" i="65"/>
  <c r="K65" i="65" s="1"/>
  <c r="L65" i="65" s="1"/>
  <c r="O65" i="65" s="1"/>
  <c r="B64" i="65"/>
  <c r="M64" i="65" s="1"/>
  <c r="A64" i="65"/>
  <c r="J64" i="65" s="1"/>
  <c r="B63" i="65"/>
  <c r="M63" i="65" s="1"/>
  <c r="A63" i="65"/>
  <c r="K63" i="65" s="1"/>
  <c r="L63" i="65" s="1"/>
  <c r="O63" i="65" s="1"/>
  <c r="B62" i="65"/>
  <c r="M62" i="65" s="1"/>
  <c r="A62" i="65"/>
  <c r="K62" i="65" s="1"/>
  <c r="L62" i="65" s="1"/>
  <c r="O62" i="65" s="1"/>
  <c r="B61" i="65"/>
  <c r="M61" i="65" s="1"/>
  <c r="A61" i="65"/>
  <c r="J61" i="65" s="1"/>
  <c r="B60" i="65"/>
  <c r="M60" i="65" s="1"/>
  <c r="A60" i="65"/>
  <c r="K60" i="65" s="1"/>
  <c r="L60" i="65" s="1"/>
  <c r="O60" i="65" s="1"/>
  <c r="B59" i="65"/>
  <c r="M59" i="65" s="1"/>
  <c r="A59" i="65"/>
  <c r="K59" i="65" s="1"/>
  <c r="L59" i="65" s="1"/>
  <c r="O59" i="65" s="1"/>
  <c r="B58" i="65"/>
  <c r="M58" i="65" s="1"/>
  <c r="A58" i="65"/>
  <c r="K58" i="65" s="1"/>
  <c r="L58" i="65" s="1"/>
  <c r="O58" i="65" s="1"/>
  <c r="B57" i="65"/>
  <c r="M57" i="65" s="1"/>
  <c r="A57" i="65"/>
  <c r="K57" i="65" s="1"/>
  <c r="L57" i="65" s="1"/>
  <c r="O57" i="65" s="1"/>
  <c r="B56" i="65"/>
  <c r="M56" i="65" s="1"/>
  <c r="A56" i="65"/>
  <c r="K56" i="65" s="1"/>
  <c r="L56" i="65" s="1"/>
  <c r="O56" i="65" s="1"/>
  <c r="B55" i="65"/>
  <c r="M55" i="65" s="1"/>
  <c r="A55" i="65"/>
  <c r="K55" i="65" s="1"/>
  <c r="L55" i="65" s="1"/>
  <c r="O55" i="65" s="1"/>
  <c r="B54" i="65"/>
  <c r="M54" i="65" s="1"/>
  <c r="A54" i="65"/>
  <c r="K54" i="65" s="1"/>
  <c r="L54" i="65" s="1"/>
  <c r="O54" i="65" s="1"/>
  <c r="B53" i="65"/>
  <c r="M53" i="65" s="1"/>
  <c r="A53" i="65"/>
  <c r="K53" i="65" s="1"/>
  <c r="L53" i="65" s="1"/>
  <c r="O53" i="65" s="1"/>
  <c r="B52" i="65"/>
  <c r="M52" i="65" s="1"/>
  <c r="A52" i="65"/>
  <c r="K52" i="65" s="1"/>
  <c r="L52" i="65" s="1"/>
  <c r="O52" i="65" s="1"/>
  <c r="B51" i="65"/>
  <c r="M51" i="65" s="1"/>
  <c r="A51" i="65"/>
  <c r="K51" i="65" s="1"/>
  <c r="L51" i="65" s="1"/>
  <c r="O51" i="65" s="1"/>
  <c r="B50" i="65"/>
  <c r="M50" i="65" s="1"/>
  <c r="A50" i="65"/>
  <c r="K50" i="65" s="1"/>
  <c r="L50" i="65" s="1"/>
  <c r="O50" i="65" s="1"/>
  <c r="B49" i="65"/>
  <c r="M49" i="65" s="1"/>
  <c r="A49" i="65"/>
  <c r="K49" i="65" s="1"/>
  <c r="L49" i="65" s="1"/>
  <c r="O49" i="65" s="1"/>
  <c r="B48" i="65"/>
  <c r="M48" i="65" s="1"/>
  <c r="A48" i="65"/>
  <c r="K48" i="65" s="1"/>
  <c r="L48" i="65" s="1"/>
  <c r="O48" i="65" s="1"/>
  <c r="B47" i="65"/>
  <c r="M47" i="65" s="1"/>
  <c r="A47" i="65"/>
  <c r="K47" i="65" s="1"/>
  <c r="L47" i="65" s="1"/>
  <c r="O47" i="65" s="1"/>
  <c r="B46" i="65"/>
  <c r="M46" i="65" s="1"/>
  <c r="A46" i="65"/>
  <c r="J46" i="65" s="1"/>
  <c r="B45" i="65"/>
  <c r="M45" i="65" s="1"/>
  <c r="A45" i="65"/>
  <c r="K45" i="65" s="1"/>
  <c r="L45" i="65" s="1"/>
  <c r="O45" i="65" s="1"/>
  <c r="B44" i="65"/>
  <c r="M44" i="65" s="1"/>
  <c r="A44" i="65"/>
  <c r="K44" i="65" s="1"/>
  <c r="L44" i="65" s="1"/>
  <c r="O44" i="65" s="1"/>
  <c r="B43" i="65"/>
  <c r="M43" i="65" s="1"/>
  <c r="A43" i="65"/>
  <c r="J43" i="65" s="1"/>
  <c r="B42" i="65"/>
  <c r="M42" i="65" s="1"/>
  <c r="A42" i="65"/>
  <c r="K42" i="65" s="1"/>
  <c r="L42" i="65" s="1"/>
  <c r="O42" i="65" s="1"/>
  <c r="B41" i="65"/>
  <c r="M41" i="65" s="1"/>
  <c r="A41" i="65"/>
  <c r="K41" i="65" s="1"/>
  <c r="L41" i="65" s="1"/>
  <c r="O41" i="65" s="1"/>
  <c r="B40" i="65"/>
  <c r="M40" i="65" s="1"/>
  <c r="A40" i="65"/>
  <c r="K40" i="65" s="1"/>
  <c r="L40" i="65" s="1"/>
  <c r="O40" i="65" s="1"/>
  <c r="B39" i="65"/>
  <c r="M39" i="65" s="1"/>
  <c r="A39" i="65"/>
  <c r="K39" i="65" s="1"/>
  <c r="L39" i="65" s="1"/>
  <c r="O39" i="65" s="1"/>
  <c r="B38" i="65"/>
  <c r="M38" i="65" s="1"/>
  <c r="A38" i="65"/>
  <c r="K38" i="65" s="1"/>
  <c r="L38" i="65" s="1"/>
  <c r="O38" i="65" s="1"/>
  <c r="B37" i="65"/>
  <c r="M37" i="65" s="1"/>
  <c r="A37" i="65"/>
  <c r="K37" i="65" s="1"/>
  <c r="L37" i="65" s="1"/>
  <c r="O37" i="65" s="1"/>
  <c r="B36" i="65"/>
  <c r="M36" i="65" s="1"/>
  <c r="A36" i="65"/>
  <c r="J36" i="65" s="1"/>
  <c r="B35" i="65"/>
  <c r="M35" i="65" s="1"/>
  <c r="A35" i="65"/>
  <c r="K35" i="65" s="1"/>
  <c r="L35" i="65" s="1"/>
  <c r="O35" i="65" s="1"/>
  <c r="B34" i="65"/>
  <c r="M34" i="65" s="1"/>
  <c r="A34" i="65"/>
  <c r="J34" i="65" s="1"/>
  <c r="B33" i="65"/>
  <c r="M33" i="65" s="1"/>
  <c r="A33" i="65"/>
  <c r="K33" i="65" s="1"/>
  <c r="L33" i="65" s="1"/>
  <c r="O33" i="65" s="1"/>
  <c r="B32" i="65"/>
  <c r="M32" i="65" s="1"/>
  <c r="A32" i="65"/>
  <c r="K32" i="65" s="1"/>
  <c r="L32" i="65" s="1"/>
  <c r="O32" i="65" s="1"/>
  <c r="B31" i="65"/>
  <c r="M31" i="65" s="1"/>
  <c r="A31" i="65"/>
  <c r="K31" i="65" s="1"/>
  <c r="L31" i="65" s="1"/>
  <c r="O31" i="65" s="1"/>
  <c r="B30" i="65"/>
  <c r="M30" i="65" s="1"/>
  <c r="A30" i="65"/>
  <c r="J30" i="65" s="1"/>
  <c r="B29" i="65"/>
  <c r="M29" i="65" s="1"/>
  <c r="A29" i="65"/>
  <c r="K29" i="65" s="1"/>
  <c r="L29" i="65" s="1"/>
  <c r="O29" i="65" s="1"/>
  <c r="B28" i="65"/>
  <c r="M28" i="65" s="1"/>
  <c r="A28" i="65"/>
  <c r="J28" i="65" s="1"/>
  <c r="B27" i="65"/>
  <c r="M27" i="65" s="1"/>
  <c r="A27" i="65"/>
  <c r="J27" i="65" s="1"/>
  <c r="B26" i="65"/>
  <c r="M26" i="65" s="1"/>
  <c r="A26" i="65"/>
  <c r="K26" i="65" s="1"/>
  <c r="L26" i="65" s="1"/>
  <c r="O26" i="65" s="1"/>
  <c r="B25" i="65"/>
  <c r="M25" i="65" s="1"/>
  <c r="A25" i="65"/>
  <c r="J25" i="65" s="1"/>
  <c r="B24" i="65"/>
  <c r="M24" i="65" s="1"/>
  <c r="A24" i="65"/>
  <c r="K24" i="65" s="1"/>
  <c r="L24" i="65" s="1"/>
  <c r="O24" i="65" s="1"/>
  <c r="B23" i="65"/>
  <c r="M23" i="65" s="1"/>
  <c r="A23" i="65"/>
  <c r="K23" i="65" s="1"/>
  <c r="L23" i="65" s="1"/>
  <c r="O23" i="65" s="1"/>
  <c r="B22" i="65"/>
  <c r="M22" i="65" s="1"/>
  <c r="A22" i="65"/>
  <c r="K22" i="65" s="1"/>
  <c r="L22" i="65" s="1"/>
  <c r="O22" i="65" s="1"/>
  <c r="B21" i="65"/>
  <c r="M21" i="65" s="1"/>
  <c r="A21" i="65"/>
  <c r="J21" i="65" s="1"/>
  <c r="B20" i="65"/>
  <c r="M20" i="65" s="1"/>
  <c r="A20" i="65"/>
  <c r="K20" i="65" s="1"/>
  <c r="L20" i="65" s="1"/>
  <c r="O20" i="65" s="1"/>
  <c r="B19" i="65"/>
  <c r="M19" i="65" s="1"/>
  <c r="A19" i="65"/>
  <c r="K19" i="65" s="1"/>
  <c r="L19" i="65" s="1"/>
  <c r="O19" i="65" s="1"/>
  <c r="B18" i="65"/>
  <c r="M18" i="65" s="1"/>
  <c r="A18" i="65"/>
  <c r="K18" i="65" s="1"/>
  <c r="L18" i="65" s="1"/>
  <c r="O18" i="65" s="1"/>
  <c r="B17" i="65"/>
  <c r="M17" i="65" s="1"/>
  <c r="A17" i="65"/>
  <c r="J17" i="65" s="1"/>
  <c r="B16" i="65"/>
  <c r="M16" i="65" s="1"/>
  <c r="A16" i="65"/>
  <c r="K16" i="65" s="1"/>
  <c r="L16" i="65" s="1"/>
  <c r="O16" i="65" s="1"/>
  <c r="B15" i="65"/>
  <c r="M15" i="65" s="1"/>
  <c r="A15" i="65"/>
  <c r="K15" i="65" s="1"/>
  <c r="L15" i="65" s="1"/>
  <c r="O15" i="65" s="1"/>
  <c r="B14" i="65"/>
  <c r="M14" i="65" s="1"/>
  <c r="A14" i="65"/>
  <c r="K14" i="65" s="1"/>
  <c r="L14" i="65" s="1"/>
  <c r="O14" i="65" s="1"/>
  <c r="B13" i="65"/>
  <c r="M13" i="65" s="1"/>
  <c r="A13" i="65"/>
  <c r="J13" i="65" s="1"/>
  <c r="B12" i="65"/>
  <c r="M12" i="65" s="1"/>
  <c r="A12" i="65"/>
  <c r="K12" i="65" s="1"/>
  <c r="L12" i="65" s="1"/>
  <c r="O12" i="65" s="1"/>
  <c r="B11" i="65"/>
  <c r="M11" i="65" s="1"/>
  <c r="A11" i="65"/>
  <c r="K11" i="65" s="1"/>
  <c r="L11" i="65" s="1"/>
  <c r="O11" i="65" s="1"/>
  <c r="B10" i="65"/>
  <c r="M10" i="65" s="1"/>
  <c r="A10" i="65"/>
  <c r="J10" i="65" s="1"/>
  <c r="B9" i="65"/>
  <c r="M9" i="65" s="1"/>
  <c r="A9" i="65"/>
  <c r="J9" i="65" s="1"/>
  <c r="B8" i="65"/>
  <c r="M8" i="65" s="1"/>
  <c r="A8" i="65"/>
  <c r="K8" i="65" s="1"/>
  <c r="L8" i="65" s="1"/>
  <c r="O8" i="65" s="1"/>
  <c r="B7" i="65"/>
  <c r="M7" i="65" s="1"/>
  <c r="A7" i="65"/>
  <c r="K7" i="65" s="1"/>
  <c r="L7" i="65" s="1"/>
  <c r="O7" i="65" s="1"/>
  <c r="B6" i="65"/>
  <c r="M6" i="65" s="1"/>
  <c r="A6" i="65"/>
  <c r="J6" i="65" s="1"/>
  <c r="B5" i="65"/>
  <c r="M5" i="65" s="1"/>
  <c r="A5" i="65"/>
  <c r="J5" i="65" s="1"/>
  <c r="A3" i="65"/>
  <c r="B4" i="65"/>
  <c r="M4" i="65" s="1"/>
  <c r="A4" i="65"/>
  <c r="K4" i="65" s="1"/>
  <c r="L4" i="65" s="1"/>
  <c r="C8" i="66"/>
  <c r="O4" i="65" l="1"/>
  <c r="M72" i="65"/>
  <c r="K10" i="65"/>
  <c r="L10" i="65" s="1"/>
  <c r="O10" i="65" s="1"/>
  <c r="P10" i="65" s="1"/>
  <c r="R10" i="65" s="1"/>
  <c r="J29" i="65"/>
  <c r="K17" i="65"/>
  <c r="L17" i="65" s="1"/>
  <c r="O17" i="65" s="1"/>
  <c r="P17" i="65" s="1"/>
  <c r="R17" i="65" s="1"/>
  <c r="J58" i="65"/>
  <c r="J65" i="65"/>
  <c r="K9" i="65"/>
  <c r="L9" i="65" s="1"/>
  <c r="O9" i="65" s="1"/>
  <c r="J40" i="65"/>
  <c r="K28" i="65"/>
  <c r="L28" i="65" s="1"/>
  <c r="O28" i="65" s="1"/>
  <c r="P28" i="65" s="1"/>
  <c r="R28" i="65" s="1"/>
  <c r="K21" i="65"/>
  <c r="L21" i="65" s="1"/>
  <c r="O21" i="65" s="1"/>
  <c r="P21" i="65" s="1"/>
  <c r="R21" i="65" s="1"/>
  <c r="J69" i="65"/>
  <c r="J22" i="65"/>
  <c r="J33" i="65"/>
  <c r="J44" i="65"/>
  <c r="K13" i="65"/>
  <c r="L13" i="65" s="1"/>
  <c r="O13" i="65" s="1"/>
  <c r="P13" i="65" s="1"/>
  <c r="R13" i="65" s="1"/>
  <c r="K46" i="65"/>
  <c r="L46" i="65" s="1"/>
  <c r="O46" i="65" s="1"/>
  <c r="K43" i="65"/>
  <c r="L43" i="65" s="1"/>
  <c r="O43" i="65" s="1"/>
  <c r="K34" i="65"/>
  <c r="L34" i="65" s="1"/>
  <c r="O34" i="65" s="1"/>
  <c r="J47" i="65"/>
  <c r="K61" i="65"/>
  <c r="L61" i="65" s="1"/>
  <c r="O61" i="65" s="1"/>
  <c r="J14" i="65"/>
  <c r="K5" i="65"/>
  <c r="L5" i="65" s="1"/>
  <c r="O5" i="65" s="1"/>
  <c r="K25" i="65"/>
  <c r="L25" i="65" s="1"/>
  <c r="O25" i="65" s="1"/>
  <c r="J39" i="65"/>
  <c r="J62" i="65"/>
  <c r="K64" i="65"/>
  <c r="L64" i="65" s="1"/>
  <c r="O64" i="65" s="1"/>
  <c r="J26" i="65"/>
  <c r="J51" i="65"/>
  <c r="J54" i="65"/>
  <c r="J32" i="65"/>
  <c r="J50" i="65"/>
  <c r="J57" i="65"/>
  <c r="J68" i="65"/>
  <c r="B72" i="65"/>
  <c r="K36" i="65"/>
  <c r="L36" i="65" s="1"/>
  <c r="O36" i="65" s="1"/>
  <c r="J37" i="65"/>
  <c r="J55" i="65"/>
  <c r="J41" i="65"/>
  <c r="J48" i="65"/>
  <c r="J59" i="65"/>
  <c r="J66" i="65"/>
  <c r="K6" i="65"/>
  <c r="L6" i="65" s="1"/>
  <c r="O6" i="65" s="1"/>
  <c r="J7" i="65"/>
  <c r="J11" i="65"/>
  <c r="J15" i="65"/>
  <c r="J19" i="65"/>
  <c r="J23" i="65"/>
  <c r="K30" i="65"/>
  <c r="L30" i="65" s="1"/>
  <c r="O30" i="65" s="1"/>
  <c r="J52" i="65"/>
  <c r="J70" i="65"/>
  <c r="J38" i="65"/>
  <c r="J45" i="65"/>
  <c r="J56" i="65"/>
  <c r="J63" i="65"/>
  <c r="J18" i="65"/>
  <c r="K27" i="65"/>
  <c r="L27" i="65" s="1"/>
  <c r="O27" i="65" s="1"/>
  <c r="J31" i="65"/>
  <c r="J49" i="65"/>
  <c r="J67" i="65"/>
  <c r="J8" i="65"/>
  <c r="J12" i="65"/>
  <c r="J16" i="65"/>
  <c r="J20" i="65"/>
  <c r="J24" i="65"/>
  <c r="J35" i="65"/>
  <c r="J42" i="65"/>
  <c r="J53" i="65"/>
  <c r="J60" i="65"/>
  <c r="J71" i="65"/>
  <c r="J4" i="65"/>
  <c r="E4" i="65" l="1"/>
  <c r="E8" i="65"/>
  <c r="E12" i="65"/>
  <c r="E16" i="65"/>
  <c r="E20" i="65"/>
  <c r="E24" i="65"/>
  <c r="E28" i="65"/>
  <c r="E32" i="65"/>
  <c r="E36" i="65"/>
  <c r="E40" i="65"/>
  <c r="E44" i="65"/>
  <c r="E48" i="65"/>
  <c r="E52" i="65"/>
  <c r="N70" i="65" s="1"/>
  <c r="E9" i="65"/>
  <c r="E17" i="65"/>
  <c r="E25" i="65"/>
  <c r="E33" i="65"/>
  <c r="E41" i="65"/>
  <c r="E49" i="65"/>
  <c r="N67" i="65" s="1"/>
  <c r="E6" i="65"/>
  <c r="E10" i="65"/>
  <c r="E14" i="65"/>
  <c r="E18" i="65"/>
  <c r="E22" i="65"/>
  <c r="E26" i="65"/>
  <c r="E30" i="65"/>
  <c r="E34" i="65"/>
  <c r="E38" i="65"/>
  <c r="E42" i="65"/>
  <c r="E46" i="65"/>
  <c r="E50" i="65"/>
  <c r="E7" i="65"/>
  <c r="E11" i="65"/>
  <c r="E15" i="65"/>
  <c r="E19" i="65"/>
  <c r="E23" i="65"/>
  <c r="E27" i="65"/>
  <c r="E31" i="65"/>
  <c r="E35" i="65"/>
  <c r="E39" i="65"/>
  <c r="E43" i="65"/>
  <c r="E47" i="65"/>
  <c r="E51" i="65"/>
  <c r="N69" i="65" s="1"/>
  <c r="E5" i="65"/>
  <c r="E13" i="65"/>
  <c r="E21" i="65"/>
  <c r="E29" i="65"/>
  <c r="E37" i="65"/>
  <c r="E45" i="65"/>
  <c r="E53" i="65"/>
  <c r="N71" i="65" s="1"/>
  <c r="P53" i="65"/>
  <c r="R53" i="65" s="1"/>
  <c r="P12" i="65"/>
  <c r="R12" i="65" s="1"/>
  <c r="P31" i="65"/>
  <c r="R31" i="65" s="1"/>
  <c r="P56" i="65"/>
  <c r="R56" i="65" s="1"/>
  <c r="P15" i="65"/>
  <c r="R15" i="65" s="1"/>
  <c r="P55" i="65"/>
  <c r="R55" i="65" s="1"/>
  <c r="P54" i="65"/>
  <c r="R54" i="65" s="1"/>
  <c r="P60" i="65"/>
  <c r="R60" i="65" s="1"/>
  <c r="P24" i="65"/>
  <c r="R24" i="65" s="1"/>
  <c r="P8" i="65"/>
  <c r="R8" i="65" s="1"/>
  <c r="P45" i="65"/>
  <c r="R45" i="65" s="1"/>
  <c r="P11" i="65"/>
  <c r="R11" i="65" s="1"/>
  <c r="P59" i="65"/>
  <c r="R59" i="65" s="1"/>
  <c r="P57" i="65"/>
  <c r="R57" i="65" s="1"/>
  <c r="P51" i="65"/>
  <c r="R51" i="65" s="1"/>
  <c r="P39" i="65"/>
  <c r="R39" i="65" s="1"/>
  <c r="P22" i="65"/>
  <c r="R22" i="65" s="1"/>
  <c r="P67" i="65"/>
  <c r="R67" i="65" s="1"/>
  <c r="P18" i="65"/>
  <c r="R18" i="65" s="1"/>
  <c r="P38" i="65"/>
  <c r="R38" i="65" s="1"/>
  <c r="P23" i="65"/>
  <c r="R23" i="65" s="1"/>
  <c r="P7" i="65"/>
  <c r="R7" i="65" s="1"/>
  <c r="P48" i="65"/>
  <c r="R48" i="65" s="1"/>
  <c r="P50" i="65"/>
  <c r="R50" i="65" s="1"/>
  <c r="P26" i="65"/>
  <c r="R26" i="65" s="1"/>
  <c r="P47" i="65"/>
  <c r="R47" i="65" s="1"/>
  <c r="P69" i="65"/>
  <c r="R69" i="65" s="1"/>
  <c r="P29" i="65"/>
  <c r="R29" i="65" s="1"/>
  <c r="P20" i="65"/>
  <c r="R20" i="65" s="1"/>
  <c r="P42" i="65"/>
  <c r="R42" i="65" s="1"/>
  <c r="P49" i="65"/>
  <c r="R49" i="65" s="1"/>
  <c r="P70" i="65"/>
  <c r="R70" i="65" s="1"/>
  <c r="P19" i="65"/>
  <c r="R19" i="65" s="1"/>
  <c r="P41" i="65"/>
  <c r="R41" i="65" s="1"/>
  <c r="P32" i="65"/>
  <c r="R32" i="65" s="1"/>
  <c r="P44" i="65"/>
  <c r="R44" i="65" s="1"/>
  <c r="P65" i="65"/>
  <c r="R65" i="65" s="1"/>
  <c r="P16" i="65"/>
  <c r="R16" i="65" s="1"/>
  <c r="P63" i="65"/>
  <c r="R63" i="65" s="1"/>
  <c r="P35" i="65"/>
  <c r="R35" i="65" s="1"/>
  <c r="P66" i="65"/>
  <c r="R66" i="65" s="1"/>
  <c r="P68" i="65"/>
  <c r="R68" i="65" s="1"/>
  <c r="P62" i="65"/>
  <c r="R62" i="65" s="1"/>
  <c r="P14" i="65"/>
  <c r="R14" i="65" s="1"/>
  <c r="P33" i="65"/>
  <c r="R33" i="65" s="1"/>
  <c r="P58" i="65"/>
  <c r="R58" i="65" s="1"/>
  <c r="P4" i="65"/>
  <c r="R4" i="65" s="1"/>
  <c r="Q13" i="65"/>
  <c r="Q17" i="65"/>
  <c r="Q21" i="65"/>
  <c r="Q10" i="65"/>
  <c r="P36" i="65"/>
  <c r="R36" i="65" s="1"/>
  <c r="P6" i="65"/>
  <c r="R6" i="65" s="1"/>
  <c r="Q28" i="65"/>
  <c r="P9" i="65"/>
  <c r="R9" i="65" s="1"/>
  <c r="P61" i="65"/>
  <c r="R61" i="65" s="1"/>
  <c r="P5" i="65"/>
  <c r="R5" i="65" s="1"/>
  <c r="K1" i="65"/>
  <c r="L1" i="65" s="1"/>
  <c r="M1" i="65" s="1"/>
  <c r="N1" i="65" s="1"/>
  <c r="Q42" i="65" l="1"/>
  <c r="E54" i="65"/>
  <c r="Q41" i="65"/>
  <c r="Q26" i="65"/>
  <c r="Q47" i="65"/>
  <c r="Q67" i="65"/>
  <c r="Q59" i="65"/>
  <c r="Q31" i="65"/>
  <c r="Q63" i="65"/>
  <c r="Q19" i="65"/>
  <c r="Q18" i="65"/>
  <c r="Q62" i="65"/>
  <c r="Q29" i="65"/>
  <c r="Q69" i="65"/>
  <c r="Q54" i="65"/>
  <c r="Q32" i="65"/>
  <c r="Q51" i="65"/>
  <c r="Q65" i="65"/>
  <c r="Q55" i="65"/>
  <c r="Q49" i="65"/>
  <c r="Q48" i="65"/>
  <c r="Q53" i="65"/>
  <c r="Q45" i="65"/>
  <c r="Q33" i="65"/>
  <c r="Q15" i="65"/>
  <c r="Q23" i="65"/>
  <c r="Q22" i="65"/>
  <c r="Q24" i="65"/>
  <c r="Q66" i="65"/>
  <c r="Q12" i="65"/>
  <c r="Q7" i="65"/>
  <c r="Q20" i="65"/>
  <c r="Q39" i="65"/>
  <c r="Q11" i="65"/>
  <c r="Q60" i="65"/>
  <c r="Q68" i="65"/>
  <c r="Q56" i="65"/>
  <c r="Q16" i="65"/>
  <c r="Q58" i="65"/>
  <c r="Q57" i="65"/>
  <c r="Q8" i="65"/>
  <c r="Q35" i="65"/>
  <c r="Q44" i="65"/>
  <c r="Q50" i="65"/>
  <c r="Q38" i="65"/>
  <c r="Q70" i="65"/>
  <c r="Q14" i="65"/>
  <c r="O1" i="65"/>
  <c r="P1" i="65" s="1"/>
  <c r="Q1" i="65" s="1"/>
  <c r="R1" i="65" s="1"/>
  <c r="S1" i="65" s="1"/>
  <c r="T1" i="65" s="1"/>
  <c r="U1" i="65" s="1"/>
  <c r="V1" i="65" s="1"/>
  <c r="W1" i="65" s="1"/>
  <c r="X1" i="65" s="1"/>
  <c r="Y1" i="65" s="1"/>
  <c r="Q4" i="65"/>
  <c r="Q36" i="65"/>
  <c r="Q9" i="65"/>
  <c r="Q61" i="65"/>
  <c r="Q5" i="65"/>
  <c r="Q6" i="65"/>
  <c r="N68" i="65"/>
  <c r="Y55" i="65" l="1"/>
  <c r="U55" i="65"/>
  <c r="V55" i="65"/>
  <c r="AA55" i="65"/>
  <c r="P71" i="65"/>
  <c r="Q71" i="65" s="1"/>
  <c r="R71" i="65" s="1"/>
  <c r="U50" i="65"/>
  <c r="U44" i="65"/>
  <c r="U40" i="65"/>
  <c r="U36" i="65"/>
  <c r="U32" i="65"/>
  <c r="U30" i="65"/>
  <c r="U26" i="65"/>
  <c r="U22" i="65"/>
  <c r="U20" i="65"/>
  <c r="U16" i="65"/>
  <c r="U12" i="65"/>
  <c r="U51" i="65"/>
  <c r="U49" i="65"/>
  <c r="U47" i="65"/>
  <c r="U45" i="65"/>
  <c r="U43" i="65"/>
  <c r="U41" i="65"/>
  <c r="U39" i="65"/>
  <c r="U37" i="65"/>
  <c r="U35" i="65"/>
  <c r="U33" i="65"/>
  <c r="U31" i="65"/>
  <c r="U29" i="65"/>
  <c r="U27" i="65"/>
  <c r="U25" i="65"/>
  <c r="U23" i="65"/>
  <c r="U21" i="65"/>
  <c r="U19" i="65"/>
  <c r="U17" i="65"/>
  <c r="U15" i="65"/>
  <c r="U13" i="65"/>
  <c r="U11" i="65"/>
  <c r="U9" i="65"/>
  <c r="U7" i="65"/>
  <c r="U5" i="65"/>
  <c r="U52" i="65"/>
  <c r="U48" i="65"/>
  <c r="U46" i="65"/>
  <c r="U42" i="65"/>
  <c r="U38" i="65"/>
  <c r="U34" i="65"/>
  <c r="U28" i="65"/>
  <c r="U24" i="65"/>
  <c r="U18" i="65"/>
  <c r="U14" i="65"/>
  <c r="U10" i="65"/>
  <c r="U6" i="65"/>
  <c r="U8" i="65"/>
  <c r="U4" i="65"/>
  <c r="N31" i="65"/>
  <c r="N13" i="65"/>
  <c r="N49" i="65"/>
  <c r="N56" i="65"/>
  <c r="N12" i="65"/>
  <c r="N28" i="65"/>
  <c r="N50" i="65"/>
  <c r="N57" i="65"/>
  <c r="N14" i="65"/>
  <c r="N61" i="65"/>
  <c r="N21" i="65"/>
  <c r="N58" i="65"/>
  <c r="N15" i="65"/>
  <c r="N60" i="65"/>
  <c r="N16" i="65"/>
  <c r="N32" i="65"/>
  <c r="N17" i="65"/>
  <c r="N18" i="65"/>
  <c r="N53" i="65"/>
  <c r="N65" i="65"/>
  <c r="N19" i="65"/>
  <c r="N54" i="65"/>
  <c r="N66" i="65"/>
  <c r="N20" i="65"/>
  <c r="N22" i="65"/>
  <c r="N47" i="65"/>
  <c r="N55" i="65"/>
  <c r="N59" i="65"/>
  <c r="N48" i="65"/>
  <c r="U54" i="65" l="1"/>
  <c r="Y6" i="65"/>
  <c r="Z6" i="65" s="1"/>
  <c r="Y42" i="65"/>
  <c r="Z42" i="65" s="1"/>
  <c r="Y5" i="65"/>
  <c r="Z5" i="65" s="1"/>
  <c r="Y13" i="65"/>
  <c r="Z13" i="65" s="1"/>
  <c r="Y29" i="65"/>
  <c r="Z29" i="65" s="1"/>
  <c r="Y37" i="65"/>
  <c r="Z37" i="65" s="1"/>
  <c r="Y12" i="65"/>
  <c r="Z12" i="65" s="1"/>
  <c r="Y26" i="65"/>
  <c r="Z26" i="65" s="1"/>
  <c r="Y40" i="65"/>
  <c r="Z40" i="65" s="1"/>
  <c r="Y10" i="65"/>
  <c r="Z10" i="65" s="1"/>
  <c r="Y28" i="65"/>
  <c r="Z28" i="65" s="1"/>
  <c r="Y46" i="65"/>
  <c r="Z46" i="65" s="1"/>
  <c r="Y7" i="65"/>
  <c r="Z7" i="65" s="1"/>
  <c r="Y31" i="65"/>
  <c r="Z31" i="65" s="1"/>
  <c r="Y39" i="65"/>
  <c r="Z39" i="65" s="1"/>
  <c r="Y47" i="65"/>
  <c r="Z47" i="65" s="1"/>
  <c r="Y30" i="65"/>
  <c r="Z30" i="65" s="1"/>
  <c r="Y44" i="65"/>
  <c r="Z44" i="65" s="1"/>
  <c r="Y14" i="65"/>
  <c r="Z14" i="65" s="1"/>
  <c r="Y34" i="65"/>
  <c r="Z34" i="65" s="1"/>
  <c r="Y48" i="65"/>
  <c r="Z48" i="65" s="1"/>
  <c r="Y9" i="65"/>
  <c r="Z9" i="65" s="1"/>
  <c r="Y17" i="65"/>
  <c r="Z17" i="65" s="1"/>
  <c r="Y41" i="65"/>
  <c r="Z41" i="65" s="1"/>
  <c r="Y49" i="65"/>
  <c r="Z49" i="65" s="1"/>
  <c r="Y20" i="65"/>
  <c r="Z20" i="65" s="1"/>
  <c r="Y32" i="65"/>
  <c r="Z32" i="65" s="1"/>
  <c r="Y50" i="65"/>
  <c r="Z50" i="65" s="1"/>
  <c r="Y8" i="65"/>
  <c r="Z8" i="65" s="1"/>
  <c r="Y38" i="65"/>
  <c r="Z38" i="65" s="1"/>
  <c r="Y11" i="65"/>
  <c r="Z11" i="65" s="1"/>
  <c r="Y19" i="65"/>
  <c r="Z19" i="65" s="1"/>
  <c r="Y27" i="65"/>
  <c r="Z27" i="65" s="1"/>
  <c r="Y35" i="65"/>
  <c r="Z35" i="65" s="1"/>
  <c r="Y43" i="65"/>
  <c r="Z43" i="65" s="1"/>
  <c r="Y51" i="65"/>
  <c r="Z51" i="65" s="1"/>
  <c r="Y36" i="65"/>
  <c r="Z36" i="65" s="1"/>
  <c r="Y52" i="65"/>
  <c r="Z52" i="65" s="1"/>
  <c r="Y4" i="65"/>
  <c r="Z4" i="65" s="1"/>
  <c r="V52" i="65"/>
  <c r="W52" i="65" s="1"/>
  <c r="V50" i="65"/>
  <c r="W50" i="65" s="1"/>
  <c r="V48" i="65"/>
  <c r="W48" i="65" s="1"/>
  <c r="V46" i="65"/>
  <c r="W46" i="65" s="1"/>
  <c r="V44" i="65"/>
  <c r="W44" i="65" s="1"/>
  <c r="V42" i="65"/>
  <c r="W42" i="65" s="1"/>
  <c r="V40" i="65"/>
  <c r="W40" i="65" s="1"/>
  <c r="V38" i="65"/>
  <c r="W38" i="65" s="1"/>
  <c r="V36" i="65"/>
  <c r="W36" i="65" s="1"/>
  <c r="V34" i="65"/>
  <c r="W34" i="65" s="1"/>
  <c r="V32" i="65"/>
  <c r="W32" i="65" s="1"/>
  <c r="V30" i="65"/>
  <c r="W30" i="65" s="1"/>
  <c r="V28" i="65"/>
  <c r="W28" i="65" s="1"/>
  <c r="V26" i="65"/>
  <c r="W26" i="65" s="1"/>
  <c r="V24" i="65"/>
  <c r="W24" i="65" s="1"/>
  <c r="V22" i="65"/>
  <c r="W22" i="65" s="1"/>
  <c r="V20" i="65"/>
  <c r="W20" i="65" s="1"/>
  <c r="V18" i="65"/>
  <c r="W18" i="65" s="1"/>
  <c r="V16" i="65"/>
  <c r="W16" i="65" s="1"/>
  <c r="V14" i="65"/>
  <c r="W14" i="65" s="1"/>
  <c r="V12" i="65"/>
  <c r="W12" i="65" s="1"/>
  <c r="V10" i="65"/>
  <c r="W10" i="65" s="1"/>
  <c r="V8" i="65"/>
  <c r="W8" i="65" s="1"/>
  <c r="V6" i="65"/>
  <c r="W6" i="65" s="1"/>
  <c r="V4" i="65"/>
  <c r="V47" i="65"/>
  <c r="W47" i="65" s="1"/>
  <c r="V39" i="65"/>
  <c r="W39" i="65" s="1"/>
  <c r="V31" i="65"/>
  <c r="W31" i="65" s="1"/>
  <c r="V23" i="65"/>
  <c r="W23" i="65" s="1"/>
  <c r="V15" i="65"/>
  <c r="W15" i="65" s="1"/>
  <c r="V9" i="65"/>
  <c r="W9" i="65" s="1"/>
  <c r="V5" i="65"/>
  <c r="W5" i="65" s="1"/>
  <c r="V37" i="65"/>
  <c r="W37" i="65" s="1"/>
  <c r="V19" i="65"/>
  <c r="W19" i="65" s="1"/>
  <c r="V43" i="65"/>
  <c r="W43" i="65" s="1"/>
  <c r="V49" i="65"/>
  <c r="W49" i="65" s="1"/>
  <c r="V41" i="65"/>
  <c r="W41" i="65" s="1"/>
  <c r="V33" i="65"/>
  <c r="W33" i="65" s="1"/>
  <c r="V25" i="65"/>
  <c r="W25" i="65" s="1"/>
  <c r="V17" i="65"/>
  <c r="W17" i="65" s="1"/>
  <c r="V45" i="65"/>
  <c r="W45" i="65" s="1"/>
  <c r="V29" i="65"/>
  <c r="W29" i="65" s="1"/>
  <c r="V21" i="65"/>
  <c r="W21" i="65" s="1"/>
  <c r="V13" i="65"/>
  <c r="W13" i="65" s="1"/>
  <c r="V51" i="65"/>
  <c r="W51" i="65" s="1"/>
  <c r="V35" i="65"/>
  <c r="W35" i="65" s="1"/>
  <c r="V27" i="65"/>
  <c r="W27" i="65" s="1"/>
  <c r="V11" i="65"/>
  <c r="W11" i="65" s="1"/>
  <c r="V7" i="65"/>
  <c r="W7" i="65" s="1"/>
  <c r="N29" i="65"/>
  <c r="N30" i="65"/>
  <c r="N43" i="65"/>
  <c r="N41" i="65"/>
  <c r="N42" i="65"/>
  <c r="N35" i="65"/>
  <c r="N36" i="65"/>
  <c r="N37" i="65"/>
  <c r="N27" i="65"/>
  <c r="N26" i="65"/>
  <c r="N46" i="65"/>
  <c r="N44" i="65"/>
  <c r="N45" i="65"/>
  <c r="N25" i="65"/>
  <c r="N23" i="65"/>
  <c r="N24" i="65"/>
  <c r="N7" i="65"/>
  <c r="N10" i="65"/>
  <c r="N6" i="65"/>
  <c r="N9" i="65"/>
  <c r="N5" i="65"/>
  <c r="N8" i="65"/>
  <c r="N11" i="65"/>
  <c r="N4" i="65"/>
  <c r="N64" i="65"/>
  <c r="N62" i="65"/>
  <c r="N63" i="65"/>
  <c r="N40" i="65"/>
  <c r="N39" i="65"/>
  <c r="N38" i="65"/>
  <c r="N51" i="65"/>
  <c r="N52" i="65"/>
  <c r="N33" i="65"/>
  <c r="N34" i="65"/>
  <c r="W4" i="65" l="1"/>
  <c r="V54" i="65"/>
  <c r="AD52" i="65"/>
  <c r="AD30" i="65"/>
  <c r="AD32" i="65"/>
  <c r="AD36" i="65"/>
  <c r="AD35" i="65"/>
  <c r="AB52" i="65"/>
  <c r="AD44" i="65"/>
  <c r="AD31" i="65"/>
  <c r="AD37" i="65"/>
  <c r="AD43" i="65"/>
  <c r="AD50" i="65"/>
  <c r="AD17" i="65"/>
  <c r="AD48" i="65"/>
  <c r="AD14" i="65"/>
  <c r="AD47" i="65"/>
  <c r="AD7" i="65"/>
  <c r="AD28" i="65"/>
  <c r="AD40" i="65"/>
  <c r="AD12" i="65"/>
  <c r="AD13" i="65"/>
  <c r="AD42" i="65"/>
  <c r="AD29" i="65"/>
  <c r="AD11" i="65"/>
  <c r="AD41" i="65"/>
  <c r="AD4" i="65"/>
  <c r="AD51" i="65"/>
  <c r="AD19" i="65"/>
  <c r="AD8" i="65"/>
  <c r="AD49" i="65"/>
  <c r="AD9" i="65"/>
  <c r="AD34" i="65"/>
  <c r="AD39" i="65"/>
  <c r="AD46" i="65"/>
  <c r="AD10" i="65"/>
  <c r="AD26" i="65"/>
  <c r="AD5" i="65"/>
  <c r="AD27" i="65"/>
  <c r="AD20" i="65"/>
  <c r="AD38" i="65"/>
  <c r="AD6" i="65"/>
  <c r="AA49" i="65"/>
  <c r="AA6" i="65"/>
  <c r="AB6" i="65" s="1"/>
  <c r="AA14" i="65"/>
  <c r="AA30" i="65"/>
  <c r="AA46" i="65"/>
  <c r="AA27" i="65"/>
  <c r="AA43" i="65"/>
  <c r="AA9" i="65"/>
  <c r="AA39" i="65"/>
  <c r="AA8" i="65"/>
  <c r="AA32" i="65"/>
  <c r="AA40" i="65"/>
  <c r="AA48" i="65"/>
  <c r="AA11" i="65"/>
  <c r="AA17" i="65"/>
  <c r="AA5" i="65"/>
  <c r="AA38" i="65"/>
  <c r="AA35" i="65"/>
  <c r="AA29" i="65"/>
  <c r="AA19" i="65"/>
  <c r="AA47" i="65"/>
  <c r="AA10" i="65"/>
  <c r="AA26" i="65"/>
  <c r="AA34" i="65"/>
  <c r="AA42" i="65"/>
  <c r="AA50" i="65"/>
  <c r="AA13" i="65"/>
  <c r="AA31" i="65"/>
  <c r="AA7" i="65"/>
  <c r="AA51" i="65"/>
  <c r="AA41" i="65"/>
  <c r="AA37" i="65"/>
  <c r="AA12" i="65"/>
  <c r="AA20" i="65"/>
  <c r="AA28" i="65"/>
  <c r="AA36" i="65"/>
  <c r="AA44" i="65"/>
  <c r="AA52" i="65"/>
  <c r="AA4" i="65"/>
  <c r="P64" i="65"/>
  <c r="Y45" i="65" s="1"/>
  <c r="Z45" i="65" s="1"/>
  <c r="P52" i="65"/>
  <c r="Y33" i="65" s="1"/>
  <c r="Z33" i="65" s="1"/>
  <c r="P46" i="65"/>
  <c r="P43" i="65"/>
  <c r="Y24" i="65" s="1"/>
  <c r="Z24" i="65" s="1"/>
  <c r="P25" i="65"/>
  <c r="P37" i="65"/>
  <c r="Y22" i="65" s="1"/>
  <c r="Z22" i="65" s="1"/>
  <c r="P30" i="65"/>
  <c r="P34" i="65"/>
  <c r="Y21" i="65" s="1"/>
  <c r="Z21" i="65" s="1"/>
  <c r="P40" i="65"/>
  <c r="P27" i="65"/>
  <c r="Y16" i="65" s="1"/>
  <c r="Z16" i="65" s="1"/>
  <c r="D45" i="41"/>
  <c r="D44" i="41"/>
  <c r="D43" i="41"/>
  <c r="D42" i="41"/>
  <c r="D41" i="41"/>
  <c r="D40" i="41"/>
  <c r="D39" i="41"/>
  <c r="D38" i="41"/>
  <c r="D37" i="41"/>
  <c r="D36" i="41"/>
  <c r="D35" i="41"/>
  <c r="D34" i="41"/>
  <c r="D33" i="41"/>
  <c r="D32" i="41"/>
  <c r="D31" i="41"/>
  <c r="D30" i="41"/>
  <c r="D29" i="41"/>
  <c r="D28" i="41"/>
  <c r="D27" i="41"/>
  <c r="D26" i="41"/>
  <c r="D25" i="41"/>
  <c r="D24" i="41"/>
  <c r="D23" i="41"/>
  <c r="D22" i="41"/>
  <c r="D21" i="41"/>
  <c r="D20" i="41"/>
  <c r="D19" i="41"/>
  <c r="D18" i="41"/>
  <c r="D17" i="41"/>
  <c r="D16" i="41"/>
  <c r="D15" i="41"/>
  <c r="D14" i="41"/>
  <c r="D13" i="41"/>
  <c r="D12" i="41"/>
  <c r="D11" i="41"/>
  <c r="D10" i="41"/>
  <c r="D9" i="41"/>
  <c r="D8" i="41"/>
  <c r="D7" i="41"/>
  <c r="D6" i="41"/>
  <c r="D5" i="41"/>
  <c r="D4" i="41"/>
  <c r="B45" i="41"/>
  <c r="E45" i="41" l="1"/>
  <c r="D102" i="31" s="1"/>
  <c r="Y53" i="65"/>
  <c r="AB29" i="65"/>
  <c r="AF29" i="65" s="1"/>
  <c r="AH29" i="65" s="1"/>
  <c r="AF6" i="65"/>
  <c r="AH6" i="65" s="1"/>
  <c r="AE52" i="65"/>
  <c r="AF52" i="65"/>
  <c r="AH52" i="65" s="1"/>
  <c r="N56" i="60" s="1"/>
  <c r="AB43" i="65"/>
  <c r="AB13" i="65"/>
  <c r="AB26" i="65"/>
  <c r="AE38" i="65"/>
  <c r="AD16" i="65"/>
  <c r="AD33" i="65"/>
  <c r="AB38" i="65"/>
  <c r="AE5" i="65"/>
  <c r="AE40" i="65"/>
  <c r="AE12" i="65"/>
  <c r="AD22" i="65"/>
  <c r="AD45" i="65"/>
  <c r="AE13" i="65"/>
  <c r="AE26" i="65"/>
  <c r="AE29" i="65"/>
  <c r="AE43" i="65"/>
  <c r="AD21" i="65"/>
  <c r="AD24" i="65"/>
  <c r="AE4" i="65"/>
  <c r="AE11" i="65"/>
  <c r="AE6" i="65"/>
  <c r="AB12" i="65"/>
  <c r="AB5" i="65"/>
  <c r="AB36" i="65"/>
  <c r="AE36" i="65"/>
  <c r="AB51" i="65"/>
  <c r="AE51" i="65"/>
  <c r="AB50" i="65"/>
  <c r="AE50" i="65"/>
  <c r="AB10" i="65"/>
  <c r="AE10" i="65"/>
  <c r="AB19" i="65"/>
  <c r="AE19" i="65"/>
  <c r="AB35" i="65"/>
  <c r="AE35" i="65"/>
  <c r="AB8" i="65"/>
  <c r="AE8" i="65"/>
  <c r="AB9" i="65"/>
  <c r="AE9" i="65"/>
  <c r="AB27" i="65"/>
  <c r="AE27" i="65"/>
  <c r="AE30" i="65"/>
  <c r="AB30" i="65"/>
  <c r="AB20" i="65"/>
  <c r="AE20" i="65"/>
  <c r="AE31" i="65"/>
  <c r="AB31" i="65"/>
  <c r="AB44" i="65"/>
  <c r="AE44" i="65"/>
  <c r="AB28" i="65"/>
  <c r="AE28" i="65"/>
  <c r="AB41" i="65"/>
  <c r="AE41" i="65"/>
  <c r="AB7" i="65"/>
  <c r="AE7" i="65"/>
  <c r="AB42" i="65"/>
  <c r="AE42" i="65"/>
  <c r="AB47" i="65"/>
  <c r="AE47" i="65"/>
  <c r="AE17" i="65"/>
  <c r="AB17" i="65"/>
  <c r="AB48" i="65"/>
  <c r="AE48" i="65"/>
  <c r="AB32" i="65"/>
  <c r="AE32" i="65"/>
  <c r="AB39" i="65"/>
  <c r="AE39" i="65"/>
  <c r="AB37" i="65"/>
  <c r="AE37" i="65"/>
  <c r="AE34" i="65"/>
  <c r="AB34" i="65"/>
  <c r="AB11" i="65"/>
  <c r="AB40" i="65"/>
  <c r="AE46" i="65"/>
  <c r="AB46" i="65"/>
  <c r="AE14" i="65"/>
  <c r="AB14" i="65"/>
  <c r="AE49" i="65"/>
  <c r="AB49" i="65"/>
  <c r="Q30" i="65"/>
  <c r="AA18" i="65" s="1"/>
  <c r="Y18" i="65"/>
  <c r="Z18" i="65" s="1"/>
  <c r="Q40" i="65"/>
  <c r="AA23" i="65" s="1"/>
  <c r="Y23" i="65"/>
  <c r="Z23" i="65" s="1"/>
  <c r="Q25" i="65"/>
  <c r="Y15" i="65"/>
  <c r="Z15" i="65" s="1"/>
  <c r="Q46" i="65"/>
  <c r="AA25" i="65" s="1"/>
  <c r="Y25" i="65"/>
  <c r="Z25" i="65" s="1"/>
  <c r="AB4" i="65"/>
  <c r="P72" i="65"/>
  <c r="Q27" i="65"/>
  <c r="Q34" i="65"/>
  <c r="Q37" i="65"/>
  <c r="Q43" i="65"/>
  <c r="Q52" i="65"/>
  <c r="Q64" i="65"/>
  <c r="Z53" i="65" l="1"/>
  <c r="R25" i="65"/>
  <c r="AA53" i="65"/>
  <c r="AE53" i="65" s="1"/>
  <c r="AD53" i="65"/>
  <c r="Y54" i="65"/>
  <c r="AD54" i="65" s="1"/>
  <c r="R40" i="65"/>
  <c r="R30" i="65"/>
  <c r="AF46" i="65"/>
  <c r="AH46" i="65" s="1"/>
  <c r="AF5" i="65"/>
  <c r="AH5" i="65" s="1"/>
  <c r="AF48" i="65"/>
  <c r="AH48" i="65" s="1"/>
  <c r="AF7" i="65"/>
  <c r="AH7" i="65" s="1"/>
  <c r="AF4" i="65"/>
  <c r="AH4" i="65" s="1"/>
  <c r="AF14" i="65"/>
  <c r="AH14" i="65" s="1"/>
  <c r="AF17" i="65"/>
  <c r="AH17" i="65" s="1"/>
  <c r="AF11" i="65"/>
  <c r="AH11" i="65" s="1"/>
  <c r="AF37" i="65"/>
  <c r="AH37" i="65" s="1"/>
  <c r="AF32" i="65"/>
  <c r="AH32" i="65" s="1"/>
  <c r="AF42" i="65"/>
  <c r="AH42" i="65" s="1"/>
  <c r="AF41" i="65"/>
  <c r="AH41" i="65" s="1"/>
  <c r="AF44" i="65"/>
  <c r="AH44" i="65" s="1"/>
  <c r="AF20" i="65"/>
  <c r="AH20" i="65" s="1"/>
  <c r="AF27" i="65"/>
  <c r="AH27" i="65" s="1"/>
  <c r="AF8" i="65"/>
  <c r="AH8" i="65" s="1"/>
  <c r="AF19" i="65"/>
  <c r="AH19" i="65" s="1"/>
  <c r="AF50" i="65"/>
  <c r="AH50" i="65" s="1"/>
  <c r="AF36" i="65"/>
  <c r="AH36" i="65" s="1"/>
  <c r="AF49" i="65"/>
  <c r="AH49" i="65" s="1"/>
  <c r="AF30" i="65"/>
  <c r="AH30" i="65" s="1"/>
  <c r="AF26" i="65"/>
  <c r="AH26" i="65" s="1"/>
  <c r="AF39" i="65"/>
  <c r="AH39" i="65" s="1"/>
  <c r="AF47" i="65"/>
  <c r="AH47" i="65" s="1"/>
  <c r="AF28" i="65"/>
  <c r="AH28" i="65" s="1"/>
  <c r="AF9" i="65"/>
  <c r="AH9" i="65" s="1"/>
  <c r="AF35" i="65"/>
  <c r="AH35" i="65" s="1"/>
  <c r="AF10" i="65"/>
  <c r="AH10" i="65" s="1"/>
  <c r="AF51" i="65"/>
  <c r="AH51" i="65" s="1"/>
  <c r="AF12" i="65"/>
  <c r="AH12" i="65" s="1"/>
  <c r="AF13" i="65"/>
  <c r="AH13" i="65" s="1"/>
  <c r="AF43" i="65"/>
  <c r="AH43" i="65" s="1"/>
  <c r="AF34" i="65"/>
  <c r="AH34" i="65" s="1"/>
  <c r="AF31" i="65"/>
  <c r="AH31" i="65" s="1"/>
  <c r="AF40" i="65"/>
  <c r="AH40" i="65" s="1"/>
  <c r="AF38" i="65"/>
  <c r="AH38" i="65" s="1"/>
  <c r="AD15" i="65"/>
  <c r="AD18" i="65"/>
  <c r="AD25" i="65"/>
  <c r="AE18" i="65"/>
  <c r="AE23" i="65"/>
  <c r="AE25" i="65"/>
  <c r="AD23" i="65"/>
  <c r="R46" i="65"/>
  <c r="R43" i="65"/>
  <c r="AA24" i="65"/>
  <c r="R64" i="65"/>
  <c r="AA45" i="65"/>
  <c r="AB23" i="65"/>
  <c r="R52" i="65"/>
  <c r="AA33" i="65"/>
  <c r="R34" i="65"/>
  <c r="AA21" i="65"/>
  <c r="AB18" i="65"/>
  <c r="R27" i="65"/>
  <c r="AA16" i="65"/>
  <c r="R37" i="65"/>
  <c r="AA22" i="65"/>
  <c r="AB25" i="65"/>
  <c r="AA15" i="65"/>
  <c r="Q72" i="65"/>
  <c r="D18" i="63"/>
  <c r="E18" i="63"/>
  <c r="D19" i="63"/>
  <c r="E19" i="63"/>
  <c r="E16" i="63"/>
  <c r="E15" i="63"/>
  <c r="D16" i="63"/>
  <c r="D15" i="63"/>
  <c r="E7" i="63"/>
  <c r="D7" i="63"/>
  <c r="C7" i="63"/>
  <c r="H14" i="63" s="1"/>
  <c r="AA54" i="65" l="1"/>
  <c r="AE54" i="65" s="1"/>
  <c r="F16" i="63"/>
  <c r="AF18" i="65"/>
  <c r="AH18" i="65" s="1"/>
  <c r="N29" i="60" s="1"/>
  <c r="AF25" i="65"/>
  <c r="AH25" i="65" s="1"/>
  <c r="AF23" i="65"/>
  <c r="AH23" i="65" s="1"/>
  <c r="N34" i="60" s="1"/>
  <c r="AB22" i="65"/>
  <c r="AE22" i="65"/>
  <c r="AB21" i="65"/>
  <c r="AE21" i="65"/>
  <c r="AB45" i="65"/>
  <c r="AE45" i="65"/>
  <c r="AB15" i="65"/>
  <c r="AF15" i="65" s="1"/>
  <c r="AH15" i="65" s="1"/>
  <c r="N26" i="60" s="1"/>
  <c r="AE15" i="65"/>
  <c r="AB33" i="65"/>
  <c r="AE33" i="65"/>
  <c r="AB53" i="65"/>
  <c r="AF53" i="65" s="1"/>
  <c r="AH53" i="65" s="1"/>
  <c r="AB16" i="65"/>
  <c r="AE16" i="65"/>
  <c r="AB24" i="65"/>
  <c r="AE24" i="65"/>
  <c r="I106" i="60"/>
  <c r="I107" i="60"/>
  <c r="F15" i="63"/>
  <c r="G4" i="60" l="1"/>
  <c r="AF16" i="65"/>
  <c r="AH16" i="65" s="1"/>
  <c r="AF33" i="65"/>
  <c r="AH33" i="65" s="1"/>
  <c r="AF45" i="65"/>
  <c r="AH45" i="65" s="1"/>
  <c r="AF24" i="65"/>
  <c r="AH24" i="65" s="1"/>
  <c r="AF21" i="65"/>
  <c r="AH21" i="65" s="1"/>
  <c r="AF22" i="65"/>
  <c r="AH22" i="65" s="1"/>
  <c r="N33" i="60" s="1"/>
  <c r="F60" i="2"/>
  <c r="N57" i="60" l="1"/>
  <c r="G62" i="2" l="1"/>
  <c r="G61" i="2"/>
  <c r="G60" i="2"/>
  <c r="F61" i="2"/>
  <c r="G63" i="2" l="1"/>
  <c r="E50" i="35"/>
  <c r="D50" i="35"/>
  <c r="E49" i="35"/>
  <c r="D49" i="35"/>
  <c r="E48" i="35"/>
  <c r="D48" i="35"/>
  <c r="E47" i="35"/>
  <c r="D47" i="35"/>
  <c r="E46" i="35"/>
  <c r="D46" i="35"/>
  <c r="E45" i="35"/>
  <c r="D45" i="35"/>
  <c r="E44" i="35"/>
  <c r="D44" i="35"/>
  <c r="E43" i="35"/>
  <c r="D43" i="35"/>
  <c r="G57" i="60"/>
  <c r="S57" i="60" s="1"/>
  <c r="B27" i="41"/>
  <c r="B28" i="41"/>
  <c r="B29" i="41"/>
  <c r="B30" i="41"/>
  <c r="B31" i="41"/>
  <c r="B32" i="41"/>
  <c r="E32" i="41" s="1"/>
  <c r="D89" i="31" s="1"/>
  <c r="B33" i="41"/>
  <c r="B34" i="41"/>
  <c r="B35" i="41"/>
  <c r="B36" i="41"/>
  <c r="B37" i="41"/>
  <c r="B38" i="41"/>
  <c r="B39" i="41"/>
  <c r="B40" i="41"/>
  <c r="B41" i="41"/>
  <c r="B42" i="41"/>
  <c r="B43" i="41"/>
  <c r="B44" i="41"/>
  <c r="E4" i="41"/>
  <c r="D61" i="31" s="1"/>
  <c r="H63" i="2"/>
  <c r="E44" i="41" l="1"/>
  <c r="D101" i="31" s="1"/>
  <c r="E43" i="41"/>
  <c r="D100" i="31" s="1"/>
  <c r="E42" i="41"/>
  <c r="D99" i="31" s="1"/>
  <c r="G54" i="60" l="1"/>
  <c r="S54" i="60" s="1"/>
  <c r="G53" i="60"/>
  <c r="G55" i="60"/>
  <c r="S55" i="60" s="1"/>
  <c r="G15" i="60"/>
  <c r="S15" i="60" s="1"/>
  <c r="I62" i="2"/>
  <c r="H62" i="2"/>
  <c r="F62" i="2"/>
  <c r="F63" i="2" s="1"/>
  <c r="U56" i="60" l="1"/>
  <c r="X56" i="60" s="1"/>
  <c r="D10" i="63"/>
  <c r="C10" i="63"/>
  <c r="E9" i="63"/>
  <c r="D9" i="63"/>
  <c r="E8" i="63"/>
  <c r="D8" i="63"/>
  <c r="C8" i="63"/>
  <c r="O56" i="31" l="1"/>
  <c r="G22" i="43"/>
  <c r="G37" i="43"/>
  <c r="G46" i="43"/>
  <c r="G49" i="43"/>
  <c r="G70" i="43"/>
  <c r="G73" i="43"/>
  <c r="G42" i="43"/>
  <c r="H15" i="63"/>
  <c r="J15" i="63" s="1"/>
  <c r="L15" i="63" s="1"/>
  <c r="H16" i="63"/>
  <c r="J16" i="63" s="1"/>
  <c r="L16" i="63" s="1"/>
  <c r="N15" i="63"/>
  <c r="N16" i="63"/>
  <c r="U107" i="60"/>
  <c r="E10" i="63"/>
  <c r="U106" i="60"/>
  <c r="G5" i="43"/>
  <c r="C9" i="63"/>
  <c r="O57" i="31"/>
  <c r="U41" i="35"/>
  <c r="U29" i="35"/>
  <c r="U37" i="35"/>
  <c r="U24" i="35"/>
  <c r="U34" i="35"/>
  <c r="U40" i="35"/>
  <c r="U28" i="35"/>
  <c r="U36" i="35"/>
  <c r="U33" i="35"/>
  <c r="U39" i="35"/>
  <c r="U27" i="35"/>
  <c r="U25" i="35"/>
  <c r="U23" i="35"/>
  <c r="U22" i="35"/>
  <c r="U38" i="35"/>
  <c r="U26" i="35"/>
  <c r="U21" i="35"/>
  <c r="U30" i="35"/>
  <c r="U35" i="35"/>
  <c r="U32" i="35"/>
  <c r="U31" i="35"/>
  <c r="U79" i="60"/>
  <c r="U91" i="60"/>
  <c r="U67" i="60"/>
  <c r="U80" i="60"/>
  <c r="U92" i="60"/>
  <c r="U81" i="60"/>
  <c r="U93" i="60"/>
  <c r="U82" i="60"/>
  <c r="U94" i="60"/>
  <c r="U83" i="60"/>
  <c r="U95" i="60"/>
  <c r="U84" i="60"/>
  <c r="U85" i="60"/>
  <c r="U86" i="60"/>
  <c r="U98" i="60"/>
  <c r="U70" i="60"/>
  <c r="U65" i="60"/>
  <c r="U66" i="60"/>
  <c r="U96" i="60"/>
  <c r="U68" i="60"/>
  <c r="U97" i="60"/>
  <c r="U87" i="60"/>
  <c r="U78" i="60"/>
  <c r="U69" i="60"/>
  <c r="U88" i="60"/>
  <c r="U89" i="60"/>
  <c r="U90" i="60"/>
  <c r="U18" i="60"/>
  <c r="U32" i="60"/>
  <c r="U42" i="60"/>
  <c r="U48" i="60"/>
  <c r="U57" i="60"/>
  <c r="U19" i="60"/>
  <c r="U25" i="60"/>
  <c r="U31" i="60"/>
  <c r="U39" i="60"/>
  <c r="U47" i="60"/>
  <c r="U53" i="60"/>
  <c r="U16" i="60"/>
  <c r="U22" i="60"/>
  <c r="U24" i="60"/>
  <c r="U26" i="60"/>
  <c r="U28" i="60"/>
  <c r="U30" i="60"/>
  <c r="U36" i="60"/>
  <c r="U38" i="60"/>
  <c r="U44" i="60"/>
  <c r="U52" i="60"/>
  <c r="U21" i="60"/>
  <c r="U29" i="60"/>
  <c r="U37" i="60"/>
  <c r="U45" i="60"/>
  <c r="U55" i="60"/>
  <c r="U20" i="60"/>
  <c r="U34" i="60"/>
  <c r="U40" i="60"/>
  <c r="U46" i="60"/>
  <c r="U50" i="60"/>
  <c r="U54" i="60"/>
  <c r="U15" i="60"/>
  <c r="U17" i="60"/>
  <c r="U23" i="60"/>
  <c r="U27" i="60"/>
  <c r="U33" i="60"/>
  <c r="U35" i="60"/>
  <c r="U41" i="60"/>
  <c r="U43" i="60"/>
  <c r="U49" i="60"/>
  <c r="U51" i="60"/>
  <c r="G4" i="43"/>
  <c r="G14" i="43"/>
  <c r="G17" i="43"/>
  <c r="G20" i="43"/>
  <c r="G23" i="43"/>
  <c r="G24" i="43"/>
  <c r="G26" i="43"/>
  <c r="G27" i="43"/>
  <c r="G29" i="43"/>
  <c r="G32" i="43"/>
  <c r="G35" i="43"/>
  <c r="G36" i="43"/>
  <c r="G38" i="43"/>
  <c r="G41" i="43"/>
  <c r="G44" i="43"/>
  <c r="G47" i="43"/>
  <c r="G51" i="43"/>
  <c r="G54" i="43"/>
  <c r="G66" i="43"/>
  <c r="G84" i="43"/>
  <c r="G60" i="43"/>
  <c r="G50" i="43"/>
  <c r="G53" i="43"/>
  <c r="G56" i="43"/>
  <c r="G59" i="43"/>
  <c r="G62" i="43"/>
  <c r="G65" i="43"/>
  <c r="G68" i="43"/>
  <c r="G71" i="43"/>
  <c r="G74" i="43"/>
  <c r="G77" i="43"/>
  <c r="G80" i="43"/>
  <c r="G83" i="43"/>
  <c r="G34" i="43"/>
  <c r="G58" i="43"/>
  <c r="G61" i="43"/>
  <c r="G82" i="43"/>
  <c r="G12" i="43"/>
  <c r="G15" i="43"/>
  <c r="G39" i="43"/>
  <c r="G48" i="43"/>
  <c r="G63" i="43"/>
  <c r="G72" i="43"/>
  <c r="G75" i="43"/>
  <c r="G78" i="43"/>
  <c r="G18" i="43"/>
  <c r="G21" i="43"/>
  <c r="G30" i="43"/>
  <c r="G33" i="43"/>
  <c r="G45" i="43"/>
  <c r="G57" i="43"/>
  <c r="G69" i="43"/>
  <c r="G81" i="43"/>
  <c r="G79" i="43"/>
  <c r="G64" i="43"/>
  <c r="G6" i="43"/>
  <c r="G16" i="43"/>
  <c r="G25" i="43"/>
  <c r="G31" i="43"/>
  <c r="G43" i="43"/>
  <c r="G55" i="43"/>
  <c r="G67" i="43"/>
  <c r="G13" i="43"/>
  <c r="G19" i="43"/>
  <c r="G28" i="43"/>
  <c r="G40" i="43"/>
  <c r="G52" i="43"/>
  <c r="G76" i="43"/>
  <c r="X55" i="60" l="1"/>
  <c r="E55" i="40" s="1"/>
  <c r="X54" i="60"/>
  <c r="E54" i="40" s="1"/>
  <c r="X57" i="60"/>
  <c r="E37" i="40" s="1"/>
  <c r="X15" i="60"/>
  <c r="E14" i="40" s="1"/>
  <c r="P15" i="63"/>
  <c r="P16" i="63"/>
  <c r="F107" i="60" l="1"/>
  <c r="Q107" i="60" s="1"/>
  <c r="F106" i="60"/>
  <c r="F108" i="60" l="1"/>
  <c r="E40" i="41"/>
  <c r="D97" i="31" s="1"/>
  <c r="G51" i="60" s="1"/>
  <c r="S51" i="60" s="1"/>
  <c r="X51" i="60" s="1"/>
  <c r="E51" i="40" s="1"/>
  <c r="E7" i="31" l="1"/>
  <c r="E7" i="8"/>
  <c r="E7" i="35"/>
  <c r="D7" i="31" l="1"/>
  <c r="C7" i="31"/>
  <c r="E10" i="31" l="1"/>
  <c r="E10" i="8"/>
  <c r="E10" i="35"/>
  <c r="E8" i="31"/>
  <c r="E8" i="8"/>
  <c r="E8" i="35"/>
  <c r="E9" i="8"/>
  <c r="E9" i="31"/>
  <c r="E9" i="35"/>
  <c r="N14" i="8" l="1"/>
  <c r="K14" i="31" s="1"/>
  <c r="M14" i="8"/>
  <c r="J14" i="31" s="1"/>
  <c r="C8" i="31"/>
  <c r="D8" i="31"/>
  <c r="C9" i="31"/>
  <c r="D9" i="31"/>
  <c r="D9" i="8" l="1"/>
  <c r="D8" i="8"/>
  <c r="D7" i="8"/>
  <c r="C9" i="8"/>
  <c r="C8" i="8"/>
  <c r="C7" i="8"/>
  <c r="B10" i="8"/>
  <c r="B9" i="8"/>
  <c r="B8" i="8"/>
  <c r="B7" i="8"/>
  <c r="B7" i="35"/>
  <c r="C7" i="35"/>
  <c r="D7" i="35"/>
  <c r="B8" i="35"/>
  <c r="C8" i="35"/>
  <c r="D8" i="35"/>
  <c r="B9" i="35"/>
  <c r="C9" i="35"/>
  <c r="D9" i="35"/>
  <c r="B10" i="35"/>
  <c r="O20" i="35" s="1"/>
  <c r="L14" i="8" l="1"/>
  <c r="I14" i="31" s="1"/>
  <c r="D10" i="31" l="1"/>
  <c r="C10" i="31"/>
  <c r="I56" i="31" l="1"/>
  <c r="K56" i="31" s="1"/>
  <c r="M56" i="31" s="1"/>
  <c r="Q56" i="31" s="1"/>
  <c r="F56" i="60" s="1"/>
  <c r="I57" i="31"/>
  <c r="K57" i="31" s="1"/>
  <c r="M57" i="31" s="1"/>
  <c r="I18" i="31"/>
  <c r="K18" i="31" s="1"/>
  <c r="I30" i="31"/>
  <c r="K30" i="31" s="1"/>
  <c r="I42" i="31"/>
  <c r="K42" i="31" s="1"/>
  <c r="I54" i="31"/>
  <c r="K54" i="31" s="1"/>
  <c r="I20" i="31"/>
  <c r="K20" i="31" s="1"/>
  <c r="I32" i="31"/>
  <c r="K32" i="31" s="1"/>
  <c r="I44" i="31"/>
  <c r="K44" i="31" s="1"/>
  <c r="I21" i="31"/>
  <c r="K21" i="31" s="1"/>
  <c r="I33" i="31"/>
  <c r="K33" i="31" s="1"/>
  <c r="I45" i="31"/>
  <c r="K45" i="31" s="1"/>
  <c r="I23" i="31"/>
  <c r="K23" i="31" s="1"/>
  <c r="I35" i="31"/>
  <c r="K35" i="31" s="1"/>
  <c r="I47" i="31"/>
  <c r="K47" i="31" s="1"/>
  <c r="I24" i="31"/>
  <c r="K24" i="31" s="1"/>
  <c r="I36" i="31"/>
  <c r="K36" i="31" s="1"/>
  <c r="I48" i="31"/>
  <c r="K48" i="31" s="1"/>
  <c r="I22" i="31"/>
  <c r="K22" i="31" s="1"/>
  <c r="I34" i="31"/>
  <c r="K34" i="31" s="1"/>
  <c r="I46" i="31"/>
  <c r="K46" i="31" s="1"/>
  <c r="I27" i="31"/>
  <c r="K27" i="31" s="1"/>
  <c r="I51" i="31"/>
  <c r="K51" i="31" s="1"/>
  <c r="I37" i="31"/>
  <c r="K37" i="31" s="1"/>
  <c r="I38" i="31"/>
  <c r="K38" i="31" s="1"/>
  <c r="I39" i="31"/>
  <c r="K39" i="31" s="1"/>
  <c r="I16" i="31"/>
  <c r="K16" i="31" s="1"/>
  <c r="I17" i="31"/>
  <c r="K17" i="31" s="1"/>
  <c r="I19" i="31"/>
  <c r="K19" i="31" s="1"/>
  <c r="I49" i="31"/>
  <c r="K49" i="31" s="1"/>
  <c r="I50" i="31"/>
  <c r="K50" i="31" s="1"/>
  <c r="I28" i="31"/>
  <c r="K28" i="31" s="1"/>
  <c r="I52" i="31"/>
  <c r="K52" i="31" s="1"/>
  <c r="I41" i="31"/>
  <c r="K41" i="31" s="1"/>
  <c r="I43" i="31"/>
  <c r="K43" i="31" s="1"/>
  <c r="I29" i="31"/>
  <c r="K29" i="31" s="1"/>
  <c r="I53" i="31"/>
  <c r="K53" i="31" s="1"/>
  <c r="I31" i="31"/>
  <c r="K31" i="31" s="1"/>
  <c r="I55" i="31"/>
  <c r="K55" i="31" s="1"/>
  <c r="I15" i="31"/>
  <c r="K15" i="31" s="1"/>
  <c r="I40" i="31"/>
  <c r="K40" i="31" s="1"/>
  <c r="I25" i="31"/>
  <c r="K25" i="31" s="1"/>
  <c r="I26" i="31"/>
  <c r="K26" i="31" s="1"/>
  <c r="C10" i="35"/>
  <c r="C10" i="8"/>
  <c r="D10" i="35"/>
  <c r="D10" i="8"/>
  <c r="K56" i="60" l="1"/>
  <c r="Q56" i="60" s="1"/>
  <c r="K57" i="60"/>
  <c r="Q57" i="60" s="1"/>
  <c r="Q57" i="31"/>
  <c r="L17" i="8"/>
  <c r="N17" i="8" s="1"/>
  <c r="L16" i="8"/>
  <c r="N16" i="8" s="1"/>
  <c r="L15" i="8"/>
  <c r="N15" i="8" s="1"/>
  <c r="L20" i="8"/>
  <c r="N20" i="8" s="1"/>
  <c r="L19" i="8"/>
  <c r="N19" i="8" s="1"/>
  <c r="L18" i="8"/>
  <c r="N18" i="8" s="1"/>
  <c r="O39" i="35"/>
  <c r="Q39" i="35" s="1"/>
  <c r="O27" i="35"/>
  <c r="Q27" i="35" s="1"/>
  <c r="O37" i="35"/>
  <c r="Q37" i="35" s="1"/>
  <c r="O25" i="35"/>
  <c r="Q25" i="35" s="1"/>
  <c r="O36" i="35"/>
  <c r="Q36" i="35" s="1"/>
  <c r="O24" i="35"/>
  <c r="Q24" i="35" s="1"/>
  <c r="O34" i="35"/>
  <c r="Q34" i="35" s="1"/>
  <c r="O22" i="35"/>
  <c r="Q22" i="35" s="1"/>
  <c r="O35" i="35"/>
  <c r="Q35" i="35" s="1"/>
  <c r="O23" i="35"/>
  <c r="Q23" i="35" s="1"/>
  <c r="O21" i="35"/>
  <c r="Q21" i="35" s="1"/>
  <c r="O38" i="35"/>
  <c r="Q38" i="35" s="1"/>
  <c r="O30" i="35"/>
  <c r="Q30" i="35" s="1"/>
  <c r="O28" i="35"/>
  <c r="Q28" i="35" s="1"/>
  <c r="O32" i="35"/>
  <c r="Q32" i="35" s="1"/>
  <c r="O31" i="35"/>
  <c r="Q31" i="35" s="1"/>
  <c r="O29" i="35"/>
  <c r="Q29" i="35" s="1"/>
  <c r="O41" i="35"/>
  <c r="Q41" i="35" s="1"/>
  <c r="O40" i="35"/>
  <c r="Q40" i="35" s="1"/>
  <c r="O33" i="35"/>
  <c r="Q33" i="35" s="1"/>
  <c r="O26" i="35"/>
  <c r="Q26" i="35" s="1"/>
  <c r="F57" i="60" l="1"/>
  <c r="P20" i="8"/>
  <c r="E39" i="41" l="1"/>
  <c r="D96" i="31" s="1"/>
  <c r="G50" i="60" s="1"/>
  <c r="S50" i="60" s="1"/>
  <c r="X50" i="60" s="1"/>
  <c r="E50" i="40" s="1"/>
  <c r="E38" i="41"/>
  <c r="D95" i="31" s="1"/>
  <c r="E37" i="41"/>
  <c r="D94" i="31" s="1"/>
  <c r="E34" i="41"/>
  <c r="D91" i="31" s="1"/>
  <c r="E33" i="41"/>
  <c r="D90" i="31" s="1"/>
  <c r="E31" i="41"/>
  <c r="D88" i="31" s="1"/>
  <c r="G42" i="60" s="1"/>
  <c r="S42" i="60" s="1"/>
  <c r="X42" i="60" s="1"/>
  <c r="E43" i="40" s="1"/>
  <c r="E28" i="41"/>
  <c r="D85" i="31" s="1"/>
  <c r="G39" i="60" s="1"/>
  <c r="S39" i="60" s="1"/>
  <c r="X39" i="60" s="1"/>
  <c r="E40" i="40" s="1"/>
  <c r="G43" i="60" l="1"/>
  <c r="G45" i="60"/>
  <c r="G48" i="60"/>
  <c r="G49" i="60"/>
  <c r="G44" i="60"/>
  <c r="E41" i="41"/>
  <c r="D98" i="31" s="1"/>
  <c r="G52" i="60" s="1"/>
  <c r="S52" i="60" s="1"/>
  <c r="X52" i="60" s="1"/>
  <c r="E52" i="40" s="1"/>
  <c r="E16" i="41"/>
  <c r="D73" i="31" s="1"/>
  <c r="E20" i="41"/>
  <c r="D77" i="31" s="1"/>
  <c r="E10" i="41"/>
  <c r="D67" i="31" s="1"/>
  <c r="E35" i="41"/>
  <c r="D92" i="31" s="1"/>
  <c r="E26" i="41"/>
  <c r="D83" i="31" s="1"/>
  <c r="E27" i="41"/>
  <c r="D84" i="31" s="1"/>
  <c r="G38" i="60" s="1"/>
  <c r="S38" i="60" s="1"/>
  <c r="X38" i="60" s="1"/>
  <c r="E39" i="40" s="1"/>
  <c r="E24" i="41"/>
  <c r="D81" i="31" s="1"/>
  <c r="E21" i="41"/>
  <c r="D78" i="31" s="1"/>
  <c r="E14" i="41"/>
  <c r="D71" i="31" s="1"/>
  <c r="E30" i="41"/>
  <c r="D87" i="31" s="1"/>
  <c r="G41" i="60" s="1"/>
  <c r="S41" i="60" s="1"/>
  <c r="X41" i="60" s="1"/>
  <c r="E42" i="40" s="1"/>
  <c r="E8" i="41"/>
  <c r="D65" i="31" s="1"/>
  <c r="E22" i="41"/>
  <c r="D79" i="31" s="1"/>
  <c r="E12" i="41"/>
  <c r="D69" i="31" s="1"/>
  <c r="E5" i="41"/>
  <c r="D62" i="31" s="1"/>
  <c r="E18" i="41"/>
  <c r="D75" i="31" s="1"/>
  <c r="E9" i="41"/>
  <c r="D66" i="31" s="1"/>
  <c r="E17" i="41"/>
  <c r="D74" i="31" s="1"/>
  <c r="E6" i="41"/>
  <c r="D63" i="31" s="1"/>
  <c r="E29" i="41"/>
  <c r="D86" i="31" s="1"/>
  <c r="G40" i="60" s="1"/>
  <c r="S40" i="60" s="1"/>
  <c r="X40" i="60" s="1"/>
  <c r="E41" i="40" s="1"/>
  <c r="E25" i="41"/>
  <c r="D82" i="31" s="1"/>
  <c r="E36" i="41"/>
  <c r="D93" i="31" s="1"/>
  <c r="E19" i="41"/>
  <c r="D76" i="31" s="1"/>
  <c r="E23" i="41"/>
  <c r="D80" i="31" s="1"/>
  <c r="E7" i="41"/>
  <c r="D64" i="31" s="1"/>
  <c r="E15" i="41"/>
  <c r="D72" i="31" s="1"/>
  <c r="E13" i="41"/>
  <c r="D70" i="31" s="1"/>
  <c r="E11" i="41"/>
  <c r="D68" i="31" s="1"/>
  <c r="S49" i="60" l="1"/>
  <c r="X49" i="60" s="1"/>
  <c r="E36" i="40" s="1"/>
  <c r="S45" i="60"/>
  <c r="X45" i="60" s="1"/>
  <c r="E46" i="40" s="1"/>
  <c r="S44" i="60"/>
  <c r="X44" i="60" s="1"/>
  <c r="E45" i="40" s="1"/>
  <c r="S48" i="60"/>
  <c r="X48" i="60" s="1"/>
  <c r="E49" i="40" s="1"/>
  <c r="S43" i="60"/>
  <c r="X43" i="60" s="1"/>
  <c r="E44" i="40" s="1"/>
  <c r="G21" i="60"/>
  <c r="G22" i="60"/>
  <c r="G33" i="60"/>
  <c r="G34" i="60"/>
  <c r="G32" i="60"/>
  <c r="G30" i="60"/>
  <c r="G35" i="60"/>
  <c r="G47" i="60"/>
  <c r="G36" i="60"/>
  <c r="G37" i="60"/>
  <c r="G28" i="60"/>
  <c r="G31" i="60"/>
  <c r="G23" i="60"/>
  <c r="G27" i="60"/>
  <c r="G29" i="60"/>
  <c r="G25" i="60"/>
  <c r="E37" i="31"/>
  <c r="D37" i="31"/>
  <c r="I37" i="60" s="1"/>
  <c r="N37" i="60" s="1"/>
  <c r="E36" i="31"/>
  <c r="D36" i="31"/>
  <c r="I36" i="60" s="1"/>
  <c r="N36" i="60" s="1"/>
  <c r="E35" i="31"/>
  <c r="D35" i="31"/>
  <c r="I35" i="60" s="1"/>
  <c r="N35" i="60" s="1"/>
  <c r="E34" i="31"/>
  <c r="D34" i="31"/>
  <c r="I34" i="60" s="1"/>
  <c r="E33" i="31"/>
  <c r="D33" i="31"/>
  <c r="I33" i="60" s="1"/>
  <c r="E32" i="31"/>
  <c r="D32" i="31"/>
  <c r="I32" i="60" s="1"/>
  <c r="N32" i="60" s="1"/>
  <c r="E31" i="31"/>
  <c r="D31" i="31"/>
  <c r="I31" i="60" s="1"/>
  <c r="N31" i="60" s="1"/>
  <c r="E30" i="31"/>
  <c r="D30" i="31"/>
  <c r="I30" i="60" s="1"/>
  <c r="N30" i="60" s="1"/>
  <c r="E29" i="31"/>
  <c r="D29" i="31"/>
  <c r="I29" i="60" s="1"/>
  <c r="E28" i="31"/>
  <c r="D28" i="31"/>
  <c r="I28" i="60" s="1"/>
  <c r="N28" i="60" s="1"/>
  <c r="E27" i="31"/>
  <c r="D27" i="31"/>
  <c r="I27" i="60" s="1"/>
  <c r="N27" i="60" s="1"/>
  <c r="E26" i="31"/>
  <c r="D26" i="31"/>
  <c r="I26" i="60" s="1"/>
  <c r="E25" i="31"/>
  <c r="D25" i="31"/>
  <c r="I25" i="60" s="1"/>
  <c r="N25" i="60" s="1"/>
  <c r="E24" i="31"/>
  <c r="D24" i="31"/>
  <c r="I24" i="60" s="1"/>
  <c r="N24" i="60" s="1"/>
  <c r="E23" i="31"/>
  <c r="D23" i="31"/>
  <c r="I23" i="60" s="1"/>
  <c r="N23" i="60" s="1"/>
  <c r="E22" i="31"/>
  <c r="D22" i="31"/>
  <c r="I22" i="60" s="1"/>
  <c r="N22" i="60" s="1"/>
  <c r="E21" i="31"/>
  <c r="D21" i="31"/>
  <c r="I21" i="60" s="1"/>
  <c r="N21" i="60" s="1"/>
  <c r="E20" i="31"/>
  <c r="D20" i="31"/>
  <c r="I20" i="60" s="1"/>
  <c r="N20" i="60" s="1"/>
  <c r="E19" i="31"/>
  <c r="D19" i="31"/>
  <c r="I19" i="60" s="1"/>
  <c r="N19" i="60" s="1"/>
  <c r="E18" i="31"/>
  <c r="D18" i="31"/>
  <c r="I18" i="60" s="1"/>
  <c r="N18" i="60" s="1"/>
  <c r="E17" i="31"/>
  <c r="D17" i="31"/>
  <c r="I17" i="60" s="1"/>
  <c r="N17" i="60" s="1"/>
  <c r="E16" i="31"/>
  <c r="D16" i="31"/>
  <c r="I16" i="60" s="1"/>
  <c r="N16" i="60" s="1"/>
  <c r="E20" i="8"/>
  <c r="E19" i="8"/>
  <c r="E18" i="8"/>
  <c r="E17" i="8"/>
  <c r="E16" i="8"/>
  <c r="E15" i="8"/>
  <c r="D20" i="8"/>
  <c r="D19" i="8"/>
  <c r="D18" i="8"/>
  <c r="D17" i="8"/>
  <c r="D16" i="8"/>
  <c r="D15" i="8"/>
  <c r="I65" i="60" s="1"/>
  <c r="E13" i="35"/>
  <c r="S31" i="60" l="1"/>
  <c r="X31" i="60" s="1"/>
  <c r="E30" i="40" s="1"/>
  <c r="S21" i="60"/>
  <c r="X21" i="60" s="1"/>
  <c r="E20" i="40" s="1"/>
  <c r="S35" i="60"/>
  <c r="X35" i="60" s="1"/>
  <c r="E34" i="40" s="1"/>
  <c r="S34" i="60"/>
  <c r="X34" i="60" s="1"/>
  <c r="E33" i="40" s="1"/>
  <c r="L37" i="60"/>
  <c r="S37" i="60" s="1"/>
  <c r="X37" i="60" s="1"/>
  <c r="E38" i="40" s="1"/>
  <c r="S36" i="60"/>
  <c r="X36" i="60" s="1"/>
  <c r="E35" i="40" s="1"/>
  <c r="S25" i="60"/>
  <c r="X25" i="60" s="1"/>
  <c r="E24" i="40" s="1"/>
  <c r="S29" i="60"/>
  <c r="X29" i="60" s="1"/>
  <c r="E28" i="40" s="1"/>
  <c r="S33" i="60"/>
  <c r="X33" i="60" s="1"/>
  <c r="E32" i="40" s="1"/>
  <c r="S28" i="60"/>
  <c r="X28" i="60" s="1"/>
  <c r="E27" i="40" s="1"/>
  <c r="S47" i="60"/>
  <c r="X47" i="60" s="1"/>
  <c r="E48" i="40" s="1"/>
  <c r="S30" i="60"/>
  <c r="X30" i="60" s="1"/>
  <c r="E29" i="40" s="1"/>
  <c r="S32" i="60"/>
  <c r="X32" i="60" s="1"/>
  <c r="E31" i="40" s="1"/>
  <c r="S27" i="60"/>
  <c r="X27" i="60" s="1"/>
  <c r="E26" i="40" s="1"/>
  <c r="L53" i="60"/>
  <c r="S53" i="60" s="1"/>
  <c r="X53" i="60" s="1"/>
  <c r="E53" i="40" s="1"/>
  <c r="S23" i="60"/>
  <c r="X23" i="60" s="1"/>
  <c r="E22" i="40" s="1"/>
  <c r="S22" i="60"/>
  <c r="X22" i="60" s="1"/>
  <c r="E21" i="40" s="1"/>
  <c r="G16" i="31"/>
  <c r="M16" i="31" s="1"/>
  <c r="G22" i="31"/>
  <c r="M22" i="31" s="1"/>
  <c r="G28" i="31"/>
  <c r="M28" i="31" s="1"/>
  <c r="G34" i="31"/>
  <c r="M34" i="31" s="1"/>
  <c r="G26" i="31"/>
  <c r="M26" i="31" s="1"/>
  <c r="G17" i="31"/>
  <c r="M17" i="31" s="1"/>
  <c r="G29" i="31"/>
  <c r="M29" i="31" s="1"/>
  <c r="G25" i="31"/>
  <c r="M25" i="31" s="1"/>
  <c r="G35" i="31"/>
  <c r="M35" i="31" s="1"/>
  <c r="G23" i="31"/>
  <c r="M23" i="31" s="1"/>
  <c r="G24" i="31"/>
  <c r="M24" i="31" s="1"/>
  <c r="G30" i="31"/>
  <c r="M30" i="31" s="1"/>
  <c r="G31" i="31"/>
  <c r="M31" i="31" s="1"/>
  <c r="G20" i="31"/>
  <c r="M20" i="31" s="1"/>
  <c r="G33" i="31"/>
  <c r="M33" i="31" s="1"/>
  <c r="G18" i="31"/>
  <c r="M18" i="31" s="1"/>
  <c r="G36" i="31"/>
  <c r="M36" i="31" s="1"/>
  <c r="G19" i="31"/>
  <c r="M19" i="31" s="1"/>
  <c r="G37" i="31"/>
  <c r="M37" i="31" s="1"/>
  <c r="G32" i="31"/>
  <c r="M32" i="31" s="1"/>
  <c r="G21" i="31"/>
  <c r="M21" i="31" s="1"/>
  <c r="G27" i="31"/>
  <c r="M27" i="31" s="1"/>
  <c r="I66" i="60"/>
  <c r="I67" i="60"/>
  <c r="I68" i="60"/>
  <c r="I69" i="60"/>
  <c r="I70" i="60"/>
  <c r="G20" i="60"/>
  <c r="G17" i="60"/>
  <c r="G18" i="60"/>
  <c r="G19" i="60"/>
  <c r="G26" i="60"/>
  <c r="G16" i="60"/>
  <c r="G46" i="60"/>
  <c r="G24" i="60"/>
  <c r="E21" i="8"/>
  <c r="D21" i="8"/>
  <c r="S16" i="60" l="1"/>
  <c r="X16" i="60" s="1"/>
  <c r="E15" i="40" s="1"/>
  <c r="S19" i="60"/>
  <c r="X19" i="60" s="1"/>
  <c r="E18" i="40" s="1"/>
  <c r="S17" i="60"/>
  <c r="X17" i="60" s="1"/>
  <c r="E16" i="40" s="1"/>
  <c r="S18" i="60"/>
  <c r="X18" i="60" s="1"/>
  <c r="E17" i="40" s="1"/>
  <c r="S46" i="60"/>
  <c r="X46" i="60" s="1"/>
  <c r="E47" i="40" s="1"/>
  <c r="S26" i="60"/>
  <c r="X26" i="60" s="1"/>
  <c r="E25" i="40" s="1"/>
  <c r="S20" i="60"/>
  <c r="X20" i="60" s="1"/>
  <c r="E19" i="40" s="1"/>
  <c r="S24" i="60"/>
  <c r="X24" i="60" s="1"/>
  <c r="E23" i="40" s="1"/>
  <c r="E4" i="60"/>
  <c r="H20" i="8" l="1"/>
  <c r="H19" i="8"/>
  <c r="H18" i="8"/>
  <c r="H17" i="8"/>
  <c r="H16" i="8"/>
  <c r="H15" i="8" l="1"/>
  <c r="I15" i="8" s="1"/>
  <c r="J15" i="8" s="1"/>
  <c r="P15" i="8" s="1"/>
  <c r="E41" i="35" l="1"/>
  <c r="E40" i="35"/>
  <c r="E39" i="35"/>
  <c r="E38" i="35"/>
  <c r="E37" i="35"/>
  <c r="E36" i="35"/>
  <c r="E35" i="35"/>
  <c r="E34" i="35"/>
  <c r="E33" i="35"/>
  <c r="E32" i="35"/>
  <c r="E31" i="35"/>
  <c r="E30" i="35"/>
  <c r="E29" i="35"/>
  <c r="E28" i="35"/>
  <c r="E27" i="35"/>
  <c r="E25" i="35"/>
  <c r="E24" i="35"/>
  <c r="E23" i="35"/>
  <c r="E22" i="35"/>
  <c r="E21" i="35"/>
  <c r="D41" i="35"/>
  <c r="I98" i="60" s="1"/>
  <c r="D40" i="35"/>
  <c r="I97" i="60" s="1"/>
  <c r="D39" i="35"/>
  <c r="I96" i="60" s="1"/>
  <c r="D38" i="35"/>
  <c r="I95" i="60" s="1"/>
  <c r="D37" i="35"/>
  <c r="I94" i="60" s="1"/>
  <c r="D36" i="35"/>
  <c r="I93" i="60" s="1"/>
  <c r="D35" i="35"/>
  <c r="I92" i="60" s="1"/>
  <c r="D34" i="35"/>
  <c r="I91" i="60" s="1"/>
  <c r="D33" i="35"/>
  <c r="I90" i="60" s="1"/>
  <c r="D32" i="35"/>
  <c r="I89" i="60" s="1"/>
  <c r="D31" i="35"/>
  <c r="I88" i="60" s="1"/>
  <c r="D30" i="35"/>
  <c r="I87" i="60" s="1"/>
  <c r="D29" i="35"/>
  <c r="I86" i="60" s="1"/>
  <c r="D27" i="35"/>
  <c r="I84" i="60" s="1"/>
  <c r="D26" i="35"/>
  <c r="I83" i="60" s="1"/>
  <c r="D25" i="35"/>
  <c r="I82" i="60" s="1"/>
  <c r="D24" i="35"/>
  <c r="I81" i="60" s="1"/>
  <c r="D23" i="35"/>
  <c r="I80" i="60" s="1"/>
  <c r="D22" i="35"/>
  <c r="I79" i="60" s="1"/>
  <c r="D21" i="35"/>
  <c r="I78" i="60" s="1"/>
  <c r="F35" i="35" l="1"/>
  <c r="F23" i="35"/>
  <c r="F36" i="35"/>
  <c r="F34" i="35"/>
  <c r="F25" i="35"/>
  <c r="F38" i="35"/>
  <c r="F32" i="35"/>
  <c r="F33" i="35"/>
  <c r="I33" i="35" s="1"/>
  <c r="F31" i="35"/>
  <c r="I31" i="35" s="1"/>
  <c r="F22" i="35"/>
  <c r="I22" i="35" s="1"/>
  <c r="E15" i="35"/>
  <c r="F24" i="35"/>
  <c r="I24" i="35" s="1"/>
  <c r="F37" i="35"/>
  <c r="I37" i="35" s="1"/>
  <c r="F27" i="35"/>
  <c r="I27" i="35" s="1"/>
  <c r="F39" i="35"/>
  <c r="I39" i="35" s="1"/>
  <c r="F21" i="35"/>
  <c r="I21" i="35" s="1"/>
  <c r="F40" i="35"/>
  <c r="I40" i="35" s="1"/>
  <c r="F29" i="35"/>
  <c r="I29" i="35" s="1"/>
  <c r="F41" i="35"/>
  <c r="F30" i="35"/>
  <c r="I30" i="35" s="1"/>
  <c r="I25" i="35" l="1"/>
  <c r="K25" i="35" s="1"/>
  <c r="I38" i="35"/>
  <c r="K38" i="35" s="1"/>
  <c r="I32" i="35"/>
  <c r="K32" i="35" s="1"/>
  <c r="I34" i="35"/>
  <c r="K34" i="35" s="1"/>
  <c r="I23" i="35"/>
  <c r="K23" i="35" s="1"/>
  <c r="I36" i="35"/>
  <c r="K36" i="35" s="1"/>
  <c r="I35" i="35"/>
  <c r="K35" i="35" s="1"/>
  <c r="K41" i="35"/>
  <c r="K24" i="35"/>
  <c r="K27" i="35"/>
  <c r="K22" i="35"/>
  <c r="K37" i="35"/>
  <c r="K21" i="35"/>
  <c r="D28" i="35"/>
  <c r="I85" i="60" s="1"/>
  <c r="E26" i="35"/>
  <c r="E14" i="35" l="1"/>
  <c r="F26" i="35"/>
  <c r="E51" i="35"/>
  <c r="D51" i="35"/>
  <c r="F28" i="35"/>
  <c r="I28" i="35" s="1"/>
  <c r="E16" i="35"/>
  <c r="E55" i="31"/>
  <c r="D55" i="31"/>
  <c r="I55" i="60" s="1"/>
  <c r="N55" i="60" s="1"/>
  <c r="E54" i="31"/>
  <c r="D54" i="31"/>
  <c r="I54" i="60" s="1"/>
  <c r="N54" i="60" s="1"/>
  <c r="E53" i="31"/>
  <c r="D53" i="31"/>
  <c r="I53" i="60" s="1"/>
  <c r="N53" i="60" s="1"/>
  <c r="E52" i="31"/>
  <c r="D52" i="31"/>
  <c r="I52" i="60" s="1"/>
  <c r="N52" i="60" s="1"/>
  <c r="E51" i="31"/>
  <c r="D51" i="31"/>
  <c r="I51" i="60" s="1"/>
  <c r="N51" i="60" s="1"/>
  <c r="E50" i="31"/>
  <c r="D50" i="31"/>
  <c r="I50" i="60" s="1"/>
  <c r="N50" i="60" s="1"/>
  <c r="E49" i="31"/>
  <c r="D49" i="31"/>
  <c r="I49" i="60" s="1"/>
  <c r="N49" i="60" s="1"/>
  <c r="E48" i="31"/>
  <c r="D48" i="31"/>
  <c r="I48" i="60" s="1"/>
  <c r="N48" i="60" s="1"/>
  <c r="E47" i="31"/>
  <c r="D47" i="31"/>
  <c r="I47" i="60" s="1"/>
  <c r="N47" i="60" s="1"/>
  <c r="E46" i="31"/>
  <c r="D46" i="31"/>
  <c r="I46" i="60" s="1"/>
  <c r="N46" i="60" s="1"/>
  <c r="E45" i="31"/>
  <c r="D45" i="31"/>
  <c r="I45" i="60" s="1"/>
  <c r="N45" i="60" s="1"/>
  <c r="E44" i="31"/>
  <c r="D44" i="31"/>
  <c r="I44" i="60" s="1"/>
  <c r="N44" i="60" s="1"/>
  <c r="E43" i="31"/>
  <c r="D43" i="31"/>
  <c r="I43" i="60" s="1"/>
  <c r="N43" i="60" s="1"/>
  <c r="E42" i="31"/>
  <c r="D42" i="31"/>
  <c r="I42" i="60" s="1"/>
  <c r="N42" i="60" s="1"/>
  <c r="E41" i="31"/>
  <c r="D41" i="31"/>
  <c r="I41" i="60" s="1"/>
  <c r="N41" i="60" s="1"/>
  <c r="E40" i="31"/>
  <c r="D40" i="31"/>
  <c r="I40" i="60" s="1"/>
  <c r="N40" i="60" s="1"/>
  <c r="E39" i="31"/>
  <c r="D39" i="31"/>
  <c r="I39" i="60" s="1"/>
  <c r="N39" i="60" s="1"/>
  <c r="E38" i="31"/>
  <c r="D38" i="31"/>
  <c r="I38" i="60" s="1"/>
  <c r="N38" i="60" s="1"/>
  <c r="F4" i="60" l="1"/>
  <c r="G51" i="31"/>
  <c r="M51" i="31" s="1"/>
  <c r="G50" i="31"/>
  <c r="M50" i="31" s="1"/>
  <c r="G49" i="31"/>
  <c r="M49" i="31" s="1"/>
  <c r="G42" i="31"/>
  <c r="M42" i="31" s="1"/>
  <c r="G48" i="31"/>
  <c r="M48" i="31" s="1"/>
  <c r="G45" i="31"/>
  <c r="M45" i="31" s="1"/>
  <c r="G52" i="31"/>
  <c r="M52" i="31" s="1"/>
  <c r="G55" i="31"/>
  <c r="M55" i="31" s="1"/>
  <c r="G44" i="31"/>
  <c r="M44" i="31" s="1"/>
  <c r="G46" i="31"/>
  <c r="M46" i="31" s="1"/>
  <c r="G54" i="31"/>
  <c r="M54" i="31" s="1"/>
  <c r="G43" i="31"/>
  <c r="M43" i="31" s="1"/>
  <c r="G38" i="31"/>
  <c r="M38" i="31" s="1"/>
  <c r="G39" i="31"/>
  <c r="M39" i="31" s="1"/>
  <c r="G40" i="31"/>
  <c r="M40" i="31" s="1"/>
  <c r="G41" i="31"/>
  <c r="M41" i="31" s="1"/>
  <c r="G47" i="31"/>
  <c r="M47" i="31" s="1"/>
  <c r="G53" i="31"/>
  <c r="M53" i="31" s="1"/>
  <c r="K26" i="35"/>
  <c r="K14" i="35" s="1"/>
  <c r="L14" i="35" s="1"/>
  <c r="L26" i="35" s="1"/>
  <c r="K28" i="35"/>
  <c r="K33" i="35"/>
  <c r="E15" i="31"/>
  <c r="D15" i="31"/>
  <c r="I15" i="60" s="1"/>
  <c r="I58" i="60" l="1"/>
  <c r="D4" i="60"/>
  <c r="N15" i="60"/>
  <c r="N58" i="60" s="1"/>
  <c r="G15" i="31"/>
  <c r="M15" i="31" s="1"/>
  <c r="L27" i="35"/>
  <c r="L21" i="35"/>
  <c r="M21" i="35" s="1"/>
  <c r="L25" i="35"/>
  <c r="L24" i="35"/>
  <c r="L23" i="35"/>
  <c r="L22" i="35"/>
  <c r="K29" i="35"/>
  <c r="K40" i="35"/>
  <c r="K39" i="35"/>
  <c r="S21" i="35" l="1"/>
  <c r="W21" i="35" s="1"/>
  <c r="K30" i="35"/>
  <c r="K31" i="35"/>
  <c r="M26" i="35"/>
  <c r="M22" i="35"/>
  <c r="M25" i="35"/>
  <c r="M24" i="35"/>
  <c r="M27" i="35"/>
  <c r="F78" i="60" l="1"/>
  <c r="S26" i="35"/>
  <c r="W26" i="35" s="1"/>
  <c r="S27" i="35"/>
  <c r="W27" i="35" s="1"/>
  <c r="S24" i="35"/>
  <c r="W24" i="35" s="1"/>
  <c r="S25" i="35"/>
  <c r="W25" i="35" s="1"/>
  <c r="S22" i="35"/>
  <c r="W22" i="35" s="1"/>
  <c r="K15" i="35"/>
  <c r="L15" i="35" s="1"/>
  <c r="K16" i="35"/>
  <c r="M23" i="35"/>
  <c r="F79" i="60" l="1"/>
  <c r="F81" i="60"/>
  <c r="F83" i="60"/>
  <c r="F82" i="60"/>
  <c r="F84" i="60"/>
  <c r="S23" i="35"/>
  <c r="W23" i="35" s="1"/>
  <c r="L40" i="35"/>
  <c r="M40" i="35" s="1"/>
  <c r="L41" i="35"/>
  <c r="M41" i="35" s="1"/>
  <c r="L38" i="35"/>
  <c r="L39" i="35"/>
  <c r="M39" i="35" s="1"/>
  <c r="L36" i="35"/>
  <c r="L37" i="35"/>
  <c r="L34" i="35"/>
  <c r="M34" i="35" s="1"/>
  <c r="L35" i="35"/>
  <c r="L33" i="35"/>
  <c r="M33" i="35" s="1"/>
  <c r="L29" i="35"/>
  <c r="M29" i="35" s="1"/>
  <c r="L32" i="35"/>
  <c r="M32" i="35" s="1"/>
  <c r="L31" i="35"/>
  <c r="L30" i="35"/>
  <c r="L28" i="35"/>
  <c r="M28" i="35" s="1"/>
  <c r="K17" i="35"/>
  <c r="L16" i="35"/>
  <c r="F80" i="60" l="1"/>
  <c r="S39" i="35"/>
  <c r="W39" i="35" s="1"/>
  <c r="S41" i="35"/>
  <c r="W41" i="35" s="1"/>
  <c r="S40" i="35"/>
  <c r="W40" i="35" s="1"/>
  <c r="S32" i="35"/>
  <c r="W32" i="35" s="1"/>
  <c r="S29" i="35"/>
  <c r="W29" i="35" s="1"/>
  <c r="S33" i="35"/>
  <c r="W33" i="35" s="1"/>
  <c r="S34" i="35"/>
  <c r="W34" i="35" s="1"/>
  <c r="S28" i="35"/>
  <c r="W28" i="35" s="1"/>
  <c r="M37" i="35"/>
  <c r="M38" i="35"/>
  <c r="M36" i="35"/>
  <c r="M35" i="35"/>
  <c r="M31" i="35"/>
  <c r="M30" i="35"/>
  <c r="F85" i="60" l="1"/>
  <c r="F91" i="60"/>
  <c r="F90" i="60"/>
  <c r="F86" i="60"/>
  <c r="F89" i="60"/>
  <c r="F97" i="60"/>
  <c r="F98" i="60"/>
  <c r="F96" i="60"/>
  <c r="S36" i="35"/>
  <c r="W36" i="35" s="1"/>
  <c r="S37" i="35"/>
  <c r="W37" i="35" s="1"/>
  <c r="S30" i="35"/>
  <c r="W30" i="35" s="1"/>
  <c r="S31" i="35"/>
  <c r="W31" i="35" s="1"/>
  <c r="S35" i="35"/>
  <c r="W35" i="35" s="1"/>
  <c r="S38" i="35"/>
  <c r="W38" i="35" s="1"/>
  <c r="Q80" i="60"/>
  <c r="F87" i="60" l="1"/>
  <c r="F93" i="60"/>
  <c r="F92" i="60"/>
  <c r="F95" i="60"/>
  <c r="F88" i="60"/>
  <c r="F94" i="60"/>
  <c r="Q85" i="60" l="1"/>
  <c r="Q106" i="60" l="1"/>
  <c r="Q86" i="60"/>
  <c r="Q108" i="60" l="1"/>
  <c r="Q78" i="60"/>
  <c r="Q81" i="60"/>
  <c r="Q82" i="60"/>
  <c r="Q83" i="60"/>
  <c r="Q84" i="60"/>
  <c r="I18" i="8"/>
  <c r="J18" i="8" s="1"/>
  <c r="I20" i="8"/>
  <c r="I17" i="8"/>
  <c r="J17" i="8" s="1"/>
  <c r="I16" i="8"/>
  <c r="J16" i="8" s="1"/>
  <c r="I19" i="8"/>
  <c r="J19" i="8" s="1"/>
  <c r="Q109" i="60" l="1"/>
  <c r="R107" i="60" s="1"/>
  <c r="P18" i="8"/>
  <c r="P19" i="8"/>
  <c r="P16" i="8"/>
  <c r="J21" i="8"/>
  <c r="J22" i="8" s="1"/>
  <c r="P17" i="8"/>
  <c r="R106" i="60" l="1"/>
  <c r="W107" i="60"/>
  <c r="Q79" i="60"/>
  <c r="R15" i="8"/>
  <c r="T15" i="8" s="1"/>
  <c r="F65" i="60" s="1"/>
  <c r="O23" i="31"/>
  <c r="R17" i="8"/>
  <c r="T17" i="8" s="1"/>
  <c r="F67" i="60" s="1"/>
  <c r="O51" i="31"/>
  <c r="O24" i="31"/>
  <c r="R19" i="8"/>
  <c r="T19" i="8" s="1"/>
  <c r="F69" i="60" s="1"/>
  <c r="O52" i="31"/>
  <c r="O37" i="31"/>
  <c r="O36" i="31"/>
  <c r="O19" i="31"/>
  <c r="O43" i="31"/>
  <c r="O41" i="31"/>
  <c r="O30" i="31"/>
  <c r="O54" i="31"/>
  <c r="O49" i="31"/>
  <c r="R16" i="8"/>
  <c r="T16" i="8" s="1"/>
  <c r="F66" i="60" s="1"/>
  <c r="O27" i="31"/>
  <c r="O26" i="31"/>
  <c r="O25" i="31"/>
  <c r="O21" i="31"/>
  <c r="O20" i="31"/>
  <c r="O44" i="31"/>
  <c r="O33" i="31"/>
  <c r="O31" i="31"/>
  <c r="O55" i="31"/>
  <c r="O53" i="31"/>
  <c r="O48" i="31"/>
  <c r="R18" i="8"/>
  <c r="T18" i="8" s="1"/>
  <c r="F68" i="60" s="1"/>
  <c r="O22" i="31"/>
  <c r="O46" i="31"/>
  <c r="O45" i="31"/>
  <c r="O34" i="31"/>
  <c r="O17" i="31"/>
  <c r="O32" i="31"/>
  <c r="O15" i="31"/>
  <c r="O39" i="31"/>
  <c r="O50" i="31"/>
  <c r="O28" i="31"/>
  <c r="R20" i="8"/>
  <c r="T20" i="8" s="1"/>
  <c r="F70" i="60" s="1"/>
  <c r="O38" i="31"/>
  <c r="O47" i="31"/>
  <c r="O35" i="31"/>
  <c r="O18" i="31"/>
  <c r="O42" i="31"/>
  <c r="O16" i="31"/>
  <c r="O40" i="31"/>
  <c r="O29" i="31"/>
  <c r="G5" i="60" l="1"/>
  <c r="T106" i="60" s="1"/>
  <c r="W106" i="60" s="1"/>
  <c r="R108" i="60"/>
  <c r="R109" i="60" s="1"/>
  <c r="Q50" i="31"/>
  <c r="Q38" i="31"/>
  <c r="Q49" i="31"/>
  <c r="Q53" i="31"/>
  <c r="Q34" i="31"/>
  <c r="Q18" i="31"/>
  <c r="Q25" i="31"/>
  <c r="Q26" i="31"/>
  <c r="Q47" i="31"/>
  <c r="Q28" i="31"/>
  <c r="Q42" i="31"/>
  <c r="Q36" i="31"/>
  <c r="Q35" i="31"/>
  <c r="Q27" i="31"/>
  <c r="Q31" i="31"/>
  <c r="Q32" i="31"/>
  <c r="Q43" i="31"/>
  <c r="Q21" i="31"/>
  <c r="Q45" i="31"/>
  <c r="Q37" i="31"/>
  <c r="Q46" i="31"/>
  <c r="Q52" i="31"/>
  <c r="Q22" i="31"/>
  <c r="Q24" i="31"/>
  <c r="Q48" i="31"/>
  <c r="Q51" i="31"/>
  <c r="Q55" i="31"/>
  <c r="Q54" i="31"/>
  <c r="Q23" i="31"/>
  <c r="Q39" i="31"/>
  <c r="Q30" i="31"/>
  <c r="Q29" i="31"/>
  <c r="Q15" i="31"/>
  <c r="Q33" i="31"/>
  <c r="Q41" i="31"/>
  <c r="Q40" i="31"/>
  <c r="Q44" i="31"/>
  <c r="Q16" i="31"/>
  <c r="Q17" i="31"/>
  <c r="Q20" i="31"/>
  <c r="Q19" i="31"/>
  <c r="Q67" i="60" l="1"/>
  <c r="Q66" i="60"/>
  <c r="Q70" i="60"/>
  <c r="Q68" i="60"/>
  <c r="Q69" i="60"/>
  <c r="F46" i="60"/>
  <c r="Q46" i="60" s="1"/>
  <c r="F30" i="60"/>
  <c r="F15" i="60"/>
  <c r="K17" i="60" s="1"/>
  <c r="Q17" i="60" s="1"/>
  <c r="F42" i="60"/>
  <c r="Q42" i="60" s="1"/>
  <c r="F47" i="60"/>
  <c r="Q47" i="60" s="1"/>
  <c r="F23" i="60"/>
  <c r="F36" i="60"/>
  <c r="F28" i="60"/>
  <c r="F45" i="60"/>
  <c r="Q45" i="60" s="1"/>
  <c r="F21" i="60"/>
  <c r="F19" i="60"/>
  <c r="F20" i="60"/>
  <c r="F34" i="60"/>
  <c r="F52" i="60"/>
  <c r="F37" i="60"/>
  <c r="K37" i="60" s="1"/>
  <c r="Q37" i="60" s="1"/>
  <c r="F38" i="60"/>
  <c r="K39" i="60" s="1"/>
  <c r="Q39" i="60" s="1"/>
  <c r="F39" i="60"/>
  <c r="K40" i="60" s="1"/>
  <c r="Q40" i="60" s="1"/>
  <c r="F43" i="60"/>
  <c r="Q43" i="60" s="1"/>
  <c r="F32" i="60"/>
  <c r="F55" i="60"/>
  <c r="F16" i="60"/>
  <c r="K19" i="60" s="1"/>
  <c r="Q19" i="60" s="1"/>
  <c r="F48" i="60"/>
  <c r="Q48" i="60" s="1"/>
  <c r="F40" i="60"/>
  <c r="F24" i="60"/>
  <c r="F27" i="60"/>
  <c r="F53" i="60"/>
  <c r="K54" i="60" s="1"/>
  <c r="Q54" i="60" s="1"/>
  <c r="F33" i="60"/>
  <c r="F29" i="60"/>
  <c r="F50" i="60"/>
  <c r="Q50" i="60" s="1"/>
  <c r="F26" i="60"/>
  <c r="K28" i="60" s="1"/>
  <c r="Q28" i="60" s="1"/>
  <c r="F25" i="60"/>
  <c r="Q25" i="60" s="1"/>
  <c r="F54" i="60"/>
  <c r="K55" i="60" s="1"/>
  <c r="Q55" i="60" s="1"/>
  <c r="F18" i="60"/>
  <c r="K21" i="60" s="1"/>
  <c r="Q21" i="60" s="1"/>
  <c r="F17" i="60"/>
  <c r="K20" i="60" s="1"/>
  <c r="Q20" i="60" s="1"/>
  <c r="F31" i="60"/>
  <c r="F51" i="60"/>
  <c r="Q51" i="60" s="1"/>
  <c r="F44" i="60"/>
  <c r="Q44" i="60" s="1"/>
  <c r="F41" i="60"/>
  <c r="Q41" i="60" s="1"/>
  <c r="F22" i="60"/>
  <c r="F35" i="60"/>
  <c r="F49" i="60"/>
  <c r="F71" i="60"/>
  <c r="Q65" i="60"/>
  <c r="Q53" i="60" l="1"/>
  <c r="Q71" i="60"/>
  <c r="Q72" i="60" s="1"/>
  <c r="K18" i="60"/>
  <c r="Q18" i="60" s="1"/>
  <c r="F58" i="60"/>
  <c r="K23" i="60"/>
  <c r="Q23" i="60" s="1"/>
  <c r="K24" i="60"/>
  <c r="Q24" i="60" s="1"/>
  <c r="Q15" i="60"/>
  <c r="K16" i="60"/>
  <c r="Q16" i="60" s="1"/>
  <c r="K22" i="60"/>
  <c r="Q22" i="60" s="1"/>
  <c r="K34" i="60"/>
  <c r="Q34" i="60" s="1"/>
  <c r="K29" i="60"/>
  <c r="Q29" i="60" s="1"/>
  <c r="K32" i="60"/>
  <c r="Q32" i="60" s="1"/>
  <c r="K35" i="60"/>
  <c r="Q35" i="60" s="1"/>
  <c r="K49" i="60"/>
  <c r="Q49" i="60" s="1"/>
  <c r="K52" i="60"/>
  <c r="Q52" i="60" s="1"/>
  <c r="K30" i="60"/>
  <c r="Q30" i="60" s="1"/>
  <c r="K31" i="60"/>
  <c r="Q31" i="60" s="1"/>
  <c r="K26" i="60"/>
  <c r="Q26" i="60" s="1"/>
  <c r="K33" i="60"/>
  <c r="Q33" i="60" s="1"/>
  <c r="Q38" i="60"/>
  <c r="K36" i="60"/>
  <c r="Q36" i="60" s="1"/>
  <c r="K27" i="60"/>
  <c r="Q27" i="60" s="1"/>
  <c r="Q58" i="60" l="1"/>
  <c r="Q59" i="60" s="1"/>
  <c r="R65" i="60"/>
  <c r="R70" i="60"/>
  <c r="R68" i="60"/>
  <c r="R66" i="60"/>
  <c r="R67" i="60"/>
  <c r="R69" i="60"/>
  <c r="R71" i="60" l="1"/>
  <c r="R72" i="60" s="1"/>
  <c r="E5" i="60"/>
  <c r="R15" i="60"/>
  <c r="R56" i="60"/>
  <c r="W56" i="60" s="1"/>
  <c r="R57" i="60"/>
  <c r="R19" i="60"/>
  <c r="R22" i="60"/>
  <c r="R50" i="60"/>
  <c r="R31" i="60"/>
  <c r="R42" i="60"/>
  <c r="R41" i="60"/>
  <c r="R55" i="60"/>
  <c r="R35" i="60"/>
  <c r="R27" i="60"/>
  <c r="R54" i="60"/>
  <c r="R32" i="60"/>
  <c r="R30" i="60"/>
  <c r="R34" i="60"/>
  <c r="R29" i="60"/>
  <c r="R47" i="60"/>
  <c r="R37" i="60"/>
  <c r="R51" i="60"/>
  <c r="R44" i="60"/>
  <c r="R17" i="60"/>
  <c r="R21" i="60"/>
  <c r="R39" i="60"/>
  <c r="R18" i="60"/>
  <c r="R38" i="60"/>
  <c r="R26" i="60"/>
  <c r="R53" i="60"/>
  <c r="R33" i="60"/>
  <c r="R28" i="60"/>
  <c r="R43" i="60"/>
  <c r="R46" i="60"/>
  <c r="R36" i="60"/>
  <c r="R16" i="60"/>
  <c r="R52" i="60"/>
  <c r="R45" i="60"/>
  <c r="R24" i="60"/>
  <c r="R49" i="60"/>
  <c r="R23" i="60"/>
  <c r="R25" i="60"/>
  <c r="R48" i="60"/>
  <c r="R20" i="60"/>
  <c r="R40" i="60"/>
  <c r="D5" i="60" l="1"/>
  <c r="R58" i="60"/>
  <c r="R59" i="60" s="1"/>
  <c r="W57" i="60"/>
  <c r="D37" i="40" s="1"/>
  <c r="T69" i="60"/>
  <c r="W69" i="60" s="1"/>
  <c r="T68" i="60"/>
  <c r="W68" i="60" s="1"/>
  <c r="T70" i="60"/>
  <c r="W70" i="60" s="1"/>
  <c r="T67" i="60"/>
  <c r="W67" i="60" s="1"/>
  <c r="T66" i="60"/>
  <c r="W66" i="60" s="1"/>
  <c r="T65" i="60"/>
  <c r="W65" i="60" s="1"/>
  <c r="D65" i="40" l="1"/>
  <c r="D60" i="40"/>
  <c r="D62" i="40"/>
  <c r="D64" i="40"/>
  <c r="D61" i="40"/>
  <c r="D63" i="40"/>
  <c r="T45" i="60"/>
  <c r="W45" i="60" s="1"/>
  <c r="D46" i="40" s="1"/>
  <c r="T33" i="60"/>
  <c r="W33" i="60" s="1"/>
  <c r="D32" i="40" s="1"/>
  <c r="T21" i="60"/>
  <c r="W21" i="60" s="1"/>
  <c r="D20" i="40" s="1"/>
  <c r="T44" i="60"/>
  <c r="W44" i="60" s="1"/>
  <c r="D45" i="40" s="1"/>
  <c r="T32" i="60"/>
  <c r="W32" i="60" s="1"/>
  <c r="D31" i="40" s="1"/>
  <c r="T20" i="60"/>
  <c r="W20" i="60" s="1"/>
  <c r="D19" i="40" s="1"/>
  <c r="T55" i="60"/>
  <c r="W55" i="60" s="1"/>
  <c r="D55" i="40" s="1"/>
  <c r="T43" i="60"/>
  <c r="W43" i="60" s="1"/>
  <c r="D44" i="40" s="1"/>
  <c r="T31" i="60"/>
  <c r="W31" i="60" s="1"/>
  <c r="D30" i="40" s="1"/>
  <c r="T19" i="60"/>
  <c r="W19" i="60" s="1"/>
  <c r="D18" i="40" s="1"/>
  <c r="T54" i="60"/>
  <c r="W54" i="60" s="1"/>
  <c r="D54" i="40" s="1"/>
  <c r="T42" i="60"/>
  <c r="W42" i="60" s="1"/>
  <c r="D43" i="40" s="1"/>
  <c r="T30" i="60"/>
  <c r="W30" i="60" s="1"/>
  <c r="D29" i="40" s="1"/>
  <c r="T18" i="60"/>
  <c r="W18" i="60" s="1"/>
  <c r="D17" i="40" s="1"/>
  <c r="T53" i="60"/>
  <c r="W53" i="60" s="1"/>
  <c r="D53" i="40" s="1"/>
  <c r="T41" i="60"/>
  <c r="W41" i="60" s="1"/>
  <c r="D42" i="40" s="1"/>
  <c r="T29" i="60"/>
  <c r="W29" i="60" s="1"/>
  <c r="D28" i="40" s="1"/>
  <c r="T17" i="60"/>
  <c r="W17" i="60" s="1"/>
  <c r="D16" i="40" s="1"/>
  <c r="T52" i="60"/>
  <c r="W52" i="60" s="1"/>
  <c r="D52" i="40" s="1"/>
  <c r="T40" i="60"/>
  <c r="W40" i="60" s="1"/>
  <c r="D41" i="40" s="1"/>
  <c r="T28" i="60"/>
  <c r="W28" i="60" s="1"/>
  <c r="D27" i="40" s="1"/>
  <c r="T16" i="60"/>
  <c r="W16" i="60" s="1"/>
  <c r="D15" i="40" s="1"/>
  <c r="T39" i="60"/>
  <c r="W39" i="60" s="1"/>
  <c r="D40" i="40" s="1"/>
  <c r="T27" i="60"/>
  <c r="W27" i="60" s="1"/>
  <c r="D26" i="40" s="1"/>
  <c r="T15" i="60"/>
  <c r="W15" i="60" s="1"/>
  <c r="D14" i="40" s="1"/>
  <c r="T50" i="60"/>
  <c r="W50" i="60" s="1"/>
  <c r="D50" i="40" s="1"/>
  <c r="T38" i="60"/>
  <c r="W38" i="60" s="1"/>
  <c r="D39" i="40" s="1"/>
  <c r="T26" i="60"/>
  <c r="W26" i="60" s="1"/>
  <c r="D25" i="40" s="1"/>
  <c r="T49" i="60"/>
  <c r="W49" i="60" s="1"/>
  <c r="D36" i="40" s="1"/>
  <c r="T37" i="60"/>
  <c r="W37" i="60" s="1"/>
  <c r="D38" i="40" s="1"/>
  <c r="T25" i="60"/>
  <c r="W25" i="60" s="1"/>
  <c r="D24" i="40" s="1"/>
  <c r="T48" i="60"/>
  <c r="W48" i="60" s="1"/>
  <c r="D49" i="40" s="1"/>
  <c r="T36" i="60"/>
  <c r="W36" i="60" s="1"/>
  <c r="D35" i="40" s="1"/>
  <c r="T24" i="60"/>
  <c r="W24" i="60" s="1"/>
  <c r="D23" i="40" s="1"/>
  <c r="T47" i="60"/>
  <c r="W47" i="60" s="1"/>
  <c r="D48" i="40" s="1"/>
  <c r="T35" i="60"/>
  <c r="W35" i="60" s="1"/>
  <c r="D34" i="40" s="1"/>
  <c r="T23" i="60"/>
  <c r="W23" i="60" s="1"/>
  <c r="D22" i="40" s="1"/>
  <c r="T46" i="60"/>
  <c r="W46" i="60" s="1"/>
  <c r="D47" i="40" s="1"/>
  <c r="T34" i="60"/>
  <c r="W34" i="60" s="1"/>
  <c r="D33" i="40" s="1"/>
  <c r="T22" i="60"/>
  <c r="W22" i="60" s="1"/>
  <c r="D21" i="40" s="1"/>
  <c r="T51" i="60"/>
  <c r="W51" i="60" s="1"/>
  <c r="D51" i="40" s="1"/>
  <c r="Q95" i="60" l="1"/>
  <c r="Q98" i="60"/>
  <c r="Q91" i="60" l="1"/>
  <c r="Q96" i="60" l="1"/>
  <c r="Q97" i="60"/>
  <c r="Q93" i="60"/>
  <c r="Q94" i="60"/>
  <c r="Q92" i="60"/>
  <c r="Q87" i="60"/>
  <c r="Q88" i="60"/>
  <c r="Q90" i="60"/>
  <c r="Q89" i="60"/>
  <c r="Q99" i="60" l="1"/>
  <c r="F99" i="60"/>
  <c r="Q100" i="60" l="1"/>
  <c r="D97" i="40" l="1"/>
  <c r="R78" i="60"/>
  <c r="R80" i="60"/>
  <c r="R85" i="60"/>
  <c r="R86" i="60"/>
  <c r="R84" i="60"/>
  <c r="R81" i="60"/>
  <c r="R83" i="60"/>
  <c r="R82" i="60"/>
  <c r="R79" i="60"/>
  <c r="R98" i="60"/>
  <c r="R95" i="60"/>
  <c r="R93" i="60"/>
  <c r="R92" i="60"/>
  <c r="R94" i="60"/>
  <c r="R91" i="60"/>
  <c r="R96" i="60"/>
  <c r="R97" i="60"/>
  <c r="R90" i="60"/>
  <c r="R88" i="60"/>
  <c r="R89" i="60"/>
  <c r="R87" i="60"/>
  <c r="R99" i="60" l="1"/>
  <c r="R100" i="60" s="1"/>
  <c r="F5" i="60"/>
  <c r="D96" i="40"/>
  <c r="T98" i="60" l="1"/>
  <c r="W98" i="60" s="1"/>
  <c r="T97" i="60"/>
  <c r="W97" i="60" s="1"/>
  <c r="T85" i="60"/>
  <c r="W85" i="60" s="1"/>
  <c r="T96" i="60"/>
  <c r="W96" i="60" s="1"/>
  <c r="T84" i="60"/>
  <c r="W84" i="60" s="1"/>
  <c r="T95" i="60"/>
  <c r="W95" i="60" s="1"/>
  <c r="T83" i="60"/>
  <c r="W83" i="60" s="1"/>
  <c r="T94" i="60"/>
  <c r="W94" i="60" s="1"/>
  <c r="T82" i="60"/>
  <c r="W82" i="60" s="1"/>
  <c r="T93" i="60"/>
  <c r="W93" i="60" s="1"/>
  <c r="T81" i="60"/>
  <c r="W81" i="60" s="1"/>
  <c r="T92" i="60"/>
  <c r="W92" i="60" s="1"/>
  <c r="T80" i="60"/>
  <c r="W80" i="60" s="1"/>
  <c r="T91" i="60"/>
  <c r="W91" i="60" s="1"/>
  <c r="T79" i="60"/>
  <c r="W79" i="60" s="1"/>
  <c r="T90" i="60"/>
  <c r="W90" i="60" s="1"/>
  <c r="T78" i="60"/>
  <c r="W78" i="60" s="1"/>
  <c r="T89" i="60"/>
  <c r="W89" i="60" s="1"/>
  <c r="T88" i="60"/>
  <c r="W88" i="60" s="1"/>
  <c r="T87" i="60"/>
  <c r="W87" i="60" s="1"/>
  <c r="T86" i="60"/>
  <c r="W86" i="60" s="1"/>
  <c r="D86" i="40" l="1"/>
  <c r="D90" i="40"/>
  <c r="D85" i="40"/>
  <c r="D74" i="40"/>
  <c r="D79" i="40"/>
  <c r="D75" i="40"/>
  <c r="D80" i="40"/>
  <c r="D87" i="40"/>
  <c r="D81" i="40"/>
  <c r="D76" i="40"/>
  <c r="D82" i="40"/>
  <c r="D88" i="40"/>
  <c r="D71" i="40"/>
  <c r="D77" i="40"/>
  <c r="D83" i="40"/>
  <c r="D89" i="40"/>
  <c r="D72" i="40"/>
  <c r="D78" i="40"/>
  <c r="D84" i="40"/>
  <c r="D73" i="40"/>
  <c r="D91" i="40"/>
</calcChain>
</file>

<file path=xl/sharedStrings.xml><?xml version="1.0" encoding="utf-8"?>
<sst xmlns="http://schemas.openxmlformats.org/spreadsheetml/2006/main" count="2736" uniqueCount="1044">
  <si>
    <t>SC21Z</t>
  </si>
  <si>
    <t>SC22Z</t>
  </si>
  <si>
    <t>SC23Z</t>
  </si>
  <si>
    <t>SC24Z</t>
  </si>
  <si>
    <t>SC25Z</t>
  </si>
  <si>
    <t>SC31Z</t>
  </si>
  <si>
    <t>SC42Z</t>
  </si>
  <si>
    <t>SC43Z</t>
  </si>
  <si>
    <t>SC45Z</t>
  </si>
  <si>
    <t>SC46Z</t>
  </si>
  <si>
    <t>SC47Z</t>
  </si>
  <si>
    <t>SC48Z</t>
  </si>
  <si>
    <t>SC49Z</t>
  </si>
  <si>
    <t>SC50Z</t>
  </si>
  <si>
    <t>DEPARTMENT</t>
  </si>
  <si>
    <t>Service</t>
  </si>
  <si>
    <t>CURRENCY</t>
  </si>
  <si>
    <t>TOTAL_ACTIVITY</t>
  </si>
  <si>
    <t>TOTAL_COST</t>
  </si>
  <si>
    <t>Tariff</t>
  </si>
  <si>
    <t>CHEMTHPY</t>
  </si>
  <si>
    <t>OP/DA</t>
  </si>
  <si>
    <t>SB01Z</t>
  </si>
  <si>
    <t>SB02Z</t>
  </si>
  <si>
    <t>SB03Z</t>
  </si>
  <si>
    <t>SB04Z</t>
  </si>
  <si>
    <t>SB05Z</t>
  </si>
  <si>
    <t>SB06Z</t>
  </si>
  <si>
    <t>SB07Z</t>
  </si>
  <si>
    <t>SB08Z</t>
  </si>
  <si>
    <t>SB09Z</t>
  </si>
  <si>
    <t>SB10Z</t>
  </si>
  <si>
    <t>SB11Z</t>
  </si>
  <si>
    <t>SB12Z</t>
  </si>
  <si>
    <t>SB13Z</t>
  </si>
  <si>
    <t>SB14Z</t>
  </si>
  <si>
    <t>SB15Z</t>
  </si>
  <si>
    <t>SB16Z</t>
  </si>
  <si>
    <t>SB17Z</t>
  </si>
  <si>
    <t>RADTHPY</t>
  </si>
  <si>
    <t>SC26Z</t>
  </si>
  <si>
    <t>SC27Z</t>
  </si>
  <si>
    <t>SC28Z</t>
  </si>
  <si>
    <t>SC29Z</t>
  </si>
  <si>
    <t>SC30Z</t>
  </si>
  <si>
    <t>SC40Z</t>
  </si>
  <si>
    <t>SC41Z</t>
  </si>
  <si>
    <t>SC44Z</t>
  </si>
  <si>
    <t>SC51Z</t>
  </si>
  <si>
    <t>SC52Z</t>
  </si>
  <si>
    <t>SC53Z</t>
  </si>
  <si>
    <t>SC56Z</t>
  </si>
  <si>
    <t>SC54Z</t>
  </si>
  <si>
    <t>SC55Z</t>
  </si>
  <si>
    <t>SC57Z</t>
  </si>
  <si>
    <t>2013/14</t>
  </si>
  <si>
    <t>2014/15</t>
  </si>
  <si>
    <t>Source:</t>
  </si>
  <si>
    <t>Currency Name</t>
  </si>
  <si>
    <t>Activity</t>
  </si>
  <si>
    <t>Deliver a fraction of treatment on a megavoltage machine</t>
  </si>
  <si>
    <t>Deliver a fraction of complex treatment on a megavoltage machine</t>
  </si>
  <si>
    <t>Deliver a fraction of Radiotherapy on a megavoltage machine using General Anaesthetic</t>
  </si>
  <si>
    <t>Deliver a fraction of Total Body Irradiation</t>
  </si>
  <si>
    <t>Other Radiotherapy Treatment</t>
  </si>
  <si>
    <t>Deliver a fraction of adaptive Radiotherapy on a megavoltage machine</t>
  </si>
  <si>
    <t>Preparation for intensity modulated radiation therapy</t>
  </si>
  <si>
    <t>Preparation for intensity modulated radiation therapy-With Technical Support</t>
  </si>
  <si>
    <t>Preparation for Total Body Irradiation</t>
  </si>
  <si>
    <t>Preparation for Total Body Irradiation-With Technical Support</t>
  </si>
  <si>
    <t>Preparation for hemi body irradiation</t>
  </si>
  <si>
    <t>Preparation for simple radiotherapy with imaging and dosimetry</t>
  </si>
  <si>
    <t>Preparation for simple radiotherapy with imaging and dosimetry-With Technical Support</t>
  </si>
  <si>
    <t>Preparation for simple radiotherapy with imaging and simple calculation</t>
  </si>
  <si>
    <t>Preparation for simple radiotherapy with imaging and simple calculation-With Technical Support</t>
  </si>
  <si>
    <t>Preparation for superficial radiotherapy with simple calculation</t>
  </si>
  <si>
    <t>Preparation for superficial radiotherapy with simple calculation-With Technical Support</t>
  </si>
  <si>
    <t>Preparation for complex conformal radiotherapy</t>
  </si>
  <si>
    <t>Preparation for complex conformal radiotherapy-With Technical Support</t>
  </si>
  <si>
    <t>Other external beam radiotherapy preparation</t>
  </si>
  <si>
    <t>Notes:</t>
  </si>
  <si>
    <t>Prices scaled separately between delivery (SC21Z - SC31Z) and preparation (SC40Z - SC57Z) HRGs.</t>
  </si>
  <si>
    <t>Removed SC26Z - SC28Z, SC30Z, SC53Z - SC55Z, SC57Z. Quantum NOT redistributed.</t>
  </si>
  <si>
    <t>Prices for SC29Z and SC56Z set to zero. Quantum redistributed.</t>
  </si>
  <si>
    <t>Currency name</t>
  </si>
  <si>
    <t>Weighting</t>
  </si>
  <si>
    <t>Deliver exclusively Oral Chemotherapy</t>
  </si>
  <si>
    <t>Deliver simple Parenteral Chemotherapy at first attendance</t>
  </si>
  <si>
    <t>Deliver more complex Parenteral Chemotherapy at first attendance</t>
  </si>
  <si>
    <t>Deliver complex Chemotherapy, including prolonged infusional treatment at first attendance</t>
  </si>
  <si>
    <t>Deliver subsequent elements of a Chemotherapy cycle</t>
  </si>
  <si>
    <t>Deliver chemotherapy for regimens not on the national list</t>
  </si>
  <si>
    <t>2015/16</t>
  </si>
  <si>
    <t>HRG code</t>
  </si>
  <si>
    <t>HRG name</t>
  </si>
  <si>
    <t>Tariff (including cost of reporting) (£)</t>
  </si>
  <si>
    <t>Cost of reporting
(£)</t>
  </si>
  <si>
    <t>RA03Z</t>
  </si>
  <si>
    <t>Magnetic Resonance Imaging Scan, one area, pre and post contrast</t>
  </si>
  <si>
    <t>RA04Z</t>
  </si>
  <si>
    <t>Magnetic Resonance Imaging Scan, two - three areas, no contrast</t>
  </si>
  <si>
    <t>RA05Z</t>
  </si>
  <si>
    <t>Magnetic Resonance Imaging Scan, two - three areas, with contrast</t>
  </si>
  <si>
    <t>RA06Z</t>
  </si>
  <si>
    <t>Magnetic Resonance Imaging Scan, more than three areas</t>
  </si>
  <si>
    <t>RA07Z</t>
  </si>
  <si>
    <t>Magnetic Resonance Imaging Scan, requiring extensive patient repositioning and/or more than one contrast agent</t>
  </si>
  <si>
    <t>RA10Z</t>
  </si>
  <si>
    <t>Computerised Tomography Scan, one area, pre and post contrast</t>
  </si>
  <si>
    <t>RA11Z</t>
  </si>
  <si>
    <t>Computerised Tomography Scan, two areas without contrast</t>
  </si>
  <si>
    <t>RA12Z</t>
  </si>
  <si>
    <t>Computerised Tomography Scan, two areas with contrast</t>
  </si>
  <si>
    <t>RA50Z</t>
  </si>
  <si>
    <t>Computerised Tomography Scan, three areas without contrast</t>
  </si>
  <si>
    <t>RA13Z</t>
  </si>
  <si>
    <t>Computerised Tomography Scan, three areas with contrast</t>
  </si>
  <si>
    <t>RA14Z</t>
  </si>
  <si>
    <t>Computerised Tomography Scan, more than three areas</t>
  </si>
  <si>
    <t>RA15Z</t>
  </si>
  <si>
    <t>Dexa Scan</t>
  </si>
  <si>
    <t>RA16Z</t>
  </si>
  <si>
    <t>Contrast Fluoroscopy Procedures less than 20 minutes</t>
  </si>
  <si>
    <t>RA17Z</t>
  </si>
  <si>
    <t>Contrast Fluoroscopy Procedures 20 - 40 minutes</t>
  </si>
  <si>
    <t>RA18Z</t>
  </si>
  <si>
    <t>Contrast Fluoroscopy Procedures more than 40 minutes</t>
  </si>
  <si>
    <t>RA23Z</t>
  </si>
  <si>
    <t>Ultrasound Scan less than 20 minutes</t>
  </si>
  <si>
    <t>RA24Z</t>
  </si>
  <si>
    <t>Ultrasound Scan more than 20 minutes</t>
  </si>
  <si>
    <t>RA35Z</t>
  </si>
  <si>
    <t>Nuclear Medicine - category 1</t>
  </si>
  <si>
    <t>RA36Z</t>
  </si>
  <si>
    <t>Nuclear Medicine - category 2</t>
  </si>
  <si>
    <t>RA37Z</t>
  </si>
  <si>
    <t>Nuclear Medicine - category 3</t>
  </si>
  <si>
    <t>RA38Z</t>
  </si>
  <si>
    <t>Nuclear Medicine - category 4</t>
  </si>
  <si>
    <t>RA39Z</t>
  </si>
  <si>
    <t>Nuclear Medicine - category 5</t>
  </si>
  <si>
    <t>RA40Z</t>
  </si>
  <si>
    <t>Nuclear Medicine - category 6</t>
  </si>
  <si>
    <t>Unbundled chemotherapy delivery</t>
  </si>
  <si>
    <t>Return to top</t>
  </si>
  <si>
    <t>Tariff (£)</t>
  </si>
  <si>
    <t>Deliver Exclusively Oral Chemotherapy</t>
  </si>
  <si>
    <t>Deliver Subsequent Elements of a Chemotherapy Cycle</t>
  </si>
  <si>
    <t>Deliver Chemotherapy for Regimens not on the National List</t>
  </si>
  <si>
    <t>Unbundled external beam radiotherapy</t>
  </si>
  <si>
    <t>Deliver a Fraction of Treatment on a Superficial or Orthovoltage Machine</t>
  </si>
  <si>
    <t>Deliver a Fraction of Treatment on a Megavoltage Machine</t>
  </si>
  <si>
    <t>Deliver a Fraction of Complex Treatment on a Megavoltage Machine</t>
  </si>
  <si>
    <t>Deliver a Fraction of Radiotherapy on a Megavoltage Machine using General Anaesthetic</t>
  </si>
  <si>
    <t>Deliver a Fraction of Total Body Irradiation</t>
  </si>
  <si>
    <t>Deliver a Fraction of Adaptive Radiotherapy on a Megavoltage Machine</t>
  </si>
  <si>
    <t>Preparation for Intensity Modulated Radiation Therapy</t>
  </si>
  <si>
    <t>Preparation for Intensity Modulated Radiation Therapy, with Technical Support</t>
  </si>
  <si>
    <t>Preparation for Total Body Irradiation, with Technical Support</t>
  </si>
  <si>
    <t>Preparation for Hemi Body Irradiation</t>
  </si>
  <si>
    <t>Preparation for Simple Radiotherapy with Imaging and Dosimetry</t>
  </si>
  <si>
    <t>Preparation for Simple Radiotherapy with Imaging and Dosimetry, with Technical Support</t>
  </si>
  <si>
    <t>Preparation for Simple Radiotherapy with Imaging and Simple Calculation</t>
  </si>
  <si>
    <t>Preparation for Simple Radiotherapy with Imaging and Simple Calculation, with Technical Support</t>
  </si>
  <si>
    <t>Preparation for Superficial Radiotherapy with Simple Calculation</t>
  </si>
  <si>
    <t>Preparation for Superficial Radiotherapy with Simple Calculation, with Technical Support</t>
  </si>
  <si>
    <t>Preparation for Complex Conformal Radiotherapy</t>
  </si>
  <si>
    <t>Preparation for Complex Conformal Radiotherapy, with Technical Support</t>
  </si>
  <si>
    <t>Other External Beam Radiotherapy Preparation</t>
  </si>
  <si>
    <t>Direct access and outpatient diagnostic imaging services</t>
  </si>
  <si>
    <t>RA42Z</t>
  </si>
  <si>
    <t>DIAGIM</t>
  </si>
  <si>
    <t>RA19Z</t>
  </si>
  <si>
    <t>RA20Z</t>
  </si>
  <si>
    <t>RA21Z</t>
  </si>
  <si>
    <t>RA25Z</t>
  </si>
  <si>
    <t>RA26Z</t>
  </si>
  <si>
    <t>RA27Z</t>
  </si>
  <si>
    <t>Adjustment Type</t>
  </si>
  <si>
    <t>RA01A</t>
  </si>
  <si>
    <t>RA01B</t>
  </si>
  <si>
    <t>RA01C</t>
  </si>
  <si>
    <t>RA02A</t>
  </si>
  <si>
    <t>RA02B</t>
  </si>
  <si>
    <t>RA02C</t>
  </si>
  <si>
    <t>RA08A</t>
  </si>
  <si>
    <t>RA08B</t>
  </si>
  <si>
    <t>RA08C</t>
  </si>
  <si>
    <t>RA09A</t>
  </si>
  <si>
    <t>RA09B</t>
  </si>
  <si>
    <t>RA09C</t>
  </si>
  <si>
    <t>RA60A</t>
  </si>
  <si>
    <t>RA60B</t>
  </si>
  <si>
    <t>RA60C</t>
  </si>
  <si>
    <t>RA65Z</t>
  </si>
  <si>
    <t>RA66Z</t>
  </si>
  <si>
    <t>RA67Z</t>
  </si>
  <si>
    <t>HRG</t>
  </si>
  <si>
    <r>
      <t xml:space="preserve">  </t>
    </r>
    <r>
      <rPr>
        <sz val="10"/>
        <color rgb="FF008000"/>
        <rFont val="Courier New"/>
        <family val="3"/>
      </rPr>
      <t>/*</t>
    </r>
  </si>
  <si>
    <t xml:space="preserve">  DROP TABLE #Filter_for_Scope </t>
  </si>
  <si>
    <t xml:space="preserve">  DROP TABLE #Remove_MFF</t>
  </si>
  <si>
    <t xml:space="preserve">  DROP TABLE #National_Average </t>
  </si>
  <si>
    <t xml:space="preserve">  DROP TABLE #Clean_Data</t>
  </si>
  <si>
    <t xml:space="preserve">  DROP TABLE #NATIONAL_DATA_CLEAN</t>
  </si>
  <si>
    <t xml:space="preserve">  DROP TABLE #MFF_IMPACT</t>
  </si>
  <si>
    <t xml:space="preserve">  DROP TABLE #MFF_RESCALE</t>
  </si>
  <si>
    <t xml:space="preserve">  DROP TABLE #NATIONAL_TARIFF_C_R</t>
  </si>
  <si>
    <t xml:space="preserve">  */</t>
  </si>
  <si>
    <t xml:space="preserve">  </t>
  </si>
  <si>
    <t>/*Step 1</t>
  </si>
  <si>
    <t>--****DONE****</t>
  </si>
  <si>
    <t>Filter Non_Acute Table*/</t>
  </si>
  <si>
    <t xml:space="preserve"> </t>
  </si>
  <si>
    <t>/*Step 2</t>
  </si>
  <si>
    <t>****DONE****</t>
  </si>
  <si>
    <t>Remove MFF*/</t>
  </si>
  <si>
    <t>*/</t>
  </si>
  <si>
    <t>/*Step 3</t>
  </si>
  <si>
    <t>National Average */</t>
  </si>
  <si>
    <r>
      <t xml:space="preserve">[NA] </t>
    </r>
    <r>
      <rPr>
        <sz val="10"/>
        <color rgb="FF0000FF"/>
        <rFont val="Courier New"/>
        <family val="3"/>
      </rPr>
      <t>float</t>
    </r>
    <r>
      <rPr>
        <sz val="10"/>
        <color rgb="FF808080"/>
        <rFont val="Courier New"/>
        <family val="3"/>
      </rPr>
      <t>)</t>
    </r>
  </si>
  <si>
    <t>/*Step 4</t>
  </si>
  <si>
    <t>Clean Data &gt; ( NA * 20 &lt; org  or  NA/20 &gt; org) */</t>
  </si>
  <si>
    <r>
      <t>WHERE</t>
    </r>
    <r>
      <rPr>
        <sz val="10"/>
        <color theme="1"/>
        <rFont val="Courier New"/>
        <family val="3"/>
      </rPr>
      <t xml:space="preserve"> </t>
    </r>
  </si>
  <si>
    <t>/*Step 5</t>
  </si>
  <si>
    <t>/*Step 6</t>
  </si>
  <si>
    <t>National Average MFF adjustment */</t>
  </si>
  <si>
    <t xml:space="preserve">    </t>
  </si>
  <si>
    <t>/*Step 7</t>
  </si>
  <si>
    <t>MFF RESCALE */</t>
  </si>
  <si>
    <t>/*Step 8</t>
  </si>
  <si>
    <t>Generate Tariff */</t>
  </si>
  <si>
    <r>
      <t xml:space="preserve">[Tariff] </t>
    </r>
    <r>
      <rPr>
        <sz val="10"/>
        <color rgb="FF0000FF"/>
        <rFont val="Courier New"/>
        <family val="3"/>
      </rPr>
      <t>float</t>
    </r>
    <r>
      <rPr>
        <sz val="10"/>
        <color rgb="FF808080"/>
        <rFont val="Courier New"/>
        <family val="3"/>
      </rPr>
      <t>)</t>
    </r>
  </si>
  <si>
    <t>Function:</t>
  </si>
  <si>
    <t>Radio Therapy SQL</t>
  </si>
  <si>
    <t>Diagnostic Imaging SQL</t>
  </si>
  <si>
    <t>Diagnostic Imaging SQL code</t>
  </si>
  <si>
    <r>
      <t xml:space="preserve">  </t>
    </r>
    <r>
      <rPr>
        <sz val="10"/>
        <color rgb="FF008000"/>
        <rFont val="Courier New"/>
        <family val="3"/>
      </rPr>
      <t>-- Filter Non_Acute Table</t>
    </r>
  </si>
  <si>
    <t>-- Remove MFF</t>
  </si>
  <si>
    <t>----  National Average</t>
  </si>
  <si>
    <r>
      <t xml:space="preserve"> </t>
    </r>
    <r>
      <rPr>
        <sz val="10"/>
        <color rgb="FF008000"/>
        <rFont val="Courier New"/>
        <family val="3"/>
      </rPr>
      <t>--- Clean Data &gt; ( NA * 20 &lt; org  or  NA/20 &gt; org)</t>
    </r>
  </si>
  <si>
    <r>
      <t xml:space="preserve"> </t>
    </r>
    <r>
      <rPr>
        <sz val="10"/>
        <color rgb="FF008000"/>
        <rFont val="Courier New"/>
        <family val="3"/>
      </rPr>
      <t>-- Recreate National Average  (combining DA/OP SERVICES HERE)</t>
    </r>
  </si>
  <si>
    <r>
      <t xml:space="preserve"> </t>
    </r>
    <r>
      <rPr>
        <sz val="10"/>
        <color rgb="FF008000"/>
        <rFont val="Courier New"/>
        <family val="3"/>
      </rPr>
      <t>-- National Average MFF adjustment</t>
    </r>
  </si>
  <si>
    <t>-- MFF RESCALE</t>
  </si>
  <si>
    <t>-- Generate Tariff</t>
  </si>
  <si>
    <t>Data Pull</t>
  </si>
  <si>
    <t>Calculation</t>
  </si>
  <si>
    <t>Radiotherapy Model Calculation Sheet</t>
  </si>
  <si>
    <t>Inputs</t>
  </si>
  <si>
    <t>Calculates Radiotherapy tariff prices</t>
  </si>
  <si>
    <t>Chemotherapy Model Calculation Sheet</t>
  </si>
  <si>
    <t>Calculates Chemotherapy tariff prices</t>
  </si>
  <si>
    <t>Total Activity</t>
  </si>
  <si>
    <t>Calculates Diagnostic Imaging tariff prices</t>
  </si>
  <si>
    <t>Diagnostic Imaging Model Calculation Sheet</t>
  </si>
  <si>
    <t>The following provides details of the services for which mandatory prices are being issued. The areas covered are:</t>
  </si>
  <si>
    <t>RA</t>
  </si>
  <si>
    <t>No</t>
  </si>
  <si>
    <t>Total</t>
  </si>
  <si>
    <t>Inflation</t>
  </si>
  <si>
    <t>Efficiency</t>
  </si>
  <si>
    <t>Chemotherapy</t>
  </si>
  <si>
    <t>Radiotherapy</t>
  </si>
  <si>
    <t xml:space="preserve"> SC21Z-SC31Z</t>
  </si>
  <si>
    <t xml:space="preserve"> SC40Z-SC56Z</t>
  </si>
  <si>
    <t>Yes</t>
  </si>
  <si>
    <t>Total Adjustment</t>
  </si>
  <si>
    <t>Additional Adjustments</t>
  </si>
  <si>
    <t>Model</t>
  </si>
  <si>
    <t>Comment</t>
  </si>
  <si>
    <t xml:space="preserve">Cost of Reporting </t>
  </si>
  <si>
    <t>Tariff Prices</t>
  </si>
  <si>
    <t xml:space="preserve">Source </t>
  </si>
  <si>
    <t>Efficiency*</t>
  </si>
  <si>
    <t>Inflation and Efficiency (total adjustment)</t>
  </si>
  <si>
    <t>Table 2:  Price Adjustments : CNST increase / decrease</t>
  </si>
  <si>
    <t>Sub-chapter</t>
  </si>
  <si>
    <t>AA</t>
  </si>
  <si>
    <t>AB</t>
  </si>
  <si>
    <t>BZ</t>
  </si>
  <si>
    <t>DZ</t>
  </si>
  <si>
    <t>EA</t>
  </si>
  <si>
    <t>EB</t>
  </si>
  <si>
    <t>FZ</t>
  </si>
  <si>
    <t>GA</t>
  </si>
  <si>
    <t>GB</t>
  </si>
  <si>
    <t>GC</t>
  </si>
  <si>
    <t>HA</t>
  </si>
  <si>
    <t>HB</t>
  </si>
  <si>
    <t>HC</t>
  </si>
  <si>
    <t>HD</t>
  </si>
  <si>
    <t>HR</t>
  </si>
  <si>
    <t>JA</t>
  </si>
  <si>
    <t>JC</t>
  </si>
  <si>
    <t>JD</t>
  </si>
  <si>
    <t>KA</t>
  </si>
  <si>
    <t>KB</t>
  </si>
  <si>
    <t>KC</t>
  </si>
  <si>
    <t>LA</t>
  </si>
  <si>
    <t>LB</t>
  </si>
  <si>
    <t>LD</t>
  </si>
  <si>
    <t>MA</t>
  </si>
  <si>
    <t>MB</t>
  </si>
  <si>
    <t>NZ</t>
  </si>
  <si>
    <t>PB</t>
  </si>
  <si>
    <t>SA</t>
  </si>
  <si>
    <t>SB</t>
  </si>
  <si>
    <t>SC</t>
  </si>
  <si>
    <t>UZ</t>
  </si>
  <si>
    <t>VA</t>
  </si>
  <si>
    <t>WA</t>
  </si>
  <si>
    <t>VB</t>
  </si>
  <si>
    <t>Unbundled services</t>
  </si>
  <si>
    <t>Maternity pathway</t>
  </si>
  <si>
    <t>Other mandatory prices</t>
  </si>
  <si>
    <t>Non-mandatory Prices</t>
  </si>
  <si>
    <t>Currency code</t>
  </si>
  <si>
    <t>Magnetic Resonance Imaging Scan, one area, no contrast, 19 years and over</t>
  </si>
  <si>
    <t>Magnetic Resonance Imaging Scan, one area, no contrast, 6 to 18 years</t>
  </si>
  <si>
    <t>Magnetic Resonance Imaging Scan, one area, no contrast, 5 years and under</t>
  </si>
  <si>
    <t>Magnetic Resonance Imaging Scan, one area, post contrast only, 19 years and over</t>
  </si>
  <si>
    <t>Magnetic Resonance Imaging Scan, one area, post contrast only, 6 to 18 years</t>
  </si>
  <si>
    <t>Magnetic Resonance Imaging Scan, one area, post contrast only, 5 years and under</t>
  </si>
  <si>
    <t>Magnetic Resonance Imaging Scan, two to three areas, no contrast</t>
  </si>
  <si>
    <t>Magnetic Resonance Imaging Scan, two to three areas, with contrast</t>
  </si>
  <si>
    <t>Computerised Tomography Scan, one area, no contrast, 19 years and over</t>
  </si>
  <si>
    <t>Computerised Tomography Scan, one area, no contrast, 6 to 18 years</t>
  </si>
  <si>
    <t>Computerised Tomography Scan, one area, no contrast, 5 years and under</t>
  </si>
  <si>
    <t>Computerised Tomography Scan, one area, with post contrast only, 19 years and over</t>
  </si>
  <si>
    <t>Computerised Tomography Scan, one area, with post contrast only, 6 to 18 years</t>
  </si>
  <si>
    <t>Computerised Tomography Scan, one area, with post contrast only, 5 years and under</t>
  </si>
  <si>
    <t>Contrast Fluoroscopy Procedures, less than 20 minutes</t>
  </si>
  <si>
    <t>Contrast Fluoroscopy Procedures, 20 to 40 minutes</t>
  </si>
  <si>
    <t>Contrast Fluoroscopy Procedures, more than 40 minutes</t>
  </si>
  <si>
    <t>Ultrasound Scan, less than 20 minutes</t>
  </si>
  <si>
    <t>Ultrasound Scan, 20 minutes and over</t>
  </si>
  <si>
    <t>Nuclear Medicine, Category 1</t>
  </si>
  <si>
    <t>Nuclear Medicine, Category 2</t>
  </si>
  <si>
    <t>Nuclear Medicine, Category 3</t>
  </si>
  <si>
    <t>Nuclear Medicine, Category 4</t>
  </si>
  <si>
    <t>Nuclear Medicine, Category 5</t>
  </si>
  <si>
    <t>Nuclear Medicine, Category 6</t>
  </si>
  <si>
    <t>Simple Echocardiogram, 19 years and over</t>
  </si>
  <si>
    <t>Simple Echocardiogram, 6 to 18 years</t>
  </si>
  <si>
    <t>Simple Echocardiogram, 5 years and under</t>
  </si>
  <si>
    <t>Cardiac Magnetic Resonance Imaging Scan, no contrast</t>
  </si>
  <si>
    <t>Cardiac Magnetic Resonance Imaging Scan, post contrast only</t>
  </si>
  <si>
    <t>Cardiac Magnetic Resonance Imaging Scan, pre and post contrast</t>
  </si>
  <si>
    <t>Deliver Simple Parenteral Chemotherapy at First Attendance</t>
  </si>
  <si>
    <t>Deliver more Complex Parenteral Chemotherapy at First Attendance</t>
  </si>
  <si>
    <t>Deliver Complex Chemotherapy, including Prolonged Infusional Treatment, at First Attendance</t>
  </si>
  <si>
    <t>Deliver a Fraction of Intraluminal Brachytherapy</t>
  </si>
  <si>
    <t>Diagnostic Imaging</t>
  </si>
  <si>
    <t>HRG description</t>
  </si>
  <si>
    <t>Manual adjustments</t>
  </si>
  <si>
    <t>Linked Sheet</t>
  </si>
  <si>
    <t>Price Adjustments</t>
  </si>
  <si>
    <t>Rad_Calc</t>
  </si>
  <si>
    <t>Chem_Calc</t>
  </si>
  <si>
    <t>DI_Calc</t>
  </si>
  <si>
    <t>Radio_&amp;_Chemo_SQL</t>
  </si>
  <si>
    <t>DI_SQL</t>
  </si>
  <si>
    <t>Worksheet / Intermediary steps</t>
  </si>
  <si>
    <t>Diagnostic Imaging SQL Output</t>
  </si>
  <si>
    <t>Maternity</t>
  </si>
  <si>
    <t>Scaling factor</t>
  </si>
  <si>
    <t>Steps</t>
  </si>
  <si>
    <t>Overview</t>
  </si>
  <si>
    <t>Data source</t>
  </si>
  <si>
    <t>Monitor SQL</t>
  </si>
  <si>
    <t>Mixed (Monitor &amp; External)</t>
  </si>
  <si>
    <t>This worksheet has the total cost quantum and activity count for each HRG in Diagnostic Imaging.</t>
  </si>
  <si>
    <t>This worksheet has the total cost quantum and activity count for each HRG in Chemotherapy and Radiotherapy.</t>
  </si>
  <si>
    <t>This worksheet shows the Diagnostic Imaging SQL code.</t>
  </si>
  <si>
    <t>Cost of reporting for diagnostic imaging activity HRGs</t>
  </si>
  <si>
    <t>Calculate total costs and unit costs for Diagnostic Imaging HRGs</t>
  </si>
  <si>
    <t>Calculate total costs and unit costs for Chemotherapy HRGs</t>
  </si>
  <si>
    <t>Calculate total costs and unit costs for Radiotherapy HRGs</t>
  </si>
  <si>
    <t>Home</t>
  </si>
  <si>
    <t>RA68Z</t>
  </si>
  <si>
    <t>LE01A</t>
  </si>
  <si>
    <t>LE01B</t>
  </si>
  <si>
    <t>LE02A</t>
  </si>
  <si>
    <t>LE02B</t>
  </si>
  <si>
    <t>Haemodialysis for Acute Kidney Injury, 19 years and over</t>
  </si>
  <si>
    <t>Haemodialysis for Acute Kidney Injury, 18 years and under</t>
  </si>
  <si>
    <t>Peritoneal Dialysis for Acute Kidney Injury, 19 years and over</t>
  </si>
  <si>
    <t>Peritoneal Dialysis for Acute Kidney Injury, 18 years and under</t>
  </si>
  <si>
    <t>Cardiac Computerised Tomography Scan</t>
  </si>
  <si>
    <t>QR1 (RC TARGET)</t>
  </si>
  <si>
    <t>QR1 + SCALING</t>
  </si>
  <si>
    <t>Outpatient Attendances (OPATT)</t>
  </si>
  <si>
    <t>Accident and Emergency (A&amp;E)</t>
  </si>
  <si>
    <t>Best Practice Tariffs</t>
  </si>
  <si>
    <t>SMOOTHING ADJUSTMENT</t>
  </si>
  <si>
    <t>CA</t>
  </si>
  <si>
    <t>CB</t>
  </si>
  <si>
    <t>CD</t>
  </si>
  <si>
    <t>EC</t>
  </si>
  <si>
    <t>JB</t>
  </si>
  <si>
    <t>LE</t>
  </si>
  <si>
    <t>MC</t>
  </si>
  <si>
    <t>PC</t>
  </si>
  <si>
    <t>PD</t>
  </si>
  <si>
    <t>PE</t>
  </si>
  <si>
    <t>PF</t>
  </si>
  <si>
    <t>PG</t>
  </si>
  <si>
    <t>PH</t>
  </si>
  <si>
    <t>PJ</t>
  </si>
  <si>
    <t>PK</t>
  </si>
  <si>
    <t>PL</t>
  </si>
  <si>
    <t>PM</t>
  </si>
  <si>
    <t>PN</t>
  </si>
  <si>
    <t>PP</t>
  </si>
  <si>
    <t>PR</t>
  </si>
  <si>
    <t>PT</t>
  </si>
  <si>
    <t>PV</t>
  </si>
  <si>
    <t>PW</t>
  </si>
  <si>
    <t>PX</t>
  </si>
  <si>
    <t>SD</t>
  </si>
  <si>
    <t>VC</t>
  </si>
  <si>
    <t>WD</t>
  </si>
  <si>
    <t>WF</t>
  </si>
  <si>
    <t>XA</t>
  </si>
  <si>
    <t>XB</t>
  </si>
  <si>
    <t>XC</t>
  </si>
  <si>
    <t>XD</t>
  </si>
  <si>
    <t>YQ</t>
  </si>
  <si>
    <t>YR</t>
  </si>
  <si>
    <t>YZ</t>
  </si>
  <si>
    <t>ZZ</t>
  </si>
  <si>
    <t>Table 3: Quantum reconciliation (QR) for APC and OPROC</t>
  </si>
  <si>
    <t>* In 2015-16 the efficiency assumption of 4% was reduced by 0.2%</t>
  </si>
  <si>
    <t>2016/17</t>
  </si>
  <si>
    <r>
      <rPr>
        <u/>
        <sz val="10"/>
        <color theme="1"/>
        <rFont val="Calibri"/>
        <family val="2"/>
        <scheme val="minor"/>
      </rPr>
      <t>Note</t>
    </r>
    <r>
      <rPr>
        <sz val="10"/>
        <color theme="1"/>
        <rFont val="Calibri"/>
        <family val="2"/>
        <scheme val="minor"/>
      </rPr>
      <t>: Maternity is delivery element only.</t>
    </r>
  </si>
  <si>
    <t xml:space="preserve"> Table 4: Quantum Reconciliation (QR1) for the rest of the models</t>
  </si>
  <si>
    <t>HRG UC</t>
  </si>
  <si>
    <t>Recreate National Average  (combining DCRDN/OP/IP/OTH SERVICES HERE) */</t>
  </si>
  <si>
    <r>
      <t xml:space="preserve">  </t>
    </r>
    <r>
      <rPr>
        <sz val="10"/>
        <color rgb="FF008000"/>
        <rFont val="Courier New"/>
        <family val="3"/>
      </rPr>
      <t>-- CHEMOTHERAPY AND RADIOTHERAPY - SQL</t>
    </r>
  </si>
  <si>
    <t>--WHERE</t>
  </si>
  <si>
    <r>
      <t xml:space="preserve">        CURRENCY</t>
    </r>
    <r>
      <rPr>
        <sz val="10"/>
        <color rgb="FF808080"/>
        <rFont val="Courier New"/>
        <family val="3"/>
      </rPr>
      <t>,</t>
    </r>
  </si>
  <si>
    <t>/*</t>
  </si>
  <si>
    <t xml:space="preserve">  DROP TABLE #NATIONAL_TARIFF_D_I</t>
  </si>
  <si>
    <t>RA69Z</t>
  </si>
  <si>
    <t>Complex Computerised Tomography Scan</t>
  </si>
  <si>
    <t>Total uplift up to 15/16 price levels</t>
  </si>
  <si>
    <t>Table 1 :  Price Adjustments : Inflation and Efficiency</t>
  </si>
  <si>
    <t>2015-16 tariff - unbundled services</t>
  </si>
  <si>
    <t>https://www.gov.uk/government/uploads/system/uploads/attachment_data/file/379578/Annex_5a.xlsx, Sheet: 04. Unbundled Services</t>
  </si>
  <si>
    <t>Cost of reporting (£) -2015/16</t>
  </si>
  <si>
    <t>HRG -2015/16</t>
  </si>
  <si>
    <t>HRG -2016/17</t>
  </si>
  <si>
    <t>Mapped</t>
  </si>
  <si>
    <t>Cost of reporting (Automated)</t>
  </si>
  <si>
    <t>Source for Mapping:</t>
  </si>
  <si>
    <t>http://www.hscic.gov.uk/media/13826/HRG4-201314-RC-Roots/xls/HRG4__RC201314_Roots_v1.1.xls</t>
  </si>
  <si>
    <t>Checksum</t>
  </si>
  <si>
    <t>Checksum CHEMTHPY</t>
  </si>
  <si>
    <t>Checksum RADTHPY</t>
  </si>
  <si>
    <t>Checksum ALL</t>
  </si>
  <si>
    <t>Checksum Check</t>
  </si>
  <si>
    <t>CNST
2016/17</t>
  </si>
  <si>
    <t>CNST
2014/15 &amp; 2015/16</t>
  </si>
  <si>
    <t>Inflation and Efficiency (total adjustment) 2016/17</t>
  </si>
  <si>
    <t>Radiotherapy and Chemotherapy SQL Input</t>
  </si>
  <si>
    <t>Diagnostic Imaging SQL Input</t>
  </si>
  <si>
    <t>SB17Z redistributed as price is set to zero</t>
  </si>
  <si>
    <t>Variance to Original</t>
  </si>
  <si>
    <t>Currency Code</t>
  </si>
  <si>
    <t>Unbundled Model Manual Adjustments 2016/17</t>
  </si>
  <si>
    <t>Activity
2013/14</t>
  </si>
  <si>
    <t>Adjustment Request</t>
  </si>
  <si>
    <t>Price Decision</t>
  </si>
  <si>
    <t>Modelled</t>
  </si>
  <si>
    <t>QR2</t>
  </si>
  <si>
    <t>Quantum Adjustment (QR1)</t>
  </si>
  <si>
    <t>Manual Adjustments</t>
  </si>
  <si>
    <t>Final Prices</t>
  </si>
  <si>
    <t>Acute Kidney Injury</t>
  </si>
  <si>
    <t>Acute Kidney Injury SQL</t>
  </si>
  <si>
    <t>Acute Kidney Injury SQL code</t>
  </si>
  <si>
    <t xml:space="preserve">  DROP TABLE #NATIONAL_TARIFF_AKI</t>
  </si>
  <si>
    <t>Acute Kidney Injury SQL Input</t>
  </si>
  <si>
    <t>Acute Kidney Injury SQL Output</t>
  </si>
  <si>
    <t>RENALAKI</t>
  </si>
  <si>
    <t>Acute Kidney Injury Model Calculation Sheet</t>
  </si>
  <si>
    <t>Calculates Acute Kidney Injury tariff prices</t>
  </si>
  <si>
    <t>Top</t>
  </si>
  <si>
    <t>Acute Kidney Dialysis</t>
  </si>
  <si>
    <t xml:space="preserve">Please note the prices for this tariff are illustrative only. This means that, although we display prices, commissioners and providers should only use them as a point of reference.  This is because the associated tariff models are still in development and do not follow the same established method as the mandatory tariff prices.  We encourage commissioners and providers to make their own assessment of the suitability of the associated tariff models in their local negotiations. </t>
  </si>
  <si>
    <t>https://www.gov.uk/government/uploads/system/uploads/attachment_data/file/379578/Annex_5a.xlsx, Sheet: 08. Non-mandatory prices</t>
  </si>
  <si>
    <t>1 &gt;&gt; SQL code</t>
  </si>
  <si>
    <t>2 &gt;&gt; SQL inputs</t>
  </si>
  <si>
    <t>3 &gt;&gt; Non SQL inputs</t>
  </si>
  <si>
    <t>4 &gt;&gt; Processing</t>
  </si>
  <si>
    <t>5 &gt;&gt; Output</t>
  </si>
  <si>
    <t>AKI_SQL</t>
  </si>
  <si>
    <t>This worksheet shows the Acute Kidney Injury SQL code.</t>
  </si>
  <si>
    <t>Input_AKI</t>
  </si>
  <si>
    <t>Input_DI</t>
  </si>
  <si>
    <t>Input_Rad</t>
  </si>
  <si>
    <t>This worksheet has the total cost quantum and activity count for each HRG in Acute Kidney Injury.</t>
  </si>
  <si>
    <t>2015-16 Tariff</t>
  </si>
  <si>
    <t xml:space="preserve">AKI_Calc </t>
  </si>
  <si>
    <t>Calculate total costs and unit costs for Acute Kidney Injury HRGs</t>
  </si>
  <si>
    <t>This worksheet applies the 2016/17 manual adjustments and calculates the final prices</t>
  </si>
  <si>
    <r>
      <t xml:space="preserve">[UC (Target MFF)] </t>
    </r>
    <r>
      <rPr>
        <sz val="10"/>
        <color rgb="FF0000FF"/>
        <rFont val="Courier New"/>
        <family val="3"/>
      </rPr>
      <t>float</t>
    </r>
    <r>
      <rPr>
        <sz val="10"/>
        <color rgb="FF808080"/>
        <rFont val="Courier New"/>
        <family val="3"/>
      </rPr>
      <t>,</t>
    </r>
  </si>
  <si>
    <r>
      <t xml:space="preserve">[TC (Target MFF)] </t>
    </r>
    <r>
      <rPr>
        <sz val="10"/>
        <color rgb="FF0000FF"/>
        <rFont val="Courier New"/>
        <family val="3"/>
      </rPr>
      <t>float</t>
    </r>
    <r>
      <rPr>
        <sz val="10"/>
        <color rgb="FF808080"/>
        <rFont val="Courier New"/>
        <family val="3"/>
      </rPr>
      <t>,</t>
    </r>
  </si>
  <si>
    <r>
      <t xml:space="preserve">[TC (Payment MFF)] </t>
    </r>
    <r>
      <rPr>
        <sz val="10"/>
        <color rgb="FF0000FF"/>
        <rFont val="Courier New"/>
        <family val="3"/>
      </rPr>
      <t>float</t>
    </r>
    <r>
      <rPr>
        <sz val="10"/>
        <color rgb="FF808080"/>
        <rFont val="Courier New"/>
        <family val="3"/>
      </rPr>
      <t>)</t>
    </r>
  </si>
  <si>
    <r>
      <t>CURRENCY</t>
    </r>
    <r>
      <rPr>
        <sz val="10"/>
        <color rgb="FF808080"/>
        <rFont val="Courier New"/>
        <family val="3"/>
      </rPr>
      <t>,</t>
    </r>
  </si>
  <si>
    <t>Diagnostic Imaging activity mapping SQL Input</t>
  </si>
  <si>
    <t>Diagnostic Imaging activity mapping output</t>
  </si>
  <si>
    <t>RC1314_HRG</t>
  </si>
  <si>
    <t>LP1516_HRG</t>
  </si>
  <si>
    <t>N/A</t>
  </si>
  <si>
    <t>Note: SQL code needed only for 2016-17 due to change in currency design from that of RC1314</t>
  </si>
  <si>
    <t>Note: DI Activity Mapping needed only for 2016-17 due to change in currency design from that of RC1314</t>
  </si>
  <si>
    <t>HES Activity mapped</t>
  </si>
  <si>
    <t>% of activity for RC1314_HRG</t>
  </si>
  <si>
    <t>Mapping of RC Data</t>
  </si>
  <si>
    <t>Activity Mapping Data from HES</t>
  </si>
  <si>
    <t>RC 1314 Activity</t>
  </si>
  <si>
    <t>Compare to RC 1314 data</t>
  </si>
  <si>
    <t>"DI_activity_mapping_SQL" Tab,  First Run - Draft 10</t>
  </si>
  <si>
    <r>
      <t>USE</t>
    </r>
    <r>
      <rPr>
        <sz val="10"/>
        <color theme="1"/>
        <rFont val="Courier New"/>
        <family val="3"/>
      </rPr>
      <t xml:space="preserve"> [Pbr_Repository_New]</t>
    </r>
  </si>
  <si>
    <t>GO</t>
  </si>
  <si>
    <r>
      <t>DROP</t>
    </r>
    <r>
      <rPr>
        <sz val="10"/>
        <color theme="1"/>
        <rFont val="Courier New"/>
        <family val="3"/>
      </rPr>
      <t xml:space="preserve"> </t>
    </r>
    <r>
      <rPr>
        <sz val="10"/>
        <color rgb="FF0000FF"/>
        <rFont val="Courier New"/>
        <family val="3"/>
      </rPr>
      <t>TABLE</t>
    </r>
    <r>
      <rPr>
        <sz val="10"/>
        <color theme="1"/>
        <rFont val="Courier New"/>
        <family val="3"/>
      </rPr>
      <t xml:space="preserve"> #TableA</t>
    </r>
  </si>
  <si>
    <r>
      <t>DROP</t>
    </r>
    <r>
      <rPr>
        <sz val="10"/>
        <color theme="1"/>
        <rFont val="Courier New"/>
        <family val="3"/>
      </rPr>
      <t xml:space="preserve"> </t>
    </r>
    <r>
      <rPr>
        <sz val="10"/>
        <color rgb="FF0000FF"/>
        <rFont val="Courier New"/>
        <family val="3"/>
      </rPr>
      <t>TABLE</t>
    </r>
    <r>
      <rPr>
        <sz val="10"/>
        <color theme="1"/>
        <rFont val="Courier New"/>
        <family val="3"/>
      </rPr>
      <t xml:space="preserve"> #TableB</t>
    </r>
  </si>
  <si>
    <r>
      <t>DROP</t>
    </r>
    <r>
      <rPr>
        <sz val="10"/>
        <color theme="1"/>
        <rFont val="Courier New"/>
        <family val="3"/>
      </rPr>
      <t xml:space="preserve"> </t>
    </r>
    <r>
      <rPr>
        <sz val="10"/>
        <color rgb="FF0000FF"/>
        <rFont val="Courier New"/>
        <family val="3"/>
      </rPr>
      <t>TABLE</t>
    </r>
    <r>
      <rPr>
        <sz val="10"/>
        <color theme="1"/>
        <rFont val="Courier New"/>
        <family val="3"/>
      </rPr>
      <t xml:space="preserve"> #TableC</t>
    </r>
  </si>
  <si>
    <r>
      <t>DROP</t>
    </r>
    <r>
      <rPr>
        <sz val="10"/>
        <color theme="1"/>
        <rFont val="Courier New"/>
        <family val="3"/>
      </rPr>
      <t xml:space="preserve"> </t>
    </r>
    <r>
      <rPr>
        <sz val="10"/>
        <color rgb="FF0000FF"/>
        <rFont val="Courier New"/>
        <family val="3"/>
      </rPr>
      <t>TABLE</t>
    </r>
    <r>
      <rPr>
        <sz val="10"/>
        <color theme="1"/>
        <rFont val="Courier New"/>
        <family val="3"/>
      </rPr>
      <t xml:space="preserve"> #TA_Count</t>
    </r>
  </si>
  <si>
    <r>
      <t>DROP</t>
    </r>
    <r>
      <rPr>
        <sz val="10"/>
        <color theme="1"/>
        <rFont val="Courier New"/>
        <family val="3"/>
      </rPr>
      <t xml:space="preserve"> </t>
    </r>
    <r>
      <rPr>
        <sz val="10"/>
        <color rgb="FF0000FF"/>
        <rFont val="Courier New"/>
        <family val="3"/>
      </rPr>
      <t>TABLE</t>
    </r>
    <r>
      <rPr>
        <sz val="10"/>
        <color theme="1"/>
        <rFont val="Courier New"/>
        <family val="3"/>
      </rPr>
      <t xml:space="preserve"> #TB_Count</t>
    </r>
  </si>
  <si>
    <r>
      <t>DROP</t>
    </r>
    <r>
      <rPr>
        <sz val="10"/>
        <color theme="1"/>
        <rFont val="Courier New"/>
        <family val="3"/>
      </rPr>
      <t xml:space="preserve"> </t>
    </r>
    <r>
      <rPr>
        <sz val="10"/>
        <color rgb="FF0000FF"/>
        <rFont val="Courier New"/>
        <family val="3"/>
      </rPr>
      <t>TABLE</t>
    </r>
    <r>
      <rPr>
        <sz val="10"/>
        <color theme="1"/>
        <rFont val="Courier New"/>
        <family val="3"/>
      </rPr>
      <t xml:space="preserve"> #TableCountEqualsOne</t>
    </r>
  </si>
  <si>
    <r>
      <t>SELECT</t>
    </r>
    <r>
      <rPr>
        <sz val="10"/>
        <color theme="1"/>
        <rFont val="Courier New"/>
        <family val="3"/>
      </rPr>
      <t xml:space="preserve"> RowNumber</t>
    </r>
    <r>
      <rPr>
        <sz val="10"/>
        <color rgb="FF808080"/>
        <rFont val="Courier New"/>
        <family val="3"/>
      </rPr>
      <t>,</t>
    </r>
    <r>
      <rPr>
        <sz val="10"/>
        <color theme="1"/>
        <rFont val="Courier New"/>
        <family val="3"/>
      </rPr>
      <t xml:space="preserve"> UnBundled </t>
    </r>
    <r>
      <rPr>
        <sz val="10"/>
        <color rgb="FF0000FF"/>
        <rFont val="Courier New"/>
        <family val="3"/>
      </rPr>
      <t>AS</t>
    </r>
    <r>
      <rPr>
        <sz val="10"/>
        <color theme="1"/>
        <rFont val="Courier New"/>
        <family val="3"/>
      </rPr>
      <t xml:space="preserve"> RC1314_HRG</t>
    </r>
    <r>
      <rPr>
        <sz val="10"/>
        <color rgb="FF808080"/>
        <rFont val="Courier New"/>
        <family val="3"/>
      </rPr>
      <t>,</t>
    </r>
    <r>
      <rPr>
        <sz val="10"/>
        <color theme="1"/>
        <rFont val="Courier New"/>
        <family val="3"/>
      </rPr>
      <t xml:space="preserve"> Iteration</t>
    </r>
  </si>
  <si>
    <r>
      <t>INTO</t>
    </r>
    <r>
      <rPr>
        <sz val="10"/>
        <color theme="1"/>
        <rFont val="Courier New"/>
        <family val="3"/>
      </rPr>
      <t xml:space="preserve"> #TableA</t>
    </r>
  </si>
  <si>
    <r>
      <t>FROM</t>
    </r>
    <r>
      <rPr>
        <sz val="10"/>
        <color theme="1"/>
        <rFont val="Courier New"/>
        <family val="3"/>
      </rPr>
      <t xml:space="preserve"> </t>
    </r>
  </si>
  <si>
    <r>
      <t>[Pbr_Repository_New]</t>
    </r>
    <r>
      <rPr>
        <sz val="10"/>
        <color rgb="FF808080"/>
        <rFont val="Courier New"/>
        <family val="3"/>
      </rPr>
      <t>.</t>
    </r>
    <r>
      <rPr>
        <sz val="10"/>
        <color theme="1"/>
        <rFont val="Courier New"/>
        <family val="3"/>
      </rPr>
      <t xml:space="preserve"> HES_Grouped</t>
    </r>
    <r>
      <rPr>
        <sz val="10"/>
        <color rgb="FF808080"/>
        <rFont val="Courier New"/>
        <family val="3"/>
      </rPr>
      <t>.</t>
    </r>
    <r>
      <rPr>
        <sz val="10"/>
        <color theme="1"/>
        <rFont val="Courier New"/>
        <family val="3"/>
      </rPr>
      <t>OP_Unbundled</t>
    </r>
  </si>
  <si>
    <r>
      <t xml:space="preserve">GrouperRunID </t>
    </r>
    <r>
      <rPr>
        <sz val="10"/>
        <color rgb="FF808080"/>
        <rFont val="Courier New"/>
        <family val="3"/>
      </rPr>
      <t>=</t>
    </r>
    <r>
      <rPr>
        <sz val="10"/>
        <color theme="1"/>
        <rFont val="Courier New"/>
        <family val="3"/>
      </rPr>
      <t xml:space="preserve"> 3009 </t>
    </r>
    <r>
      <rPr>
        <sz val="10"/>
        <color rgb="FF008000"/>
        <rFont val="Courier New"/>
        <family val="3"/>
      </rPr>
      <t>-- HES13/14 OP RC13/14 grouper</t>
    </r>
  </si>
  <si>
    <r>
      <t>AND</t>
    </r>
    <r>
      <rPr>
        <sz val="10"/>
        <color theme="1"/>
        <rFont val="Courier New"/>
        <family val="3"/>
      </rPr>
      <t xml:space="preserve"> </t>
    </r>
    <r>
      <rPr>
        <sz val="10"/>
        <color rgb="FF808080"/>
        <rFont val="Courier New"/>
        <family val="3"/>
      </rPr>
      <t>left(</t>
    </r>
    <r>
      <rPr>
        <sz val="10"/>
        <color theme="1"/>
        <rFont val="Courier New"/>
        <family val="3"/>
      </rPr>
      <t>UnBundled</t>
    </r>
    <r>
      <rPr>
        <sz val="10"/>
        <color rgb="FF808080"/>
        <rFont val="Courier New"/>
        <family val="3"/>
      </rPr>
      <t>,</t>
    </r>
    <r>
      <rPr>
        <sz val="10"/>
        <color theme="1"/>
        <rFont val="Courier New"/>
        <family val="3"/>
      </rPr>
      <t>2</t>
    </r>
    <r>
      <rPr>
        <sz val="10"/>
        <color rgb="FF808080"/>
        <rFont val="Courier New"/>
        <family val="3"/>
      </rPr>
      <t>)</t>
    </r>
    <r>
      <rPr>
        <sz val="10"/>
        <color theme="1"/>
        <rFont val="Courier New"/>
        <family val="3"/>
      </rPr>
      <t xml:space="preserve"> </t>
    </r>
    <r>
      <rPr>
        <sz val="10"/>
        <color rgb="FF808080"/>
        <rFont val="Courier New"/>
        <family val="3"/>
      </rPr>
      <t>=</t>
    </r>
    <r>
      <rPr>
        <sz val="10"/>
        <color theme="1"/>
        <rFont val="Courier New"/>
        <family val="3"/>
      </rPr>
      <t xml:space="preserve"> </t>
    </r>
    <r>
      <rPr>
        <sz val="10"/>
        <color rgb="FFFF0000"/>
        <rFont val="Courier New"/>
        <family val="3"/>
      </rPr>
      <t>'RA'</t>
    </r>
  </si>
  <si>
    <r>
      <t>ORDER</t>
    </r>
    <r>
      <rPr>
        <sz val="10"/>
        <color theme="1"/>
        <rFont val="Courier New"/>
        <family val="3"/>
      </rPr>
      <t xml:space="preserve"> </t>
    </r>
    <r>
      <rPr>
        <sz val="10"/>
        <color rgb="FF0000FF"/>
        <rFont val="Courier New"/>
        <family val="3"/>
      </rPr>
      <t>BY</t>
    </r>
    <r>
      <rPr>
        <sz val="10"/>
        <color theme="1"/>
        <rFont val="Courier New"/>
        <family val="3"/>
      </rPr>
      <t xml:space="preserve"> RowNumber</t>
    </r>
  </si>
  <si>
    <t>--(2784924 row(s) affected)</t>
  </si>
  <si>
    <r>
      <t>SELECT</t>
    </r>
    <r>
      <rPr>
        <sz val="10"/>
        <color theme="1"/>
        <rFont val="Courier New"/>
        <family val="3"/>
      </rPr>
      <t xml:space="preserve"> RowNumber</t>
    </r>
    <r>
      <rPr>
        <sz val="10"/>
        <color rgb="FF808080"/>
        <rFont val="Courier New"/>
        <family val="3"/>
      </rPr>
      <t>,</t>
    </r>
    <r>
      <rPr>
        <sz val="10"/>
        <color theme="1"/>
        <rFont val="Courier New"/>
        <family val="3"/>
      </rPr>
      <t xml:space="preserve"> UnBundled </t>
    </r>
    <r>
      <rPr>
        <sz val="10"/>
        <color rgb="FF0000FF"/>
        <rFont val="Courier New"/>
        <family val="3"/>
      </rPr>
      <t>AS</t>
    </r>
    <r>
      <rPr>
        <sz val="10"/>
        <color theme="1"/>
        <rFont val="Courier New"/>
        <family val="3"/>
      </rPr>
      <t xml:space="preserve"> LP1516_HRG</t>
    </r>
    <r>
      <rPr>
        <sz val="10"/>
        <color rgb="FF808080"/>
        <rFont val="Courier New"/>
        <family val="3"/>
      </rPr>
      <t>,</t>
    </r>
    <r>
      <rPr>
        <sz val="10"/>
        <color theme="1"/>
        <rFont val="Courier New"/>
        <family val="3"/>
      </rPr>
      <t xml:space="preserve"> Iteration</t>
    </r>
  </si>
  <si>
    <r>
      <t>INTO</t>
    </r>
    <r>
      <rPr>
        <sz val="10"/>
        <color theme="1"/>
        <rFont val="Courier New"/>
        <family val="3"/>
      </rPr>
      <t xml:space="preserve"> #TableB</t>
    </r>
  </si>
  <si>
    <r>
      <t xml:space="preserve">GrouperRunID </t>
    </r>
    <r>
      <rPr>
        <sz val="10"/>
        <color rgb="FF808080"/>
        <rFont val="Courier New"/>
        <family val="3"/>
      </rPr>
      <t>=</t>
    </r>
    <r>
      <rPr>
        <sz val="10"/>
        <color theme="1"/>
        <rFont val="Courier New"/>
        <family val="3"/>
      </rPr>
      <t xml:space="preserve"> 3010 </t>
    </r>
    <r>
      <rPr>
        <sz val="10"/>
        <color rgb="FF008000"/>
        <rFont val="Courier New"/>
        <family val="3"/>
      </rPr>
      <t>-- HES13/14 OP LP15/16 grouper</t>
    </r>
  </si>
  <si>
    <t xml:space="preserve">--(2784986 row(s) affected)  --Check from final Excel is  2,784,986 - Correct </t>
  </si>
  <si>
    <t>/* STEP 1.1 */</t>
  </si>
  <si>
    <r>
      <t>SELECT</t>
    </r>
    <r>
      <rPr>
        <sz val="10"/>
        <color theme="1"/>
        <rFont val="Courier New"/>
        <family val="3"/>
      </rPr>
      <t xml:space="preserve"> A</t>
    </r>
    <r>
      <rPr>
        <sz val="10"/>
        <color rgb="FF808080"/>
        <rFont val="Courier New"/>
        <family val="3"/>
      </rPr>
      <t>.</t>
    </r>
    <r>
      <rPr>
        <sz val="10"/>
        <color theme="1"/>
        <rFont val="Courier New"/>
        <family val="3"/>
      </rPr>
      <t>RowNumber RC_RowNo</t>
    </r>
    <r>
      <rPr>
        <sz val="10"/>
        <color rgb="FF808080"/>
        <rFont val="Courier New"/>
        <family val="3"/>
      </rPr>
      <t>,</t>
    </r>
    <r>
      <rPr>
        <sz val="10"/>
        <color theme="1"/>
        <rFont val="Courier New"/>
        <family val="3"/>
      </rPr>
      <t xml:space="preserve"> B</t>
    </r>
    <r>
      <rPr>
        <sz val="10"/>
        <color rgb="FF808080"/>
        <rFont val="Courier New"/>
        <family val="3"/>
      </rPr>
      <t>.</t>
    </r>
    <r>
      <rPr>
        <sz val="10"/>
        <color theme="1"/>
        <rFont val="Courier New"/>
        <family val="3"/>
      </rPr>
      <t>RowNumber LP_RowNo</t>
    </r>
    <r>
      <rPr>
        <sz val="10"/>
        <color rgb="FF808080"/>
        <rFont val="Courier New"/>
        <family val="3"/>
      </rPr>
      <t>,</t>
    </r>
    <r>
      <rPr>
        <sz val="10"/>
        <color theme="1"/>
        <rFont val="Courier New"/>
        <family val="3"/>
      </rPr>
      <t xml:space="preserve"> A</t>
    </r>
    <r>
      <rPr>
        <sz val="10"/>
        <color rgb="FF808080"/>
        <rFont val="Courier New"/>
        <family val="3"/>
      </rPr>
      <t>.</t>
    </r>
    <r>
      <rPr>
        <sz val="10"/>
        <color theme="1"/>
        <rFont val="Courier New"/>
        <family val="3"/>
      </rPr>
      <t xml:space="preserve">RC1314_HRG </t>
    </r>
    <r>
      <rPr>
        <sz val="10"/>
        <color rgb="FF0000FF"/>
        <rFont val="Courier New"/>
        <family val="3"/>
      </rPr>
      <t>AS</t>
    </r>
    <r>
      <rPr>
        <sz val="10"/>
        <color theme="1"/>
        <rFont val="Courier New"/>
        <family val="3"/>
      </rPr>
      <t xml:space="preserve"> RC1314_HRG</t>
    </r>
    <r>
      <rPr>
        <sz val="10"/>
        <color rgb="FF808080"/>
        <rFont val="Courier New"/>
        <family val="3"/>
      </rPr>
      <t>,</t>
    </r>
    <r>
      <rPr>
        <sz val="10"/>
        <color theme="1"/>
        <rFont val="Courier New"/>
        <family val="3"/>
      </rPr>
      <t>B</t>
    </r>
    <r>
      <rPr>
        <sz val="10"/>
        <color rgb="FF808080"/>
        <rFont val="Courier New"/>
        <family val="3"/>
      </rPr>
      <t>.</t>
    </r>
    <r>
      <rPr>
        <sz val="10"/>
        <color theme="1"/>
        <rFont val="Courier New"/>
        <family val="3"/>
      </rPr>
      <t xml:space="preserve">LP1516_HRG </t>
    </r>
    <r>
      <rPr>
        <sz val="10"/>
        <color rgb="FF0000FF"/>
        <rFont val="Courier New"/>
        <family val="3"/>
      </rPr>
      <t>AS</t>
    </r>
    <r>
      <rPr>
        <sz val="10"/>
        <color theme="1"/>
        <rFont val="Courier New"/>
        <family val="3"/>
      </rPr>
      <t xml:space="preserve"> LP1516_HRG </t>
    </r>
    <r>
      <rPr>
        <sz val="10"/>
        <color rgb="FF808080"/>
        <rFont val="Courier New"/>
        <family val="3"/>
      </rPr>
      <t>,</t>
    </r>
    <r>
      <rPr>
        <sz val="10"/>
        <color theme="1"/>
        <rFont val="Courier New"/>
        <family val="3"/>
      </rPr>
      <t>A</t>
    </r>
    <r>
      <rPr>
        <sz val="10"/>
        <color rgb="FF808080"/>
        <rFont val="Courier New"/>
        <family val="3"/>
      </rPr>
      <t>.</t>
    </r>
    <r>
      <rPr>
        <sz val="10"/>
        <color theme="1"/>
        <rFont val="Courier New"/>
        <family val="3"/>
      </rPr>
      <t>Iteration RC_INo</t>
    </r>
    <r>
      <rPr>
        <sz val="10"/>
        <color rgb="FF808080"/>
        <rFont val="Courier New"/>
        <family val="3"/>
      </rPr>
      <t>,</t>
    </r>
    <r>
      <rPr>
        <sz val="10"/>
        <color theme="1"/>
        <rFont val="Courier New"/>
        <family val="3"/>
      </rPr>
      <t xml:space="preserve"> B</t>
    </r>
    <r>
      <rPr>
        <sz val="10"/>
        <color rgb="FF808080"/>
        <rFont val="Courier New"/>
        <family val="3"/>
      </rPr>
      <t>.</t>
    </r>
    <r>
      <rPr>
        <sz val="10"/>
        <color theme="1"/>
        <rFont val="Courier New"/>
        <family val="3"/>
      </rPr>
      <t>Iteration LP_INo</t>
    </r>
  </si>
  <si>
    <r>
      <t>INTO</t>
    </r>
    <r>
      <rPr>
        <sz val="10"/>
        <color theme="1"/>
        <rFont val="Courier New"/>
        <family val="3"/>
      </rPr>
      <t xml:space="preserve"> #TableC</t>
    </r>
  </si>
  <si>
    <r>
      <t xml:space="preserve">FROM </t>
    </r>
    <r>
      <rPr>
        <sz val="10"/>
        <color rgb="FF808080"/>
        <rFont val="Courier New"/>
        <family val="3"/>
      </rPr>
      <t>(</t>
    </r>
    <r>
      <rPr>
        <sz val="10"/>
        <color rgb="FF0000FF"/>
        <rFont val="Courier New"/>
        <family val="3"/>
      </rPr>
      <t>SELECT</t>
    </r>
    <r>
      <rPr>
        <sz val="10"/>
        <color theme="1"/>
        <rFont val="Courier New"/>
        <family val="3"/>
      </rPr>
      <t xml:space="preserve"> RowNumber</t>
    </r>
    <r>
      <rPr>
        <sz val="10"/>
        <color rgb="FF808080"/>
        <rFont val="Courier New"/>
        <family val="3"/>
      </rPr>
      <t>,</t>
    </r>
    <r>
      <rPr>
        <sz val="10"/>
        <color theme="1"/>
        <rFont val="Courier New"/>
        <family val="3"/>
      </rPr>
      <t xml:space="preserve"> UnBundled </t>
    </r>
    <r>
      <rPr>
        <sz val="10"/>
        <color rgb="FF0000FF"/>
        <rFont val="Courier New"/>
        <family val="3"/>
      </rPr>
      <t>AS</t>
    </r>
    <r>
      <rPr>
        <sz val="10"/>
        <color theme="1"/>
        <rFont val="Courier New"/>
        <family val="3"/>
      </rPr>
      <t xml:space="preserve"> RC1314_HRG</t>
    </r>
    <r>
      <rPr>
        <sz val="10"/>
        <color rgb="FF808080"/>
        <rFont val="Courier New"/>
        <family val="3"/>
      </rPr>
      <t>,</t>
    </r>
    <r>
      <rPr>
        <sz val="10"/>
        <color theme="1"/>
        <rFont val="Courier New"/>
        <family val="3"/>
      </rPr>
      <t xml:space="preserve"> Iteration</t>
    </r>
  </si>
  <si>
    <r>
      <t xml:space="preserve">  </t>
    </r>
    <r>
      <rPr>
        <sz val="10"/>
        <color rgb="FF0000FF"/>
        <rFont val="Courier New"/>
        <family val="3"/>
      </rPr>
      <t>FROM</t>
    </r>
    <r>
      <rPr>
        <sz val="10"/>
        <color theme="1"/>
        <rFont val="Courier New"/>
        <family val="3"/>
      </rPr>
      <t xml:space="preserve"> </t>
    </r>
  </si>
  <si>
    <r>
      <t xml:space="preserve">  </t>
    </r>
    <r>
      <rPr>
        <sz val="10"/>
        <color rgb="FF0000FF"/>
        <rFont val="Courier New"/>
        <family val="3"/>
      </rPr>
      <t>WHERE</t>
    </r>
    <r>
      <rPr>
        <sz val="10"/>
        <color theme="1"/>
        <rFont val="Courier New"/>
        <family val="3"/>
      </rPr>
      <t xml:space="preserve"> </t>
    </r>
  </si>
  <si>
    <r>
      <t xml:space="preserve">GrouperRunID </t>
    </r>
    <r>
      <rPr>
        <sz val="10"/>
        <color rgb="FF808080"/>
        <rFont val="Courier New"/>
        <family val="3"/>
      </rPr>
      <t>=</t>
    </r>
    <r>
      <rPr>
        <sz val="10"/>
        <color theme="1"/>
        <rFont val="Courier New"/>
        <family val="3"/>
      </rPr>
      <t xml:space="preserve"> 3009 </t>
    </r>
    <r>
      <rPr>
        <sz val="10"/>
        <color rgb="FF008000"/>
        <rFont val="Courier New"/>
        <family val="3"/>
      </rPr>
      <t>-- HES12/13 OP RC13/14 grouper</t>
    </r>
  </si>
  <si>
    <r>
      <t>)</t>
    </r>
    <r>
      <rPr>
        <sz val="10"/>
        <color theme="1"/>
        <rFont val="Courier New"/>
        <family val="3"/>
      </rPr>
      <t xml:space="preserve"> </t>
    </r>
    <r>
      <rPr>
        <sz val="10"/>
        <color rgb="FF0000FF"/>
        <rFont val="Courier New"/>
        <family val="3"/>
      </rPr>
      <t>AS</t>
    </r>
    <r>
      <rPr>
        <sz val="10"/>
        <color theme="1"/>
        <rFont val="Courier New"/>
        <family val="3"/>
      </rPr>
      <t xml:space="preserve"> A</t>
    </r>
  </si>
  <si>
    <r>
      <t>INNER</t>
    </r>
    <r>
      <rPr>
        <sz val="10"/>
        <color theme="1"/>
        <rFont val="Courier New"/>
        <family val="3"/>
      </rPr>
      <t xml:space="preserve"> </t>
    </r>
    <r>
      <rPr>
        <sz val="10"/>
        <color rgb="FF808080"/>
        <rFont val="Courier New"/>
        <family val="3"/>
      </rPr>
      <t>JOIN</t>
    </r>
  </si>
  <si>
    <r>
      <t>(</t>
    </r>
    <r>
      <rPr>
        <sz val="10"/>
        <color rgb="FF0000FF"/>
        <rFont val="Courier New"/>
        <family val="3"/>
      </rPr>
      <t>SELECT</t>
    </r>
    <r>
      <rPr>
        <sz val="10"/>
        <color theme="1"/>
        <rFont val="Courier New"/>
        <family val="3"/>
      </rPr>
      <t xml:space="preserve"> RowNumber</t>
    </r>
    <r>
      <rPr>
        <sz val="10"/>
        <color rgb="FF808080"/>
        <rFont val="Courier New"/>
        <family val="3"/>
      </rPr>
      <t>,</t>
    </r>
    <r>
      <rPr>
        <sz val="10"/>
        <color theme="1"/>
        <rFont val="Courier New"/>
        <family val="3"/>
      </rPr>
      <t xml:space="preserve"> UnBundled </t>
    </r>
    <r>
      <rPr>
        <sz val="10"/>
        <color rgb="FF0000FF"/>
        <rFont val="Courier New"/>
        <family val="3"/>
      </rPr>
      <t>AS</t>
    </r>
    <r>
      <rPr>
        <sz val="10"/>
        <color theme="1"/>
        <rFont val="Courier New"/>
        <family val="3"/>
      </rPr>
      <t xml:space="preserve"> LP1516_HRG</t>
    </r>
    <r>
      <rPr>
        <sz val="10"/>
        <color rgb="FF808080"/>
        <rFont val="Courier New"/>
        <family val="3"/>
      </rPr>
      <t>,</t>
    </r>
    <r>
      <rPr>
        <sz val="10"/>
        <color theme="1"/>
        <rFont val="Courier New"/>
        <family val="3"/>
      </rPr>
      <t xml:space="preserve"> Iteration</t>
    </r>
  </si>
  <si>
    <r>
      <t xml:space="preserve">GrouperRunID </t>
    </r>
    <r>
      <rPr>
        <sz val="10"/>
        <color rgb="FF808080"/>
        <rFont val="Courier New"/>
        <family val="3"/>
      </rPr>
      <t>=</t>
    </r>
    <r>
      <rPr>
        <sz val="10"/>
        <color theme="1"/>
        <rFont val="Courier New"/>
        <family val="3"/>
      </rPr>
      <t xml:space="preserve"> 3010 </t>
    </r>
    <r>
      <rPr>
        <sz val="10"/>
        <color rgb="FF008000"/>
        <rFont val="Courier New"/>
        <family val="3"/>
      </rPr>
      <t>-- HES12/13 OP LP15/16 grouper</t>
    </r>
  </si>
  <si>
    <r>
      <t>)</t>
    </r>
    <r>
      <rPr>
        <sz val="10"/>
        <color theme="1"/>
        <rFont val="Courier New"/>
        <family val="3"/>
      </rPr>
      <t xml:space="preserve"> </t>
    </r>
    <r>
      <rPr>
        <sz val="10"/>
        <color rgb="FF0000FF"/>
        <rFont val="Courier New"/>
        <family val="3"/>
      </rPr>
      <t>AS</t>
    </r>
    <r>
      <rPr>
        <sz val="10"/>
        <color theme="1"/>
        <rFont val="Courier New"/>
        <family val="3"/>
      </rPr>
      <t xml:space="preserve"> B</t>
    </r>
  </si>
  <si>
    <r>
      <t>ON</t>
    </r>
    <r>
      <rPr>
        <sz val="10"/>
        <color theme="1"/>
        <rFont val="Courier New"/>
        <family val="3"/>
      </rPr>
      <t xml:space="preserve"> A</t>
    </r>
    <r>
      <rPr>
        <sz val="10"/>
        <color rgb="FF808080"/>
        <rFont val="Courier New"/>
        <family val="3"/>
      </rPr>
      <t>.</t>
    </r>
    <r>
      <rPr>
        <sz val="10"/>
        <color theme="1"/>
        <rFont val="Courier New"/>
        <family val="3"/>
      </rPr>
      <t xml:space="preserve">RowNumber </t>
    </r>
    <r>
      <rPr>
        <sz val="10"/>
        <color rgb="FF808080"/>
        <rFont val="Courier New"/>
        <family val="3"/>
      </rPr>
      <t>=</t>
    </r>
    <r>
      <rPr>
        <sz val="10"/>
        <color theme="1"/>
        <rFont val="Courier New"/>
        <family val="3"/>
      </rPr>
      <t xml:space="preserve"> B</t>
    </r>
    <r>
      <rPr>
        <sz val="10"/>
        <color rgb="FF808080"/>
        <rFont val="Courier New"/>
        <family val="3"/>
      </rPr>
      <t>.</t>
    </r>
    <r>
      <rPr>
        <sz val="10"/>
        <color theme="1"/>
        <rFont val="Courier New"/>
        <family val="3"/>
      </rPr>
      <t xml:space="preserve">RowNumber </t>
    </r>
  </si>
  <si>
    <r>
      <t>AND</t>
    </r>
    <r>
      <rPr>
        <sz val="10"/>
        <color theme="1"/>
        <rFont val="Courier New"/>
        <family val="3"/>
      </rPr>
      <t xml:space="preserve"> A</t>
    </r>
    <r>
      <rPr>
        <sz val="10"/>
        <color rgb="FF808080"/>
        <rFont val="Courier New"/>
        <family val="3"/>
      </rPr>
      <t>.</t>
    </r>
    <r>
      <rPr>
        <sz val="10"/>
        <color theme="1"/>
        <rFont val="Courier New"/>
        <family val="3"/>
      </rPr>
      <t xml:space="preserve">Iteration  </t>
    </r>
    <r>
      <rPr>
        <sz val="10"/>
        <color rgb="FF808080"/>
        <rFont val="Courier New"/>
        <family val="3"/>
      </rPr>
      <t>=</t>
    </r>
    <r>
      <rPr>
        <sz val="10"/>
        <color theme="1"/>
        <rFont val="Courier New"/>
        <family val="3"/>
      </rPr>
      <t xml:space="preserve"> B</t>
    </r>
    <r>
      <rPr>
        <sz val="10"/>
        <color rgb="FF808080"/>
        <rFont val="Courier New"/>
        <family val="3"/>
      </rPr>
      <t>.</t>
    </r>
    <r>
      <rPr>
        <sz val="10"/>
        <color theme="1"/>
        <rFont val="Courier New"/>
        <family val="3"/>
      </rPr>
      <t xml:space="preserve">Iteration </t>
    </r>
  </si>
  <si>
    <r>
      <t>AND</t>
    </r>
    <r>
      <rPr>
        <sz val="10"/>
        <color theme="1"/>
        <rFont val="Courier New"/>
        <family val="3"/>
      </rPr>
      <t xml:space="preserve"> A</t>
    </r>
    <r>
      <rPr>
        <sz val="10"/>
        <color rgb="FF808080"/>
        <rFont val="Courier New"/>
        <family val="3"/>
      </rPr>
      <t>.</t>
    </r>
    <r>
      <rPr>
        <sz val="10"/>
        <color theme="1"/>
        <rFont val="Courier New"/>
        <family val="3"/>
      </rPr>
      <t xml:space="preserve">RC1314_HRG </t>
    </r>
    <r>
      <rPr>
        <sz val="10"/>
        <color rgb="FF808080"/>
        <rFont val="Courier New"/>
        <family val="3"/>
      </rPr>
      <t>=</t>
    </r>
    <r>
      <rPr>
        <sz val="10"/>
        <color theme="1"/>
        <rFont val="Courier New"/>
        <family val="3"/>
      </rPr>
      <t xml:space="preserve"> B</t>
    </r>
    <r>
      <rPr>
        <sz val="10"/>
        <color rgb="FF808080"/>
        <rFont val="Courier New"/>
        <family val="3"/>
      </rPr>
      <t>.</t>
    </r>
    <r>
      <rPr>
        <sz val="10"/>
        <color theme="1"/>
        <rFont val="Courier New"/>
        <family val="3"/>
      </rPr>
      <t>LP1516_HRG</t>
    </r>
  </si>
  <si>
    <r>
      <t>ORDER</t>
    </r>
    <r>
      <rPr>
        <sz val="10"/>
        <color theme="1"/>
        <rFont val="Courier New"/>
        <family val="3"/>
      </rPr>
      <t xml:space="preserve"> </t>
    </r>
    <r>
      <rPr>
        <sz val="10"/>
        <color rgb="FF0000FF"/>
        <rFont val="Courier New"/>
        <family val="3"/>
      </rPr>
      <t>BY</t>
    </r>
    <r>
      <rPr>
        <sz val="10"/>
        <color theme="1"/>
        <rFont val="Courier New"/>
        <family val="3"/>
      </rPr>
      <t xml:space="preserve"> A</t>
    </r>
    <r>
      <rPr>
        <sz val="10"/>
        <color rgb="FF808080"/>
        <rFont val="Courier New"/>
        <family val="3"/>
      </rPr>
      <t>.</t>
    </r>
    <r>
      <rPr>
        <sz val="10"/>
        <color theme="1"/>
        <rFont val="Courier New"/>
        <family val="3"/>
      </rPr>
      <t>RowNumber</t>
    </r>
  </si>
  <si>
    <t>--(2760779 row(s) affected)</t>
  </si>
  <si>
    <t>/* STEP 1.2 */</t>
  </si>
  <si>
    <r>
      <t>DELETE</t>
    </r>
    <r>
      <rPr>
        <sz val="10"/>
        <color theme="1"/>
        <rFont val="Courier New"/>
        <family val="3"/>
      </rPr>
      <t xml:space="preserve"> #TableA</t>
    </r>
  </si>
  <si>
    <r>
      <t>FROM</t>
    </r>
    <r>
      <rPr>
        <sz val="10"/>
        <color theme="1"/>
        <rFont val="Courier New"/>
        <family val="3"/>
      </rPr>
      <t xml:space="preserve"> #TableA  TA</t>
    </r>
  </si>
  <si>
    <r>
      <t>INNER</t>
    </r>
    <r>
      <rPr>
        <sz val="10"/>
        <color theme="1"/>
        <rFont val="Courier New"/>
        <family val="3"/>
      </rPr>
      <t xml:space="preserve"> </t>
    </r>
    <r>
      <rPr>
        <sz val="10"/>
        <color rgb="FF808080"/>
        <rFont val="Courier New"/>
        <family val="3"/>
      </rPr>
      <t>JOIN</t>
    </r>
    <r>
      <rPr>
        <sz val="10"/>
        <color theme="1"/>
        <rFont val="Courier New"/>
        <family val="3"/>
      </rPr>
      <t xml:space="preserve"> #TableC TC</t>
    </r>
  </si>
  <si>
    <r>
      <t>ON</t>
    </r>
    <r>
      <rPr>
        <sz val="10"/>
        <color theme="1"/>
        <rFont val="Courier New"/>
        <family val="3"/>
      </rPr>
      <t xml:space="preserve"> TA</t>
    </r>
    <r>
      <rPr>
        <sz val="10"/>
        <color rgb="FF808080"/>
        <rFont val="Courier New"/>
        <family val="3"/>
      </rPr>
      <t>.</t>
    </r>
    <r>
      <rPr>
        <sz val="10"/>
        <color theme="1"/>
        <rFont val="Courier New"/>
        <family val="3"/>
      </rPr>
      <t xml:space="preserve">RowNumber </t>
    </r>
    <r>
      <rPr>
        <sz val="10"/>
        <color rgb="FF808080"/>
        <rFont val="Courier New"/>
        <family val="3"/>
      </rPr>
      <t>=</t>
    </r>
    <r>
      <rPr>
        <sz val="10"/>
        <color theme="1"/>
        <rFont val="Courier New"/>
        <family val="3"/>
      </rPr>
      <t xml:space="preserve"> TC</t>
    </r>
    <r>
      <rPr>
        <sz val="10"/>
        <color rgb="FF808080"/>
        <rFont val="Courier New"/>
        <family val="3"/>
      </rPr>
      <t>.</t>
    </r>
    <r>
      <rPr>
        <sz val="10"/>
        <color theme="1"/>
        <rFont val="Courier New"/>
        <family val="3"/>
      </rPr>
      <t>RC_RowNo</t>
    </r>
  </si>
  <si>
    <r>
      <t>WHERE</t>
    </r>
    <r>
      <rPr>
        <sz val="10"/>
        <color theme="1"/>
        <rFont val="Courier New"/>
        <family val="3"/>
      </rPr>
      <t xml:space="preserve"> TA</t>
    </r>
    <r>
      <rPr>
        <sz val="10"/>
        <color rgb="FF808080"/>
        <rFont val="Courier New"/>
        <family val="3"/>
      </rPr>
      <t>.</t>
    </r>
    <r>
      <rPr>
        <sz val="10"/>
        <color theme="1"/>
        <rFont val="Courier New"/>
        <family val="3"/>
      </rPr>
      <t xml:space="preserve">RC1314_HRG </t>
    </r>
    <r>
      <rPr>
        <sz val="10"/>
        <color rgb="FF808080"/>
        <rFont val="Courier New"/>
        <family val="3"/>
      </rPr>
      <t>=</t>
    </r>
    <r>
      <rPr>
        <sz val="10"/>
        <color theme="1"/>
        <rFont val="Courier New"/>
        <family val="3"/>
      </rPr>
      <t xml:space="preserve"> TC</t>
    </r>
    <r>
      <rPr>
        <sz val="10"/>
        <color rgb="FF808080"/>
        <rFont val="Courier New"/>
        <family val="3"/>
      </rPr>
      <t>.</t>
    </r>
    <r>
      <rPr>
        <sz val="10"/>
        <color theme="1"/>
        <rFont val="Courier New"/>
        <family val="3"/>
      </rPr>
      <t>RC1314_HRG</t>
    </r>
  </si>
  <si>
    <r>
      <t>AND</t>
    </r>
    <r>
      <rPr>
        <sz val="10"/>
        <color theme="1"/>
        <rFont val="Courier New"/>
        <family val="3"/>
      </rPr>
      <t xml:space="preserve"> TA</t>
    </r>
    <r>
      <rPr>
        <sz val="10"/>
        <color rgb="FF808080"/>
        <rFont val="Courier New"/>
        <family val="3"/>
      </rPr>
      <t>.</t>
    </r>
    <r>
      <rPr>
        <sz val="10"/>
        <color theme="1"/>
        <rFont val="Courier New"/>
        <family val="3"/>
      </rPr>
      <t xml:space="preserve">Iteration </t>
    </r>
    <r>
      <rPr>
        <sz val="10"/>
        <color rgb="FF808080"/>
        <rFont val="Courier New"/>
        <family val="3"/>
      </rPr>
      <t>=</t>
    </r>
    <r>
      <rPr>
        <sz val="10"/>
        <color theme="1"/>
        <rFont val="Courier New"/>
        <family val="3"/>
      </rPr>
      <t xml:space="preserve"> TC</t>
    </r>
    <r>
      <rPr>
        <sz val="10"/>
        <color rgb="FF808080"/>
        <rFont val="Courier New"/>
        <family val="3"/>
      </rPr>
      <t>.</t>
    </r>
    <r>
      <rPr>
        <sz val="10"/>
        <color theme="1"/>
        <rFont val="Courier New"/>
        <family val="3"/>
      </rPr>
      <t>RC_INo</t>
    </r>
  </si>
  <si>
    <r>
      <t>DELETE</t>
    </r>
    <r>
      <rPr>
        <sz val="10"/>
        <color theme="1"/>
        <rFont val="Courier New"/>
        <family val="3"/>
      </rPr>
      <t xml:space="preserve"> #TableB</t>
    </r>
  </si>
  <si>
    <r>
      <t>FROM</t>
    </r>
    <r>
      <rPr>
        <sz val="10"/>
        <color theme="1"/>
        <rFont val="Courier New"/>
        <family val="3"/>
      </rPr>
      <t xml:space="preserve"> #TableB  TB</t>
    </r>
  </si>
  <si>
    <r>
      <t>ON</t>
    </r>
    <r>
      <rPr>
        <sz val="10"/>
        <color theme="1"/>
        <rFont val="Courier New"/>
        <family val="3"/>
      </rPr>
      <t xml:space="preserve"> TB</t>
    </r>
    <r>
      <rPr>
        <sz val="10"/>
        <color rgb="FF808080"/>
        <rFont val="Courier New"/>
        <family val="3"/>
      </rPr>
      <t>.</t>
    </r>
    <r>
      <rPr>
        <sz val="10"/>
        <color theme="1"/>
        <rFont val="Courier New"/>
        <family val="3"/>
      </rPr>
      <t xml:space="preserve">RowNumber </t>
    </r>
    <r>
      <rPr>
        <sz val="10"/>
        <color rgb="FF808080"/>
        <rFont val="Courier New"/>
        <family val="3"/>
      </rPr>
      <t>=</t>
    </r>
    <r>
      <rPr>
        <sz val="10"/>
        <color theme="1"/>
        <rFont val="Courier New"/>
        <family val="3"/>
      </rPr>
      <t xml:space="preserve"> TC</t>
    </r>
    <r>
      <rPr>
        <sz val="10"/>
        <color rgb="FF808080"/>
        <rFont val="Courier New"/>
        <family val="3"/>
      </rPr>
      <t>.</t>
    </r>
    <r>
      <rPr>
        <sz val="10"/>
        <color theme="1"/>
        <rFont val="Courier New"/>
        <family val="3"/>
      </rPr>
      <t>RC_RowNo</t>
    </r>
  </si>
  <si>
    <r>
      <t>WHERE</t>
    </r>
    <r>
      <rPr>
        <sz val="10"/>
        <color theme="1"/>
        <rFont val="Courier New"/>
        <family val="3"/>
      </rPr>
      <t xml:space="preserve"> TB</t>
    </r>
    <r>
      <rPr>
        <sz val="10"/>
        <color rgb="FF808080"/>
        <rFont val="Courier New"/>
        <family val="3"/>
      </rPr>
      <t>.</t>
    </r>
    <r>
      <rPr>
        <sz val="10"/>
        <color theme="1"/>
        <rFont val="Courier New"/>
        <family val="3"/>
      </rPr>
      <t xml:space="preserve">LP1516_HRG </t>
    </r>
    <r>
      <rPr>
        <sz val="10"/>
        <color rgb="FF808080"/>
        <rFont val="Courier New"/>
        <family val="3"/>
      </rPr>
      <t>=</t>
    </r>
    <r>
      <rPr>
        <sz val="10"/>
        <color theme="1"/>
        <rFont val="Courier New"/>
        <family val="3"/>
      </rPr>
      <t xml:space="preserve"> TC</t>
    </r>
    <r>
      <rPr>
        <sz val="10"/>
        <color rgb="FF808080"/>
        <rFont val="Courier New"/>
        <family val="3"/>
      </rPr>
      <t>.</t>
    </r>
    <r>
      <rPr>
        <sz val="10"/>
        <color theme="1"/>
        <rFont val="Courier New"/>
        <family val="3"/>
      </rPr>
      <t>LP1516_HRG</t>
    </r>
  </si>
  <si>
    <r>
      <t>AND</t>
    </r>
    <r>
      <rPr>
        <sz val="10"/>
        <color theme="1"/>
        <rFont val="Courier New"/>
        <family val="3"/>
      </rPr>
      <t xml:space="preserve"> TB</t>
    </r>
    <r>
      <rPr>
        <sz val="10"/>
        <color rgb="FF808080"/>
        <rFont val="Courier New"/>
        <family val="3"/>
      </rPr>
      <t>.</t>
    </r>
    <r>
      <rPr>
        <sz val="10"/>
        <color theme="1"/>
        <rFont val="Courier New"/>
        <family val="3"/>
      </rPr>
      <t xml:space="preserve">Iteration </t>
    </r>
    <r>
      <rPr>
        <sz val="10"/>
        <color rgb="FF808080"/>
        <rFont val="Courier New"/>
        <family val="3"/>
      </rPr>
      <t>=</t>
    </r>
    <r>
      <rPr>
        <sz val="10"/>
        <color theme="1"/>
        <rFont val="Courier New"/>
        <family val="3"/>
      </rPr>
      <t xml:space="preserve"> TC</t>
    </r>
    <r>
      <rPr>
        <sz val="10"/>
        <color rgb="FF808080"/>
        <rFont val="Courier New"/>
        <family val="3"/>
      </rPr>
      <t>.</t>
    </r>
    <r>
      <rPr>
        <sz val="10"/>
        <color theme="1"/>
        <rFont val="Courier New"/>
        <family val="3"/>
      </rPr>
      <t>LP_INo</t>
    </r>
  </si>
  <si>
    <t>/* STEP 2.1 */</t>
  </si>
  <si>
    <r>
      <t>SELECT</t>
    </r>
    <r>
      <rPr>
        <sz val="10"/>
        <color theme="1"/>
        <rFont val="Courier New"/>
        <family val="3"/>
      </rPr>
      <t xml:space="preserve"> RowNumber</t>
    </r>
    <r>
      <rPr>
        <sz val="10"/>
        <color rgb="FF808080"/>
        <rFont val="Courier New"/>
        <family val="3"/>
      </rPr>
      <t>,</t>
    </r>
    <r>
      <rPr>
        <sz val="10"/>
        <color theme="1"/>
        <rFont val="Courier New"/>
        <family val="3"/>
      </rPr>
      <t xml:space="preserve"> </t>
    </r>
    <r>
      <rPr>
        <sz val="10"/>
        <color rgb="FFFF00FF"/>
        <rFont val="Courier New"/>
        <family val="3"/>
      </rPr>
      <t>COUNT</t>
    </r>
    <r>
      <rPr>
        <sz val="10"/>
        <color rgb="FF808080"/>
        <rFont val="Courier New"/>
        <family val="3"/>
      </rPr>
      <t>(</t>
    </r>
    <r>
      <rPr>
        <sz val="10"/>
        <color theme="1"/>
        <rFont val="Courier New"/>
        <family val="3"/>
      </rPr>
      <t>Iteration</t>
    </r>
    <r>
      <rPr>
        <sz val="10"/>
        <color rgb="FF808080"/>
        <rFont val="Courier New"/>
        <family val="3"/>
      </rPr>
      <t>)</t>
    </r>
    <r>
      <rPr>
        <sz val="10"/>
        <color theme="1"/>
        <rFont val="Courier New"/>
        <family val="3"/>
      </rPr>
      <t xml:space="preserve"> Itr_Count</t>
    </r>
  </si>
  <si>
    <r>
      <t>INTO</t>
    </r>
    <r>
      <rPr>
        <sz val="10"/>
        <color theme="1"/>
        <rFont val="Courier New"/>
        <family val="3"/>
      </rPr>
      <t xml:space="preserve"> #TA_Count</t>
    </r>
  </si>
  <si>
    <r>
      <t>FROM</t>
    </r>
    <r>
      <rPr>
        <sz val="10"/>
        <color theme="1"/>
        <rFont val="Courier New"/>
        <family val="3"/>
      </rPr>
      <t xml:space="preserve"> #TableA</t>
    </r>
  </si>
  <si>
    <r>
      <t>GROUP</t>
    </r>
    <r>
      <rPr>
        <sz val="10"/>
        <color theme="1"/>
        <rFont val="Courier New"/>
        <family val="3"/>
      </rPr>
      <t xml:space="preserve"> </t>
    </r>
    <r>
      <rPr>
        <sz val="10"/>
        <color rgb="FF0000FF"/>
        <rFont val="Courier New"/>
        <family val="3"/>
      </rPr>
      <t>BY</t>
    </r>
    <r>
      <rPr>
        <sz val="10"/>
        <color theme="1"/>
        <rFont val="Courier New"/>
        <family val="3"/>
      </rPr>
      <t xml:space="preserve"> RowNumber</t>
    </r>
  </si>
  <si>
    <r>
      <t>HAVING</t>
    </r>
    <r>
      <rPr>
        <sz val="10"/>
        <color theme="1"/>
        <rFont val="Courier New"/>
        <family val="3"/>
      </rPr>
      <t xml:space="preserve"> </t>
    </r>
    <r>
      <rPr>
        <sz val="10"/>
        <color rgb="FFFF00FF"/>
        <rFont val="Courier New"/>
        <family val="3"/>
      </rPr>
      <t>COUNT</t>
    </r>
    <r>
      <rPr>
        <sz val="10"/>
        <color rgb="FF808080"/>
        <rFont val="Courier New"/>
        <family val="3"/>
      </rPr>
      <t>(</t>
    </r>
    <r>
      <rPr>
        <sz val="10"/>
        <color theme="1"/>
        <rFont val="Courier New"/>
        <family val="3"/>
      </rPr>
      <t>Iteration</t>
    </r>
    <r>
      <rPr>
        <sz val="10"/>
        <color rgb="FF808080"/>
        <rFont val="Courier New"/>
        <family val="3"/>
      </rPr>
      <t>)</t>
    </r>
    <r>
      <rPr>
        <sz val="10"/>
        <color theme="1"/>
        <rFont val="Courier New"/>
        <family val="3"/>
      </rPr>
      <t xml:space="preserve"> </t>
    </r>
    <r>
      <rPr>
        <sz val="10"/>
        <color rgb="FF808080"/>
        <rFont val="Courier New"/>
        <family val="3"/>
      </rPr>
      <t>=</t>
    </r>
    <r>
      <rPr>
        <sz val="10"/>
        <color theme="1"/>
        <rFont val="Courier New"/>
        <family val="3"/>
      </rPr>
      <t xml:space="preserve"> 1</t>
    </r>
  </si>
  <si>
    <r>
      <t>ORDER</t>
    </r>
    <r>
      <rPr>
        <sz val="10"/>
        <color theme="1"/>
        <rFont val="Courier New"/>
        <family val="3"/>
      </rPr>
      <t xml:space="preserve"> </t>
    </r>
    <r>
      <rPr>
        <sz val="10"/>
        <color rgb="FF0000FF"/>
        <rFont val="Courier New"/>
        <family val="3"/>
      </rPr>
      <t>BY</t>
    </r>
    <r>
      <rPr>
        <sz val="10"/>
        <color theme="1"/>
        <rFont val="Courier New"/>
        <family val="3"/>
      </rPr>
      <t xml:space="preserve"> 1</t>
    </r>
  </si>
  <si>
    <t>--(22334 row(s) affected)</t>
  </si>
  <si>
    <r>
      <t>INTO</t>
    </r>
    <r>
      <rPr>
        <sz val="10"/>
        <color theme="1"/>
        <rFont val="Courier New"/>
        <family val="3"/>
      </rPr>
      <t xml:space="preserve"> #TB_Count</t>
    </r>
  </si>
  <si>
    <r>
      <t>FROM</t>
    </r>
    <r>
      <rPr>
        <sz val="10"/>
        <color theme="1"/>
        <rFont val="Courier New"/>
        <family val="3"/>
      </rPr>
      <t xml:space="preserve"> #TableB</t>
    </r>
  </si>
  <si>
    <t>--(22277 row(s) affected)</t>
  </si>
  <si>
    <t>/* STEP 2.2 */</t>
  </si>
  <si>
    <r>
      <t>INSERT</t>
    </r>
    <r>
      <rPr>
        <sz val="10"/>
        <color theme="1"/>
        <rFont val="Courier New"/>
        <family val="3"/>
      </rPr>
      <t xml:space="preserve"> </t>
    </r>
    <r>
      <rPr>
        <sz val="10"/>
        <color rgb="FF0000FF"/>
        <rFont val="Courier New"/>
        <family val="3"/>
      </rPr>
      <t>INTO</t>
    </r>
    <r>
      <rPr>
        <sz val="10"/>
        <color theme="1"/>
        <rFont val="Courier New"/>
        <family val="3"/>
      </rPr>
      <t xml:space="preserve"> #TableC</t>
    </r>
    <r>
      <rPr>
        <sz val="10"/>
        <color rgb="FF808080"/>
        <rFont val="Courier New"/>
        <family val="3"/>
      </rPr>
      <t>(</t>
    </r>
    <r>
      <rPr>
        <sz val="10"/>
        <color theme="1"/>
        <rFont val="Courier New"/>
        <family val="3"/>
      </rPr>
      <t>RC_RowNo</t>
    </r>
    <r>
      <rPr>
        <sz val="10"/>
        <color rgb="FF808080"/>
        <rFont val="Courier New"/>
        <family val="3"/>
      </rPr>
      <t>,</t>
    </r>
    <r>
      <rPr>
        <sz val="10"/>
        <color theme="1"/>
        <rFont val="Courier New"/>
        <family val="3"/>
      </rPr>
      <t xml:space="preserve"> RC1314_HRG</t>
    </r>
    <r>
      <rPr>
        <sz val="10"/>
        <color rgb="FF808080"/>
        <rFont val="Courier New"/>
        <family val="3"/>
      </rPr>
      <t>,</t>
    </r>
    <r>
      <rPr>
        <sz val="10"/>
        <color theme="1"/>
        <rFont val="Courier New"/>
        <family val="3"/>
      </rPr>
      <t xml:space="preserve"> LP_RowNo</t>
    </r>
    <r>
      <rPr>
        <sz val="10"/>
        <color rgb="FF808080"/>
        <rFont val="Courier New"/>
        <family val="3"/>
      </rPr>
      <t>,</t>
    </r>
    <r>
      <rPr>
        <sz val="10"/>
        <color theme="1"/>
        <rFont val="Courier New"/>
        <family val="3"/>
      </rPr>
      <t xml:space="preserve"> LP1516_HRG</t>
    </r>
    <r>
      <rPr>
        <sz val="10"/>
        <color rgb="FF808080"/>
        <rFont val="Courier New"/>
        <family val="3"/>
      </rPr>
      <t>,</t>
    </r>
    <r>
      <rPr>
        <sz val="10"/>
        <color theme="1"/>
        <rFont val="Courier New"/>
        <family val="3"/>
      </rPr>
      <t xml:space="preserve"> RC_INo</t>
    </r>
    <r>
      <rPr>
        <sz val="10"/>
        <color rgb="FF808080"/>
        <rFont val="Courier New"/>
        <family val="3"/>
      </rPr>
      <t>,</t>
    </r>
    <r>
      <rPr>
        <sz val="10"/>
        <color theme="1"/>
        <rFont val="Courier New"/>
        <family val="3"/>
      </rPr>
      <t xml:space="preserve"> LP_INo</t>
    </r>
    <r>
      <rPr>
        <sz val="10"/>
        <color rgb="FF808080"/>
        <rFont val="Courier New"/>
        <family val="3"/>
      </rPr>
      <t>)</t>
    </r>
  </si>
  <si>
    <r>
      <t>SELECT</t>
    </r>
    <r>
      <rPr>
        <sz val="10"/>
        <color theme="1"/>
        <rFont val="Courier New"/>
        <family val="3"/>
      </rPr>
      <t xml:space="preserve"> TA</t>
    </r>
    <r>
      <rPr>
        <sz val="10"/>
        <color rgb="FF808080"/>
        <rFont val="Courier New"/>
        <family val="3"/>
      </rPr>
      <t>.</t>
    </r>
    <r>
      <rPr>
        <sz val="10"/>
        <color theme="1"/>
        <rFont val="Courier New"/>
        <family val="3"/>
      </rPr>
      <t>RowNumber</t>
    </r>
    <r>
      <rPr>
        <sz val="10"/>
        <color rgb="FF808080"/>
        <rFont val="Courier New"/>
        <family val="3"/>
      </rPr>
      <t>,</t>
    </r>
    <r>
      <rPr>
        <sz val="10"/>
        <color theme="1"/>
        <rFont val="Courier New"/>
        <family val="3"/>
      </rPr>
      <t xml:space="preserve"> TA</t>
    </r>
    <r>
      <rPr>
        <sz val="10"/>
        <color rgb="FF808080"/>
        <rFont val="Courier New"/>
        <family val="3"/>
      </rPr>
      <t>.</t>
    </r>
    <r>
      <rPr>
        <sz val="10"/>
        <color theme="1"/>
        <rFont val="Courier New"/>
        <family val="3"/>
      </rPr>
      <t>RC1314_HRG</t>
    </r>
    <r>
      <rPr>
        <sz val="10"/>
        <color rgb="FF808080"/>
        <rFont val="Courier New"/>
        <family val="3"/>
      </rPr>
      <t>,</t>
    </r>
    <r>
      <rPr>
        <sz val="10"/>
        <color theme="1"/>
        <rFont val="Courier New"/>
        <family val="3"/>
      </rPr>
      <t xml:space="preserve"> TB</t>
    </r>
    <r>
      <rPr>
        <sz val="10"/>
        <color rgb="FF808080"/>
        <rFont val="Courier New"/>
        <family val="3"/>
      </rPr>
      <t>.</t>
    </r>
    <r>
      <rPr>
        <sz val="10"/>
        <color theme="1"/>
        <rFont val="Courier New"/>
        <family val="3"/>
      </rPr>
      <t>RowNumber</t>
    </r>
    <r>
      <rPr>
        <sz val="10"/>
        <color rgb="FF808080"/>
        <rFont val="Courier New"/>
        <family val="3"/>
      </rPr>
      <t>,</t>
    </r>
    <r>
      <rPr>
        <sz val="10"/>
        <color theme="1"/>
        <rFont val="Courier New"/>
        <family val="3"/>
      </rPr>
      <t xml:space="preserve"> TB</t>
    </r>
    <r>
      <rPr>
        <sz val="10"/>
        <color rgb="FF808080"/>
        <rFont val="Courier New"/>
        <family val="3"/>
      </rPr>
      <t>.</t>
    </r>
    <r>
      <rPr>
        <sz val="10"/>
        <color theme="1"/>
        <rFont val="Courier New"/>
        <family val="3"/>
      </rPr>
      <t>LP1516_HRG</t>
    </r>
    <r>
      <rPr>
        <sz val="10"/>
        <color rgb="FF808080"/>
        <rFont val="Courier New"/>
        <family val="3"/>
      </rPr>
      <t>,</t>
    </r>
    <r>
      <rPr>
        <sz val="10"/>
        <color theme="1"/>
        <rFont val="Courier New"/>
        <family val="3"/>
      </rPr>
      <t xml:space="preserve"> TA</t>
    </r>
    <r>
      <rPr>
        <sz val="10"/>
        <color rgb="FF808080"/>
        <rFont val="Courier New"/>
        <family val="3"/>
      </rPr>
      <t>.</t>
    </r>
    <r>
      <rPr>
        <sz val="10"/>
        <color theme="1"/>
        <rFont val="Courier New"/>
        <family val="3"/>
      </rPr>
      <t>Iteration</t>
    </r>
    <r>
      <rPr>
        <sz val="10"/>
        <color rgb="FF808080"/>
        <rFont val="Courier New"/>
        <family val="3"/>
      </rPr>
      <t>,</t>
    </r>
    <r>
      <rPr>
        <sz val="10"/>
        <color theme="1"/>
        <rFont val="Courier New"/>
        <family val="3"/>
      </rPr>
      <t xml:space="preserve"> TB</t>
    </r>
    <r>
      <rPr>
        <sz val="10"/>
        <color rgb="FF808080"/>
        <rFont val="Courier New"/>
        <family val="3"/>
      </rPr>
      <t>.</t>
    </r>
    <r>
      <rPr>
        <sz val="10"/>
        <color theme="1"/>
        <rFont val="Courier New"/>
        <family val="3"/>
      </rPr>
      <t>Iteration</t>
    </r>
  </si>
  <si>
    <r>
      <t>FROM</t>
    </r>
    <r>
      <rPr>
        <sz val="10"/>
        <color theme="1"/>
        <rFont val="Courier New"/>
        <family val="3"/>
      </rPr>
      <t xml:space="preserve"> #TableA TA</t>
    </r>
  </si>
  <si>
    <r>
      <t>INNER</t>
    </r>
    <r>
      <rPr>
        <sz val="10"/>
        <color theme="1"/>
        <rFont val="Courier New"/>
        <family val="3"/>
      </rPr>
      <t xml:space="preserve"> </t>
    </r>
    <r>
      <rPr>
        <sz val="10"/>
        <color rgb="FF808080"/>
        <rFont val="Courier New"/>
        <family val="3"/>
      </rPr>
      <t>JOIN</t>
    </r>
    <r>
      <rPr>
        <sz val="10"/>
        <color theme="1"/>
        <rFont val="Courier New"/>
        <family val="3"/>
      </rPr>
      <t xml:space="preserve"> #TableB TB</t>
    </r>
  </si>
  <si>
    <r>
      <t>ON</t>
    </r>
    <r>
      <rPr>
        <sz val="10"/>
        <color theme="1"/>
        <rFont val="Courier New"/>
        <family val="3"/>
      </rPr>
      <t xml:space="preserve"> TA</t>
    </r>
    <r>
      <rPr>
        <sz val="10"/>
        <color rgb="FF808080"/>
        <rFont val="Courier New"/>
        <family val="3"/>
      </rPr>
      <t>.</t>
    </r>
    <r>
      <rPr>
        <sz val="10"/>
        <color theme="1"/>
        <rFont val="Courier New"/>
        <family val="3"/>
      </rPr>
      <t xml:space="preserve">RowNumber </t>
    </r>
    <r>
      <rPr>
        <sz val="10"/>
        <color rgb="FF808080"/>
        <rFont val="Courier New"/>
        <family val="3"/>
      </rPr>
      <t>=</t>
    </r>
    <r>
      <rPr>
        <sz val="10"/>
        <color theme="1"/>
        <rFont val="Courier New"/>
        <family val="3"/>
      </rPr>
      <t xml:space="preserve"> TB</t>
    </r>
    <r>
      <rPr>
        <sz val="10"/>
        <color rgb="FF808080"/>
        <rFont val="Courier New"/>
        <family val="3"/>
      </rPr>
      <t>.</t>
    </r>
    <r>
      <rPr>
        <sz val="10"/>
        <color theme="1"/>
        <rFont val="Courier New"/>
        <family val="3"/>
      </rPr>
      <t>RowNumber</t>
    </r>
  </si>
  <si>
    <r>
      <t>INNER</t>
    </r>
    <r>
      <rPr>
        <sz val="10"/>
        <color theme="1"/>
        <rFont val="Courier New"/>
        <family val="3"/>
      </rPr>
      <t xml:space="preserve"> </t>
    </r>
    <r>
      <rPr>
        <sz val="10"/>
        <color rgb="FF808080"/>
        <rFont val="Courier New"/>
        <family val="3"/>
      </rPr>
      <t>JOIN</t>
    </r>
    <r>
      <rPr>
        <sz val="10"/>
        <color theme="1"/>
        <rFont val="Courier New"/>
        <family val="3"/>
      </rPr>
      <t xml:space="preserve"> #TA_Count TAC</t>
    </r>
  </si>
  <si>
    <r>
      <t>ON</t>
    </r>
    <r>
      <rPr>
        <sz val="10"/>
        <color theme="1"/>
        <rFont val="Courier New"/>
        <family val="3"/>
      </rPr>
      <t xml:space="preserve"> TA</t>
    </r>
    <r>
      <rPr>
        <sz val="10"/>
        <color rgb="FF808080"/>
        <rFont val="Courier New"/>
        <family val="3"/>
      </rPr>
      <t>.</t>
    </r>
    <r>
      <rPr>
        <sz val="10"/>
        <color theme="1"/>
        <rFont val="Courier New"/>
        <family val="3"/>
      </rPr>
      <t xml:space="preserve">RowNumber </t>
    </r>
    <r>
      <rPr>
        <sz val="10"/>
        <color rgb="FF808080"/>
        <rFont val="Courier New"/>
        <family val="3"/>
      </rPr>
      <t>=</t>
    </r>
    <r>
      <rPr>
        <sz val="10"/>
        <color theme="1"/>
        <rFont val="Courier New"/>
        <family val="3"/>
      </rPr>
      <t xml:space="preserve"> TAC</t>
    </r>
    <r>
      <rPr>
        <sz val="10"/>
        <color rgb="FF808080"/>
        <rFont val="Courier New"/>
        <family val="3"/>
      </rPr>
      <t>.</t>
    </r>
    <r>
      <rPr>
        <sz val="10"/>
        <color theme="1"/>
        <rFont val="Courier New"/>
        <family val="3"/>
      </rPr>
      <t>RowNumber</t>
    </r>
  </si>
  <si>
    <r>
      <t>INNER</t>
    </r>
    <r>
      <rPr>
        <sz val="10"/>
        <color theme="1"/>
        <rFont val="Courier New"/>
        <family val="3"/>
      </rPr>
      <t xml:space="preserve"> </t>
    </r>
    <r>
      <rPr>
        <sz val="10"/>
        <color rgb="FF808080"/>
        <rFont val="Courier New"/>
        <family val="3"/>
      </rPr>
      <t>JOIN</t>
    </r>
    <r>
      <rPr>
        <sz val="10"/>
        <color theme="1"/>
        <rFont val="Courier New"/>
        <family val="3"/>
      </rPr>
      <t xml:space="preserve"> #TB_Count TBC</t>
    </r>
  </si>
  <si>
    <r>
      <t>ON</t>
    </r>
    <r>
      <rPr>
        <sz val="10"/>
        <color theme="1"/>
        <rFont val="Courier New"/>
        <family val="3"/>
      </rPr>
      <t xml:space="preserve"> TB</t>
    </r>
    <r>
      <rPr>
        <sz val="10"/>
        <color rgb="FF808080"/>
        <rFont val="Courier New"/>
        <family val="3"/>
      </rPr>
      <t>.</t>
    </r>
    <r>
      <rPr>
        <sz val="10"/>
        <color theme="1"/>
        <rFont val="Courier New"/>
        <family val="3"/>
      </rPr>
      <t xml:space="preserve">RowNumber </t>
    </r>
    <r>
      <rPr>
        <sz val="10"/>
        <color rgb="FF808080"/>
        <rFont val="Courier New"/>
        <family val="3"/>
      </rPr>
      <t>=</t>
    </r>
    <r>
      <rPr>
        <sz val="10"/>
        <color theme="1"/>
        <rFont val="Courier New"/>
        <family val="3"/>
      </rPr>
      <t xml:space="preserve"> TBC</t>
    </r>
    <r>
      <rPr>
        <sz val="10"/>
        <color rgb="FF808080"/>
        <rFont val="Courier New"/>
        <family val="3"/>
      </rPr>
      <t>.</t>
    </r>
    <r>
      <rPr>
        <sz val="10"/>
        <color theme="1"/>
        <rFont val="Courier New"/>
        <family val="3"/>
      </rPr>
      <t>RowNumber</t>
    </r>
  </si>
  <si>
    <t>--(22276 row(s) affected)</t>
  </si>
  <si>
    <t>/* STEP 2.3*/</t>
  </si>
  <si>
    <r>
      <t>SELECT</t>
    </r>
    <r>
      <rPr>
        <sz val="10"/>
        <color theme="1"/>
        <rFont val="Courier New"/>
        <family val="3"/>
      </rPr>
      <t xml:space="preserve"> TA</t>
    </r>
    <r>
      <rPr>
        <sz val="10"/>
        <color rgb="FF808080"/>
        <rFont val="Courier New"/>
        <family val="3"/>
      </rPr>
      <t>.</t>
    </r>
    <r>
      <rPr>
        <sz val="10"/>
        <color theme="1"/>
        <rFont val="Courier New"/>
        <family val="3"/>
      </rPr>
      <t>RowNumber TA_RowNo</t>
    </r>
    <r>
      <rPr>
        <sz val="10"/>
        <color rgb="FF808080"/>
        <rFont val="Courier New"/>
        <family val="3"/>
      </rPr>
      <t>,</t>
    </r>
    <r>
      <rPr>
        <sz val="10"/>
        <color theme="1"/>
        <rFont val="Courier New"/>
        <family val="3"/>
      </rPr>
      <t xml:space="preserve"> TA</t>
    </r>
    <r>
      <rPr>
        <sz val="10"/>
        <color rgb="FF808080"/>
        <rFont val="Courier New"/>
        <family val="3"/>
      </rPr>
      <t>.</t>
    </r>
    <r>
      <rPr>
        <sz val="10"/>
        <color theme="1"/>
        <rFont val="Courier New"/>
        <family val="3"/>
      </rPr>
      <t>RC1314_HRG</t>
    </r>
    <r>
      <rPr>
        <sz val="10"/>
        <color rgb="FF808080"/>
        <rFont val="Courier New"/>
        <family val="3"/>
      </rPr>
      <t>,</t>
    </r>
    <r>
      <rPr>
        <sz val="10"/>
        <color theme="1"/>
        <rFont val="Courier New"/>
        <family val="3"/>
      </rPr>
      <t xml:space="preserve"> TB</t>
    </r>
    <r>
      <rPr>
        <sz val="10"/>
        <color rgb="FF808080"/>
        <rFont val="Courier New"/>
        <family val="3"/>
      </rPr>
      <t>.</t>
    </r>
    <r>
      <rPr>
        <sz val="10"/>
        <color theme="1"/>
        <rFont val="Courier New"/>
        <family val="3"/>
      </rPr>
      <t>RowNumber TB_RowNo</t>
    </r>
    <r>
      <rPr>
        <sz val="10"/>
        <color rgb="FF808080"/>
        <rFont val="Courier New"/>
        <family val="3"/>
      </rPr>
      <t>,</t>
    </r>
    <r>
      <rPr>
        <sz val="10"/>
        <color theme="1"/>
        <rFont val="Courier New"/>
        <family val="3"/>
      </rPr>
      <t xml:space="preserve"> TB</t>
    </r>
    <r>
      <rPr>
        <sz val="10"/>
        <color rgb="FF808080"/>
        <rFont val="Courier New"/>
        <family val="3"/>
      </rPr>
      <t>.</t>
    </r>
    <r>
      <rPr>
        <sz val="10"/>
        <color theme="1"/>
        <rFont val="Courier New"/>
        <family val="3"/>
      </rPr>
      <t>LP1516_HRG</t>
    </r>
    <r>
      <rPr>
        <sz val="10"/>
        <color rgb="FF808080"/>
        <rFont val="Courier New"/>
        <family val="3"/>
      </rPr>
      <t>,</t>
    </r>
    <r>
      <rPr>
        <sz val="10"/>
        <color theme="1"/>
        <rFont val="Courier New"/>
        <family val="3"/>
      </rPr>
      <t xml:space="preserve"> TA</t>
    </r>
    <r>
      <rPr>
        <sz val="10"/>
        <color rgb="FF808080"/>
        <rFont val="Courier New"/>
        <family val="3"/>
      </rPr>
      <t>.</t>
    </r>
    <r>
      <rPr>
        <sz val="10"/>
        <color theme="1"/>
        <rFont val="Courier New"/>
        <family val="3"/>
      </rPr>
      <t xml:space="preserve">Iteration TA_ItrNo </t>
    </r>
    <r>
      <rPr>
        <sz val="10"/>
        <color rgb="FF808080"/>
        <rFont val="Courier New"/>
        <family val="3"/>
      </rPr>
      <t>,</t>
    </r>
    <r>
      <rPr>
        <sz val="10"/>
        <color theme="1"/>
        <rFont val="Courier New"/>
        <family val="3"/>
      </rPr>
      <t xml:space="preserve"> TB</t>
    </r>
    <r>
      <rPr>
        <sz val="10"/>
        <color rgb="FF808080"/>
        <rFont val="Courier New"/>
        <family val="3"/>
      </rPr>
      <t>.</t>
    </r>
    <r>
      <rPr>
        <sz val="10"/>
        <color theme="1"/>
        <rFont val="Courier New"/>
        <family val="3"/>
      </rPr>
      <t>Iteration TB_ItrNo</t>
    </r>
  </si>
  <si>
    <r>
      <t>INTO</t>
    </r>
    <r>
      <rPr>
        <sz val="10"/>
        <color theme="1"/>
        <rFont val="Courier New"/>
        <family val="3"/>
      </rPr>
      <t xml:space="preserve"> #TableCountEqualsOne</t>
    </r>
  </si>
  <si>
    <r>
      <t>INNER</t>
    </r>
    <r>
      <rPr>
        <sz val="10"/>
        <color theme="1"/>
        <rFont val="Courier New"/>
        <family val="3"/>
      </rPr>
      <t xml:space="preserve"> </t>
    </r>
    <r>
      <rPr>
        <sz val="10"/>
        <color rgb="FF808080"/>
        <rFont val="Courier New"/>
        <family val="3"/>
      </rPr>
      <t>JOIN</t>
    </r>
    <r>
      <rPr>
        <sz val="10"/>
        <color theme="1"/>
        <rFont val="Courier New"/>
        <family val="3"/>
      </rPr>
      <t xml:space="preserve"> #TableCountEqualsOne TC</t>
    </r>
  </si>
  <si>
    <r>
      <t>ON</t>
    </r>
    <r>
      <rPr>
        <sz val="10"/>
        <color theme="1"/>
        <rFont val="Courier New"/>
        <family val="3"/>
      </rPr>
      <t xml:space="preserve"> TA</t>
    </r>
    <r>
      <rPr>
        <sz val="10"/>
        <color rgb="FF808080"/>
        <rFont val="Courier New"/>
        <family val="3"/>
      </rPr>
      <t>.</t>
    </r>
    <r>
      <rPr>
        <sz val="10"/>
        <color theme="1"/>
        <rFont val="Courier New"/>
        <family val="3"/>
      </rPr>
      <t xml:space="preserve">RowNumber </t>
    </r>
    <r>
      <rPr>
        <sz val="10"/>
        <color rgb="FF808080"/>
        <rFont val="Courier New"/>
        <family val="3"/>
      </rPr>
      <t>=</t>
    </r>
    <r>
      <rPr>
        <sz val="10"/>
        <color theme="1"/>
        <rFont val="Courier New"/>
        <family val="3"/>
      </rPr>
      <t xml:space="preserve"> TC</t>
    </r>
    <r>
      <rPr>
        <sz val="10"/>
        <color rgb="FF808080"/>
        <rFont val="Courier New"/>
        <family val="3"/>
      </rPr>
      <t>.</t>
    </r>
    <r>
      <rPr>
        <sz val="10"/>
        <color theme="1"/>
        <rFont val="Courier New"/>
        <family val="3"/>
      </rPr>
      <t>TA_RowNo</t>
    </r>
  </si>
  <si>
    <r>
      <t>AND</t>
    </r>
    <r>
      <rPr>
        <sz val="10"/>
        <color theme="1"/>
        <rFont val="Courier New"/>
        <family val="3"/>
      </rPr>
      <t xml:space="preserve"> TA</t>
    </r>
    <r>
      <rPr>
        <sz val="10"/>
        <color rgb="FF808080"/>
        <rFont val="Courier New"/>
        <family val="3"/>
      </rPr>
      <t>.</t>
    </r>
    <r>
      <rPr>
        <sz val="10"/>
        <color theme="1"/>
        <rFont val="Courier New"/>
        <family val="3"/>
      </rPr>
      <t xml:space="preserve">RC1314_HRG </t>
    </r>
    <r>
      <rPr>
        <sz val="10"/>
        <color rgb="FF808080"/>
        <rFont val="Courier New"/>
        <family val="3"/>
      </rPr>
      <t>=</t>
    </r>
    <r>
      <rPr>
        <sz val="10"/>
        <color theme="1"/>
        <rFont val="Courier New"/>
        <family val="3"/>
      </rPr>
      <t xml:space="preserve"> TC</t>
    </r>
    <r>
      <rPr>
        <sz val="10"/>
        <color rgb="FF808080"/>
        <rFont val="Courier New"/>
        <family val="3"/>
      </rPr>
      <t>.</t>
    </r>
    <r>
      <rPr>
        <sz val="10"/>
        <color theme="1"/>
        <rFont val="Courier New"/>
        <family val="3"/>
      </rPr>
      <t>RC1314_HRG</t>
    </r>
  </si>
  <si>
    <r>
      <t>AND</t>
    </r>
    <r>
      <rPr>
        <sz val="10"/>
        <color theme="1"/>
        <rFont val="Courier New"/>
        <family val="3"/>
      </rPr>
      <t xml:space="preserve"> TA</t>
    </r>
    <r>
      <rPr>
        <sz val="10"/>
        <color rgb="FF808080"/>
        <rFont val="Courier New"/>
        <family val="3"/>
      </rPr>
      <t>.</t>
    </r>
    <r>
      <rPr>
        <sz val="10"/>
        <color theme="1"/>
        <rFont val="Courier New"/>
        <family val="3"/>
      </rPr>
      <t xml:space="preserve">Iteration </t>
    </r>
    <r>
      <rPr>
        <sz val="10"/>
        <color rgb="FF808080"/>
        <rFont val="Courier New"/>
        <family val="3"/>
      </rPr>
      <t>=</t>
    </r>
    <r>
      <rPr>
        <sz val="10"/>
        <color theme="1"/>
        <rFont val="Courier New"/>
        <family val="3"/>
      </rPr>
      <t xml:space="preserve"> TC</t>
    </r>
    <r>
      <rPr>
        <sz val="10"/>
        <color rgb="FF808080"/>
        <rFont val="Courier New"/>
        <family val="3"/>
      </rPr>
      <t>.</t>
    </r>
    <r>
      <rPr>
        <sz val="10"/>
        <color theme="1"/>
        <rFont val="Courier New"/>
        <family val="3"/>
      </rPr>
      <t>TA_ItrNo</t>
    </r>
  </si>
  <si>
    <r>
      <t>FROM</t>
    </r>
    <r>
      <rPr>
        <sz val="10"/>
        <color theme="1"/>
        <rFont val="Courier New"/>
        <family val="3"/>
      </rPr>
      <t xml:space="preserve"> #TableB TB</t>
    </r>
  </si>
  <si>
    <r>
      <t>ON</t>
    </r>
    <r>
      <rPr>
        <sz val="10"/>
        <color theme="1"/>
        <rFont val="Courier New"/>
        <family val="3"/>
      </rPr>
      <t xml:space="preserve"> TB</t>
    </r>
    <r>
      <rPr>
        <sz val="10"/>
        <color rgb="FF808080"/>
        <rFont val="Courier New"/>
        <family val="3"/>
      </rPr>
      <t>.</t>
    </r>
    <r>
      <rPr>
        <sz val="10"/>
        <color theme="1"/>
        <rFont val="Courier New"/>
        <family val="3"/>
      </rPr>
      <t xml:space="preserve">RowNumber </t>
    </r>
    <r>
      <rPr>
        <sz val="10"/>
        <color rgb="FF808080"/>
        <rFont val="Courier New"/>
        <family val="3"/>
      </rPr>
      <t>=</t>
    </r>
    <r>
      <rPr>
        <sz val="10"/>
        <color theme="1"/>
        <rFont val="Courier New"/>
        <family val="3"/>
      </rPr>
      <t xml:space="preserve"> TC</t>
    </r>
    <r>
      <rPr>
        <sz val="10"/>
        <color rgb="FF808080"/>
        <rFont val="Courier New"/>
        <family val="3"/>
      </rPr>
      <t>.</t>
    </r>
    <r>
      <rPr>
        <sz val="10"/>
        <color theme="1"/>
        <rFont val="Courier New"/>
        <family val="3"/>
      </rPr>
      <t>TA_RowNo</t>
    </r>
  </si>
  <si>
    <r>
      <t>AND</t>
    </r>
    <r>
      <rPr>
        <sz val="10"/>
        <color theme="1"/>
        <rFont val="Courier New"/>
        <family val="3"/>
      </rPr>
      <t xml:space="preserve"> TB</t>
    </r>
    <r>
      <rPr>
        <sz val="10"/>
        <color rgb="FF808080"/>
        <rFont val="Courier New"/>
        <family val="3"/>
      </rPr>
      <t>.</t>
    </r>
    <r>
      <rPr>
        <sz val="10"/>
        <color theme="1"/>
        <rFont val="Courier New"/>
        <family val="3"/>
      </rPr>
      <t xml:space="preserve">LP1516_HRG </t>
    </r>
    <r>
      <rPr>
        <sz val="10"/>
        <color rgb="FF808080"/>
        <rFont val="Courier New"/>
        <family val="3"/>
      </rPr>
      <t>=</t>
    </r>
    <r>
      <rPr>
        <sz val="10"/>
        <color theme="1"/>
        <rFont val="Courier New"/>
        <family val="3"/>
      </rPr>
      <t xml:space="preserve"> TC</t>
    </r>
    <r>
      <rPr>
        <sz val="10"/>
        <color rgb="FF808080"/>
        <rFont val="Courier New"/>
        <family val="3"/>
      </rPr>
      <t>.</t>
    </r>
    <r>
      <rPr>
        <sz val="10"/>
        <color theme="1"/>
        <rFont val="Courier New"/>
        <family val="3"/>
      </rPr>
      <t>LP1516_HRG</t>
    </r>
  </si>
  <si>
    <r>
      <t>AND</t>
    </r>
    <r>
      <rPr>
        <sz val="10"/>
        <color theme="1"/>
        <rFont val="Courier New"/>
        <family val="3"/>
      </rPr>
      <t xml:space="preserve"> TB</t>
    </r>
    <r>
      <rPr>
        <sz val="10"/>
        <color rgb="FF808080"/>
        <rFont val="Courier New"/>
        <family val="3"/>
      </rPr>
      <t>.</t>
    </r>
    <r>
      <rPr>
        <sz val="10"/>
        <color theme="1"/>
        <rFont val="Courier New"/>
        <family val="3"/>
      </rPr>
      <t xml:space="preserve">Iteration </t>
    </r>
    <r>
      <rPr>
        <sz val="10"/>
        <color rgb="FF808080"/>
        <rFont val="Courier New"/>
        <family val="3"/>
      </rPr>
      <t>=</t>
    </r>
    <r>
      <rPr>
        <sz val="10"/>
        <color theme="1"/>
        <rFont val="Courier New"/>
        <family val="3"/>
      </rPr>
      <t xml:space="preserve"> TC</t>
    </r>
    <r>
      <rPr>
        <sz val="10"/>
        <color rgb="FF808080"/>
        <rFont val="Courier New"/>
        <family val="3"/>
      </rPr>
      <t>.</t>
    </r>
    <r>
      <rPr>
        <sz val="10"/>
        <color theme="1"/>
        <rFont val="Courier New"/>
        <family val="3"/>
      </rPr>
      <t>TB_ItrNo</t>
    </r>
  </si>
  <si>
    <r>
      <t>DECLARE</t>
    </r>
    <r>
      <rPr>
        <sz val="10"/>
        <color theme="1"/>
        <rFont val="Courier New"/>
        <family val="3"/>
      </rPr>
      <t xml:space="preserve"> @RowNo </t>
    </r>
    <r>
      <rPr>
        <sz val="10"/>
        <color rgb="FF0000FF"/>
        <rFont val="Courier New"/>
        <family val="3"/>
      </rPr>
      <t>INT</t>
    </r>
  </si>
  <si>
    <r>
      <t>DECLARE</t>
    </r>
    <r>
      <rPr>
        <sz val="10"/>
        <color theme="1"/>
        <rFont val="Courier New"/>
        <family val="3"/>
      </rPr>
      <t xml:space="preserve"> @LP_HRG </t>
    </r>
    <r>
      <rPr>
        <sz val="10"/>
        <color rgb="FF0000FF"/>
        <rFont val="Courier New"/>
        <family val="3"/>
      </rPr>
      <t>VARCHAR</t>
    </r>
    <r>
      <rPr>
        <sz val="10"/>
        <color rgb="FF808080"/>
        <rFont val="Courier New"/>
        <family val="3"/>
      </rPr>
      <t>(</t>
    </r>
    <r>
      <rPr>
        <sz val="10"/>
        <color theme="1"/>
        <rFont val="Courier New"/>
        <family val="3"/>
      </rPr>
      <t>10</t>
    </r>
    <r>
      <rPr>
        <sz val="10"/>
        <color rgb="FF808080"/>
        <rFont val="Courier New"/>
        <family val="3"/>
      </rPr>
      <t>)</t>
    </r>
  </si>
  <si>
    <r>
      <t>DECLARE</t>
    </r>
    <r>
      <rPr>
        <sz val="10"/>
        <color theme="1"/>
        <rFont val="Courier New"/>
        <family val="3"/>
      </rPr>
      <t xml:space="preserve"> @ItrNo </t>
    </r>
    <r>
      <rPr>
        <sz val="10"/>
        <color rgb="FF0000FF"/>
        <rFont val="Courier New"/>
        <family val="3"/>
      </rPr>
      <t>INT</t>
    </r>
  </si>
  <si>
    <r>
      <t>DECLARE</t>
    </r>
    <r>
      <rPr>
        <sz val="10"/>
        <color theme="1"/>
        <rFont val="Courier New"/>
        <family val="3"/>
      </rPr>
      <t xml:space="preserve"> @RC_HRG </t>
    </r>
    <r>
      <rPr>
        <sz val="10"/>
        <color rgb="FF0000FF"/>
        <rFont val="Courier New"/>
        <family val="3"/>
      </rPr>
      <t>VARCHAR</t>
    </r>
    <r>
      <rPr>
        <sz val="10"/>
        <color rgb="FF808080"/>
        <rFont val="Courier New"/>
        <family val="3"/>
      </rPr>
      <t>(</t>
    </r>
    <r>
      <rPr>
        <sz val="10"/>
        <color theme="1"/>
        <rFont val="Courier New"/>
        <family val="3"/>
      </rPr>
      <t>10</t>
    </r>
    <r>
      <rPr>
        <sz val="10"/>
        <color rgb="FF808080"/>
        <rFont val="Courier New"/>
        <family val="3"/>
      </rPr>
      <t>)</t>
    </r>
  </si>
  <si>
    <r>
      <t>DECLARE</t>
    </r>
    <r>
      <rPr>
        <sz val="10"/>
        <color theme="1"/>
        <rFont val="Courier New"/>
        <family val="3"/>
      </rPr>
      <t xml:space="preserve"> @RC_ItrNo </t>
    </r>
    <r>
      <rPr>
        <sz val="10"/>
        <color rgb="FF0000FF"/>
        <rFont val="Courier New"/>
        <family val="3"/>
      </rPr>
      <t>INT</t>
    </r>
  </si>
  <si>
    <r>
      <t>DECLARE</t>
    </r>
    <r>
      <rPr>
        <sz val="10"/>
        <color theme="1"/>
        <rFont val="Courier New"/>
        <family val="3"/>
      </rPr>
      <t xml:space="preserve"> @Cur_TabB </t>
    </r>
    <r>
      <rPr>
        <sz val="10"/>
        <color rgb="FF0000FF"/>
        <rFont val="Courier New"/>
        <family val="3"/>
      </rPr>
      <t>CURSOR</t>
    </r>
    <r>
      <rPr>
        <sz val="10"/>
        <color theme="1"/>
        <rFont val="Courier New"/>
        <family val="3"/>
      </rPr>
      <t xml:space="preserve"> </t>
    </r>
  </si>
  <si>
    <r>
      <t>SET</t>
    </r>
    <r>
      <rPr>
        <sz val="10"/>
        <color theme="1"/>
        <rFont val="Courier New"/>
        <family val="3"/>
      </rPr>
      <t xml:space="preserve"> @Cur_TabB </t>
    </r>
    <r>
      <rPr>
        <sz val="10"/>
        <color rgb="FF808080"/>
        <rFont val="Courier New"/>
        <family val="3"/>
      </rPr>
      <t>=</t>
    </r>
    <r>
      <rPr>
        <sz val="10"/>
        <color theme="1"/>
        <rFont val="Courier New"/>
        <family val="3"/>
      </rPr>
      <t xml:space="preserve">  </t>
    </r>
    <r>
      <rPr>
        <sz val="10"/>
        <color rgb="FF0000FF"/>
        <rFont val="Courier New"/>
        <family val="3"/>
      </rPr>
      <t>CURSOR</t>
    </r>
    <r>
      <rPr>
        <sz val="10"/>
        <color theme="1"/>
        <rFont val="Courier New"/>
        <family val="3"/>
      </rPr>
      <t xml:space="preserve"> </t>
    </r>
    <r>
      <rPr>
        <sz val="10"/>
        <color rgb="FF0000FF"/>
        <rFont val="Courier New"/>
        <family val="3"/>
      </rPr>
      <t>FOR</t>
    </r>
  </si>
  <si>
    <r>
      <t>SELECT</t>
    </r>
    <r>
      <rPr>
        <sz val="10"/>
        <color theme="1"/>
        <rFont val="Courier New"/>
        <family val="3"/>
      </rPr>
      <t xml:space="preserve"> RowNumber</t>
    </r>
    <r>
      <rPr>
        <sz val="10"/>
        <color rgb="FF808080"/>
        <rFont val="Courier New"/>
        <family val="3"/>
      </rPr>
      <t>,</t>
    </r>
    <r>
      <rPr>
        <sz val="10"/>
        <color theme="1"/>
        <rFont val="Courier New"/>
        <family val="3"/>
      </rPr>
      <t xml:space="preserve"> LP1516_HRG</t>
    </r>
    <r>
      <rPr>
        <sz val="10"/>
        <color rgb="FF808080"/>
        <rFont val="Courier New"/>
        <family val="3"/>
      </rPr>
      <t>,</t>
    </r>
    <r>
      <rPr>
        <sz val="10"/>
        <color theme="1"/>
        <rFont val="Courier New"/>
        <family val="3"/>
      </rPr>
      <t xml:space="preserve"> Iteration </t>
    </r>
  </si>
  <si>
    <r>
      <t>OPEN</t>
    </r>
    <r>
      <rPr>
        <sz val="10"/>
        <color theme="1"/>
        <rFont val="Courier New"/>
        <family val="3"/>
      </rPr>
      <t xml:space="preserve"> @Cur_TabB</t>
    </r>
  </si>
  <si>
    <r>
      <t>FETCH</t>
    </r>
    <r>
      <rPr>
        <sz val="10"/>
        <color theme="1"/>
        <rFont val="Courier New"/>
        <family val="3"/>
      </rPr>
      <t xml:space="preserve"> </t>
    </r>
    <r>
      <rPr>
        <sz val="10"/>
        <color rgb="FF0000FF"/>
        <rFont val="Courier New"/>
        <family val="3"/>
      </rPr>
      <t>NEXT</t>
    </r>
  </si>
  <si>
    <r>
      <t>FROM</t>
    </r>
    <r>
      <rPr>
        <sz val="10"/>
        <color theme="1"/>
        <rFont val="Courier New"/>
        <family val="3"/>
      </rPr>
      <t xml:space="preserve"> @Cur_TabB </t>
    </r>
    <r>
      <rPr>
        <sz val="10"/>
        <color rgb="FF0000FF"/>
        <rFont val="Courier New"/>
        <family val="3"/>
      </rPr>
      <t>INTO</t>
    </r>
    <r>
      <rPr>
        <sz val="10"/>
        <color theme="1"/>
        <rFont val="Courier New"/>
        <family val="3"/>
      </rPr>
      <t xml:space="preserve"> @RowNo</t>
    </r>
    <r>
      <rPr>
        <sz val="10"/>
        <color rgb="FF808080"/>
        <rFont val="Courier New"/>
        <family val="3"/>
      </rPr>
      <t>,</t>
    </r>
    <r>
      <rPr>
        <sz val="10"/>
        <color theme="1"/>
        <rFont val="Courier New"/>
        <family val="3"/>
      </rPr>
      <t xml:space="preserve"> @LP_HRG</t>
    </r>
    <r>
      <rPr>
        <sz val="10"/>
        <color rgb="FF808080"/>
        <rFont val="Courier New"/>
        <family val="3"/>
      </rPr>
      <t>,</t>
    </r>
    <r>
      <rPr>
        <sz val="10"/>
        <color theme="1"/>
        <rFont val="Courier New"/>
        <family val="3"/>
      </rPr>
      <t xml:space="preserve"> @ItrNo</t>
    </r>
  </si>
  <si>
    <r>
      <t>WHILE</t>
    </r>
    <r>
      <rPr>
        <sz val="10"/>
        <color theme="1"/>
        <rFont val="Courier New"/>
        <family val="3"/>
      </rPr>
      <t xml:space="preserve"> </t>
    </r>
    <r>
      <rPr>
        <sz val="10"/>
        <color rgb="FFFF00FF"/>
        <rFont val="Courier New"/>
        <family val="3"/>
      </rPr>
      <t>@@FETCH_STATUS</t>
    </r>
    <r>
      <rPr>
        <sz val="10"/>
        <color theme="1"/>
        <rFont val="Courier New"/>
        <family val="3"/>
      </rPr>
      <t xml:space="preserve"> </t>
    </r>
    <r>
      <rPr>
        <sz val="10"/>
        <color rgb="FF808080"/>
        <rFont val="Courier New"/>
        <family val="3"/>
      </rPr>
      <t>=</t>
    </r>
    <r>
      <rPr>
        <sz val="10"/>
        <color theme="1"/>
        <rFont val="Courier New"/>
        <family val="3"/>
      </rPr>
      <t xml:space="preserve"> 0</t>
    </r>
  </si>
  <si>
    <t>BEGIN</t>
  </si>
  <si>
    <r>
      <t>IF</t>
    </r>
    <r>
      <rPr>
        <sz val="10"/>
        <color theme="1"/>
        <rFont val="Courier New"/>
        <family val="3"/>
      </rPr>
      <t xml:space="preserve"> </t>
    </r>
    <r>
      <rPr>
        <sz val="10"/>
        <color rgb="FF808080"/>
        <rFont val="Courier New"/>
        <family val="3"/>
      </rPr>
      <t>EXISTS(</t>
    </r>
    <r>
      <rPr>
        <sz val="10"/>
        <color rgb="FF0000FF"/>
        <rFont val="Courier New"/>
        <family val="3"/>
      </rPr>
      <t>SELECT</t>
    </r>
    <r>
      <rPr>
        <sz val="10"/>
        <color theme="1"/>
        <rFont val="Courier New"/>
        <family val="3"/>
      </rPr>
      <t xml:space="preserve"> </t>
    </r>
    <r>
      <rPr>
        <sz val="10"/>
        <color rgb="FF808080"/>
        <rFont val="Courier New"/>
        <family val="3"/>
      </rPr>
      <t>*</t>
    </r>
    <r>
      <rPr>
        <sz val="10"/>
        <color theme="1"/>
        <rFont val="Courier New"/>
        <family val="3"/>
      </rPr>
      <t xml:space="preserve"> </t>
    </r>
    <r>
      <rPr>
        <sz val="10"/>
        <color rgb="FF0000FF"/>
        <rFont val="Courier New"/>
        <family val="3"/>
      </rPr>
      <t>FROM</t>
    </r>
    <r>
      <rPr>
        <sz val="10"/>
        <color theme="1"/>
        <rFont val="Courier New"/>
        <family val="3"/>
      </rPr>
      <t xml:space="preserve"> #TableA </t>
    </r>
    <r>
      <rPr>
        <sz val="10"/>
        <color rgb="FF0000FF"/>
        <rFont val="Courier New"/>
        <family val="3"/>
      </rPr>
      <t>WHERE</t>
    </r>
    <r>
      <rPr>
        <sz val="10"/>
        <color theme="1"/>
        <rFont val="Courier New"/>
        <family val="3"/>
      </rPr>
      <t xml:space="preserve"> RowNumber </t>
    </r>
    <r>
      <rPr>
        <sz val="10"/>
        <color rgb="FF808080"/>
        <rFont val="Courier New"/>
        <family val="3"/>
      </rPr>
      <t>=</t>
    </r>
    <r>
      <rPr>
        <sz val="10"/>
        <color theme="1"/>
        <rFont val="Courier New"/>
        <family val="3"/>
      </rPr>
      <t xml:space="preserve"> @RowNo </t>
    </r>
    <r>
      <rPr>
        <sz val="10"/>
        <color rgb="FF808080"/>
        <rFont val="Courier New"/>
        <family val="3"/>
      </rPr>
      <t>AND</t>
    </r>
    <r>
      <rPr>
        <sz val="10"/>
        <color theme="1"/>
        <rFont val="Courier New"/>
        <family val="3"/>
      </rPr>
      <t xml:space="preserve"> RC1314_HRG </t>
    </r>
    <r>
      <rPr>
        <sz val="10"/>
        <color rgb="FF808080"/>
        <rFont val="Courier New"/>
        <family val="3"/>
      </rPr>
      <t>=</t>
    </r>
    <r>
      <rPr>
        <sz val="10"/>
        <color theme="1"/>
        <rFont val="Courier New"/>
        <family val="3"/>
      </rPr>
      <t xml:space="preserve"> @LP_HRG</t>
    </r>
    <r>
      <rPr>
        <sz val="10"/>
        <color rgb="FF808080"/>
        <rFont val="Courier New"/>
        <family val="3"/>
      </rPr>
      <t>)</t>
    </r>
  </si>
  <si>
    <r>
      <t>PRINT</t>
    </r>
    <r>
      <rPr>
        <sz val="10"/>
        <color theme="1"/>
        <rFont val="Courier New"/>
        <family val="3"/>
      </rPr>
      <t xml:space="preserve"> </t>
    </r>
    <r>
      <rPr>
        <sz val="10"/>
        <color rgb="FFFF0000"/>
        <rFont val="Courier New"/>
        <family val="3"/>
      </rPr>
      <t>'-------------- IF ONE ---------------'</t>
    </r>
    <r>
      <rPr>
        <sz val="10"/>
        <color rgb="FF808080"/>
        <rFont val="Courier New"/>
        <family val="3"/>
      </rPr>
      <t>+</t>
    </r>
    <r>
      <rPr>
        <sz val="10"/>
        <color rgb="FFFF00FF"/>
        <rFont val="Courier New"/>
        <family val="3"/>
      </rPr>
      <t>CONVERT</t>
    </r>
    <r>
      <rPr>
        <sz val="10"/>
        <color rgb="FF808080"/>
        <rFont val="Courier New"/>
        <family val="3"/>
      </rPr>
      <t>(</t>
    </r>
    <r>
      <rPr>
        <sz val="10"/>
        <color rgb="FF0000FF"/>
        <rFont val="Courier New"/>
        <family val="3"/>
      </rPr>
      <t>VARCHAR</t>
    </r>
    <r>
      <rPr>
        <sz val="10"/>
        <color rgb="FF808080"/>
        <rFont val="Courier New"/>
        <family val="3"/>
      </rPr>
      <t>(</t>
    </r>
    <r>
      <rPr>
        <sz val="10"/>
        <color theme="1"/>
        <rFont val="Courier New"/>
        <family val="3"/>
      </rPr>
      <t>15</t>
    </r>
    <r>
      <rPr>
        <sz val="10"/>
        <color rgb="FF808080"/>
        <rFont val="Courier New"/>
        <family val="3"/>
      </rPr>
      <t>),</t>
    </r>
    <r>
      <rPr>
        <sz val="10"/>
        <color theme="1"/>
        <rFont val="Courier New"/>
        <family val="3"/>
      </rPr>
      <t>@RowNo</t>
    </r>
    <r>
      <rPr>
        <sz val="10"/>
        <color rgb="FF808080"/>
        <rFont val="Courier New"/>
        <family val="3"/>
      </rPr>
      <t>)</t>
    </r>
  </si>
  <si>
    <r>
      <t>SELECT</t>
    </r>
    <r>
      <rPr>
        <sz val="10"/>
        <color theme="1"/>
        <rFont val="Courier New"/>
        <family val="3"/>
      </rPr>
      <t xml:space="preserve"> </t>
    </r>
    <r>
      <rPr>
        <sz val="10"/>
        <color rgb="FF0000FF"/>
        <rFont val="Courier New"/>
        <family val="3"/>
      </rPr>
      <t>TOP</t>
    </r>
    <r>
      <rPr>
        <sz val="10"/>
        <color theme="1"/>
        <rFont val="Courier New"/>
        <family val="3"/>
      </rPr>
      <t xml:space="preserve"> 1 @RC_ItrNo </t>
    </r>
    <r>
      <rPr>
        <sz val="10"/>
        <color rgb="FF808080"/>
        <rFont val="Courier New"/>
        <family val="3"/>
      </rPr>
      <t>=</t>
    </r>
    <r>
      <rPr>
        <sz val="10"/>
        <color theme="1"/>
        <rFont val="Courier New"/>
        <family val="3"/>
      </rPr>
      <t xml:space="preserve"> Iteration  </t>
    </r>
    <r>
      <rPr>
        <sz val="10"/>
        <color rgb="FF0000FF"/>
        <rFont val="Courier New"/>
        <family val="3"/>
      </rPr>
      <t>FROM</t>
    </r>
    <r>
      <rPr>
        <sz val="10"/>
        <color theme="1"/>
        <rFont val="Courier New"/>
        <family val="3"/>
      </rPr>
      <t xml:space="preserve"> #TableA </t>
    </r>
    <r>
      <rPr>
        <sz val="10"/>
        <color rgb="FF0000FF"/>
        <rFont val="Courier New"/>
        <family val="3"/>
      </rPr>
      <t>WHERE</t>
    </r>
    <r>
      <rPr>
        <sz val="10"/>
        <color theme="1"/>
        <rFont val="Courier New"/>
        <family val="3"/>
      </rPr>
      <t xml:space="preserve"> RowNumber </t>
    </r>
    <r>
      <rPr>
        <sz val="10"/>
        <color rgb="FF808080"/>
        <rFont val="Courier New"/>
        <family val="3"/>
      </rPr>
      <t>=</t>
    </r>
    <r>
      <rPr>
        <sz val="10"/>
        <color theme="1"/>
        <rFont val="Courier New"/>
        <family val="3"/>
      </rPr>
      <t xml:space="preserve"> @RowNo </t>
    </r>
    <r>
      <rPr>
        <sz val="10"/>
        <color rgb="FF808080"/>
        <rFont val="Courier New"/>
        <family val="3"/>
      </rPr>
      <t>AND</t>
    </r>
    <r>
      <rPr>
        <sz val="10"/>
        <color theme="1"/>
        <rFont val="Courier New"/>
        <family val="3"/>
      </rPr>
      <t xml:space="preserve"> RC1314_HRG </t>
    </r>
    <r>
      <rPr>
        <sz val="10"/>
        <color rgb="FF808080"/>
        <rFont val="Courier New"/>
        <family val="3"/>
      </rPr>
      <t>=</t>
    </r>
    <r>
      <rPr>
        <sz val="10"/>
        <color theme="1"/>
        <rFont val="Courier New"/>
        <family val="3"/>
      </rPr>
      <t xml:space="preserve"> @LP_HRG</t>
    </r>
  </si>
  <si>
    <r>
      <t>SELECT</t>
    </r>
    <r>
      <rPr>
        <sz val="10"/>
        <color theme="1"/>
        <rFont val="Courier New"/>
        <family val="3"/>
      </rPr>
      <t xml:space="preserve"> @RowNo</t>
    </r>
    <r>
      <rPr>
        <sz val="10"/>
        <color rgb="FF808080"/>
        <rFont val="Courier New"/>
        <family val="3"/>
      </rPr>
      <t>,</t>
    </r>
    <r>
      <rPr>
        <sz val="10"/>
        <color theme="1"/>
        <rFont val="Courier New"/>
        <family val="3"/>
      </rPr>
      <t xml:space="preserve"> @LP_HRG</t>
    </r>
    <r>
      <rPr>
        <sz val="10"/>
        <color rgb="FF808080"/>
        <rFont val="Courier New"/>
        <family val="3"/>
      </rPr>
      <t>,</t>
    </r>
    <r>
      <rPr>
        <sz val="10"/>
        <color theme="1"/>
        <rFont val="Courier New"/>
        <family val="3"/>
      </rPr>
      <t xml:space="preserve"> @RowNo</t>
    </r>
    <r>
      <rPr>
        <sz val="10"/>
        <color rgb="FF808080"/>
        <rFont val="Courier New"/>
        <family val="3"/>
      </rPr>
      <t>,</t>
    </r>
    <r>
      <rPr>
        <sz val="10"/>
        <color theme="1"/>
        <rFont val="Courier New"/>
        <family val="3"/>
      </rPr>
      <t xml:space="preserve"> @LP_HRG</t>
    </r>
    <r>
      <rPr>
        <sz val="10"/>
        <color rgb="FF808080"/>
        <rFont val="Courier New"/>
        <family val="3"/>
      </rPr>
      <t>,</t>
    </r>
    <r>
      <rPr>
        <sz val="10"/>
        <color theme="1"/>
        <rFont val="Courier New"/>
        <family val="3"/>
      </rPr>
      <t xml:space="preserve"> @RC_ItrNo</t>
    </r>
    <r>
      <rPr>
        <sz val="10"/>
        <color rgb="FF808080"/>
        <rFont val="Courier New"/>
        <family val="3"/>
      </rPr>
      <t>,</t>
    </r>
    <r>
      <rPr>
        <sz val="10"/>
        <color theme="1"/>
        <rFont val="Courier New"/>
        <family val="3"/>
      </rPr>
      <t xml:space="preserve"> @ItrNo</t>
    </r>
  </si>
  <si>
    <r>
      <t>DELETE</t>
    </r>
    <r>
      <rPr>
        <sz val="10"/>
        <color theme="1"/>
        <rFont val="Courier New"/>
        <family val="3"/>
      </rPr>
      <t xml:space="preserve"> </t>
    </r>
    <r>
      <rPr>
        <sz val="10"/>
        <color rgb="FF0000FF"/>
        <rFont val="Courier New"/>
        <family val="3"/>
      </rPr>
      <t>FROM</t>
    </r>
    <r>
      <rPr>
        <sz val="10"/>
        <color theme="1"/>
        <rFont val="Courier New"/>
        <family val="3"/>
      </rPr>
      <t xml:space="preserve"> #TableA</t>
    </r>
  </si>
  <si>
    <r>
      <t>WHERE</t>
    </r>
    <r>
      <rPr>
        <sz val="10"/>
        <color theme="1"/>
        <rFont val="Courier New"/>
        <family val="3"/>
      </rPr>
      <t xml:space="preserve"> RowNumber </t>
    </r>
    <r>
      <rPr>
        <sz val="10"/>
        <color rgb="FF808080"/>
        <rFont val="Courier New"/>
        <family val="3"/>
      </rPr>
      <t>=</t>
    </r>
    <r>
      <rPr>
        <sz val="10"/>
        <color theme="1"/>
        <rFont val="Courier New"/>
        <family val="3"/>
      </rPr>
      <t xml:space="preserve"> @RowNo </t>
    </r>
    <r>
      <rPr>
        <sz val="10"/>
        <color rgb="FF808080"/>
        <rFont val="Courier New"/>
        <family val="3"/>
      </rPr>
      <t>AND</t>
    </r>
    <r>
      <rPr>
        <sz val="10"/>
        <color theme="1"/>
        <rFont val="Courier New"/>
        <family val="3"/>
      </rPr>
      <t xml:space="preserve"> RC1314_HRG </t>
    </r>
    <r>
      <rPr>
        <sz val="10"/>
        <color rgb="FF808080"/>
        <rFont val="Courier New"/>
        <family val="3"/>
      </rPr>
      <t>=</t>
    </r>
    <r>
      <rPr>
        <sz val="10"/>
        <color theme="1"/>
        <rFont val="Courier New"/>
        <family val="3"/>
      </rPr>
      <t xml:space="preserve"> @LP_HRG </t>
    </r>
    <r>
      <rPr>
        <sz val="10"/>
        <color rgb="FF808080"/>
        <rFont val="Courier New"/>
        <family val="3"/>
      </rPr>
      <t>AND</t>
    </r>
    <r>
      <rPr>
        <sz val="10"/>
        <color theme="1"/>
        <rFont val="Courier New"/>
        <family val="3"/>
      </rPr>
      <t xml:space="preserve"> Iteration </t>
    </r>
    <r>
      <rPr>
        <sz val="10"/>
        <color rgb="FF808080"/>
        <rFont val="Courier New"/>
        <family val="3"/>
      </rPr>
      <t>=</t>
    </r>
    <r>
      <rPr>
        <sz val="10"/>
        <color theme="1"/>
        <rFont val="Courier New"/>
        <family val="3"/>
      </rPr>
      <t xml:space="preserve"> @RC_ItrNo</t>
    </r>
  </si>
  <si>
    <r>
      <t>DELETE</t>
    </r>
    <r>
      <rPr>
        <sz val="10"/>
        <color theme="1"/>
        <rFont val="Courier New"/>
        <family val="3"/>
      </rPr>
      <t xml:space="preserve"> </t>
    </r>
    <r>
      <rPr>
        <sz val="10"/>
        <color rgb="FF0000FF"/>
        <rFont val="Courier New"/>
        <family val="3"/>
      </rPr>
      <t>FROM</t>
    </r>
    <r>
      <rPr>
        <sz val="10"/>
        <color theme="1"/>
        <rFont val="Courier New"/>
        <family val="3"/>
      </rPr>
      <t xml:space="preserve"> #TableB</t>
    </r>
  </si>
  <si>
    <r>
      <t>WHERE</t>
    </r>
    <r>
      <rPr>
        <sz val="10"/>
        <color theme="1"/>
        <rFont val="Courier New"/>
        <family val="3"/>
      </rPr>
      <t xml:space="preserve"> RowNumber </t>
    </r>
    <r>
      <rPr>
        <sz val="10"/>
        <color rgb="FF808080"/>
        <rFont val="Courier New"/>
        <family val="3"/>
      </rPr>
      <t>=</t>
    </r>
    <r>
      <rPr>
        <sz val="10"/>
        <color theme="1"/>
        <rFont val="Courier New"/>
        <family val="3"/>
      </rPr>
      <t xml:space="preserve"> @RowNo </t>
    </r>
    <r>
      <rPr>
        <sz val="10"/>
        <color rgb="FF808080"/>
        <rFont val="Courier New"/>
        <family val="3"/>
      </rPr>
      <t>AND</t>
    </r>
    <r>
      <rPr>
        <sz val="10"/>
        <color theme="1"/>
        <rFont val="Courier New"/>
        <family val="3"/>
      </rPr>
      <t xml:space="preserve"> LP1516_HRG </t>
    </r>
    <r>
      <rPr>
        <sz val="10"/>
        <color rgb="FF808080"/>
        <rFont val="Courier New"/>
        <family val="3"/>
      </rPr>
      <t>=</t>
    </r>
    <r>
      <rPr>
        <sz val="10"/>
        <color theme="1"/>
        <rFont val="Courier New"/>
        <family val="3"/>
      </rPr>
      <t xml:space="preserve"> @LP_HRG </t>
    </r>
    <r>
      <rPr>
        <sz val="10"/>
        <color rgb="FF808080"/>
        <rFont val="Courier New"/>
        <family val="3"/>
      </rPr>
      <t>AND</t>
    </r>
    <r>
      <rPr>
        <sz val="10"/>
        <color theme="1"/>
        <rFont val="Courier New"/>
        <family val="3"/>
      </rPr>
      <t xml:space="preserve"> Iteration </t>
    </r>
    <r>
      <rPr>
        <sz val="10"/>
        <color rgb="FF808080"/>
        <rFont val="Courier New"/>
        <family val="3"/>
      </rPr>
      <t>=</t>
    </r>
    <r>
      <rPr>
        <sz val="10"/>
        <color theme="1"/>
        <rFont val="Courier New"/>
        <family val="3"/>
      </rPr>
      <t xml:space="preserve"> @ItrNo</t>
    </r>
  </si>
  <si>
    <t>END</t>
  </si>
  <si>
    <r>
      <t>ELSE</t>
    </r>
    <r>
      <rPr>
        <sz val="10"/>
        <color theme="1"/>
        <rFont val="Courier New"/>
        <family val="3"/>
      </rPr>
      <t xml:space="preserve"> </t>
    </r>
    <r>
      <rPr>
        <sz val="10"/>
        <color rgb="FF0000FF"/>
        <rFont val="Courier New"/>
        <family val="3"/>
      </rPr>
      <t>IF</t>
    </r>
    <r>
      <rPr>
        <sz val="10"/>
        <color theme="1"/>
        <rFont val="Courier New"/>
        <family val="3"/>
      </rPr>
      <t xml:space="preserve"> </t>
    </r>
    <r>
      <rPr>
        <sz val="10"/>
        <color rgb="FF808080"/>
        <rFont val="Courier New"/>
        <family val="3"/>
      </rPr>
      <t>EXISTS(</t>
    </r>
    <r>
      <rPr>
        <sz val="10"/>
        <color rgb="FF0000FF"/>
        <rFont val="Courier New"/>
        <family val="3"/>
      </rPr>
      <t>SELECT</t>
    </r>
    <r>
      <rPr>
        <sz val="10"/>
        <color theme="1"/>
        <rFont val="Courier New"/>
        <family val="3"/>
      </rPr>
      <t xml:space="preserve"> </t>
    </r>
    <r>
      <rPr>
        <sz val="10"/>
        <color rgb="FF808080"/>
        <rFont val="Courier New"/>
        <family val="3"/>
      </rPr>
      <t>*</t>
    </r>
    <r>
      <rPr>
        <sz val="10"/>
        <color theme="1"/>
        <rFont val="Courier New"/>
        <family val="3"/>
      </rPr>
      <t xml:space="preserve"> </t>
    </r>
    <r>
      <rPr>
        <sz val="10"/>
        <color rgb="FF0000FF"/>
        <rFont val="Courier New"/>
        <family val="3"/>
      </rPr>
      <t>FROM</t>
    </r>
    <r>
      <rPr>
        <sz val="10"/>
        <color theme="1"/>
        <rFont val="Courier New"/>
        <family val="3"/>
      </rPr>
      <t xml:space="preserve"> #TableA </t>
    </r>
    <r>
      <rPr>
        <sz val="10"/>
        <color rgb="FF0000FF"/>
        <rFont val="Courier New"/>
        <family val="3"/>
      </rPr>
      <t>WHERE</t>
    </r>
    <r>
      <rPr>
        <sz val="10"/>
        <color theme="1"/>
        <rFont val="Courier New"/>
        <family val="3"/>
      </rPr>
      <t xml:space="preserve"> RowNumber </t>
    </r>
    <r>
      <rPr>
        <sz val="10"/>
        <color rgb="FF808080"/>
        <rFont val="Courier New"/>
        <family val="3"/>
      </rPr>
      <t>=</t>
    </r>
    <r>
      <rPr>
        <sz val="10"/>
        <color theme="1"/>
        <rFont val="Courier New"/>
        <family val="3"/>
      </rPr>
      <t xml:space="preserve"> @RowNo</t>
    </r>
    <r>
      <rPr>
        <sz val="10"/>
        <color rgb="FF808080"/>
        <rFont val="Courier New"/>
        <family val="3"/>
      </rPr>
      <t>)</t>
    </r>
  </si>
  <si>
    <r>
      <t>PRINT</t>
    </r>
    <r>
      <rPr>
        <sz val="10"/>
        <color theme="1"/>
        <rFont val="Courier New"/>
        <family val="3"/>
      </rPr>
      <t xml:space="preserve"> </t>
    </r>
    <r>
      <rPr>
        <sz val="10"/>
        <color rgb="FFFF0000"/>
        <rFont val="Courier New"/>
        <family val="3"/>
      </rPr>
      <t>'-------------- IF TWO ---------------'</t>
    </r>
    <r>
      <rPr>
        <sz val="10"/>
        <color rgb="FF808080"/>
        <rFont val="Courier New"/>
        <family val="3"/>
      </rPr>
      <t>+</t>
    </r>
    <r>
      <rPr>
        <sz val="10"/>
        <color rgb="FFFF00FF"/>
        <rFont val="Courier New"/>
        <family val="3"/>
      </rPr>
      <t>CONVERT</t>
    </r>
    <r>
      <rPr>
        <sz val="10"/>
        <color rgb="FF808080"/>
        <rFont val="Courier New"/>
        <family val="3"/>
      </rPr>
      <t>(</t>
    </r>
    <r>
      <rPr>
        <sz val="10"/>
        <color rgb="FF0000FF"/>
        <rFont val="Courier New"/>
        <family val="3"/>
      </rPr>
      <t>VARCHAR</t>
    </r>
    <r>
      <rPr>
        <sz val="10"/>
        <color rgb="FF808080"/>
        <rFont val="Courier New"/>
        <family val="3"/>
      </rPr>
      <t>(</t>
    </r>
    <r>
      <rPr>
        <sz val="10"/>
        <color theme="1"/>
        <rFont val="Courier New"/>
        <family val="3"/>
      </rPr>
      <t>15</t>
    </r>
    <r>
      <rPr>
        <sz val="10"/>
        <color rgb="FF808080"/>
        <rFont val="Courier New"/>
        <family val="3"/>
      </rPr>
      <t>),</t>
    </r>
    <r>
      <rPr>
        <sz val="10"/>
        <color theme="1"/>
        <rFont val="Courier New"/>
        <family val="3"/>
      </rPr>
      <t>@RowNo</t>
    </r>
    <r>
      <rPr>
        <sz val="10"/>
        <color rgb="FF808080"/>
        <rFont val="Courier New"/>
        <family val="3"/>
      </rPr>
      <t>)</t>
    </r>
  </si>
  <si>
    <r>
      <t>SELECT</t>
    </r>
    <r>
      <rPr>
        <sz val="10"/>
        <color theme="1"/>
        <rFont val="Courier New"/>
        <family val="3"/>
      </rPr>
      <t xml:space="preserve"> @RC_HRG </t>
    </r>
    <r>
      <rPr>
        <sz val="10"/>
        <color rgb="FF808080"/>
        <rFont val="Courier New"/>
        <family val="3"/>
      </rPr>
      <t>=</t>
    </r>
    <r>
      <rPr>
        <sz val="10"/>
        <color theme="1"/>
        <rFont val="Courier New"/>
        <family val="3"/>
      </rPr>
      <t xml:space="preserve"> RC1314_HRG </t>
    </r>
    <r>
      <rPr>
        <sz val="10"/>
        <color rgb="FF808080"/>
        <rFont val="Courier New"/>
        <family val="3"/>
      </rPr>
      <t>,</t>
    </r>
    <r>
      <rPr>
        <sz val="10"/>
        <color theme="1"/>
        <rFont val="Courier New"/>
        <family val="3"/>
      </rPr>
      <t xml:space="preserve"> @RC_ItrNo </t>
    </r>
    <r>
      <rPr>
        <sz val="10"/>
        <color rgb="FF808080"/>
        <rFont val="Courier New"/>
        <family val="3"/>
      </rPr>
      <t>=</t>
    </r>
    <r>
      <rPr>
        <sz val="10"/>
        <color theme="1"/>
        <rFont val="Courier New"/>
        <family val="3"/>
      </rPr>
      <t xml:space="preserve"> Iteration  </t>
    </r>
    <r>
      <rPr>
        <sz val="10"/>
        <color rgb="FF0000FF"/>
        <rFont val="Courier New"/>
        <family val="3"/>
      </rPr>
      <t>FROM</t>
    </r>
    <r>
      <rPr>
        <sz val="10"/>
        <color theme="1"/>
        <rFont val="Courier New"/>
        <family val="3"/>
      </rPr>
      <t xml:space="preserve"> #TableA </t>
    </r>
    <r>
      <rPr>
        <sz val="10"/>
        <color rgb="FF0000FF"/>
        <rFont val="Courier New"/>
        <family val="3"/>
      </rPr>
      <t>WHERE</t>
    </r>
    <r>
      <rPr>
        <sz val="10"/>
        <color theme="1"/>
        <rFont val="Courier New"/>
        <family val="3"/>
      </rPr>
      <t xml:space="preserve"> RowNumber </t>
    </r>
    <r>
      <rPr>
        <sz val="10"/>
        <color rgb="FF808080"/>
        <rFont val="Courier New"/>
        <family val="3"/>
      </rPr>
      <t>=</t>
    </r>
    <r>
      <rPr>
        <sz val="10"/>
        <color theme="1"/>
        <rFont val="Courier New"/>
        <family val="3"/>
      </rPr>
      <t xml:space="preserve"> @RowNo</t>
    </r>
  </si>
  <si>
    <r>
      <t>SELECT</t>
    </r>
    <r>
      <rPr>
        <sz val="10"/>
        <color theme="1"/>
        <rFont val="Courier New"/>
        <family val="3"/>
      </rPr>
      <t xml:space="preserve"> @RowNo</t>
    </r>
    <r>
      <rPr>
        <sz val="10"/>
        <color rgb="FF808080"/>
        <rFont val="Courier New"/>
        <family val="3"/>
      </rPr>
      <t>,</t>
    </r>
    <r>
      <rPr>
        <sz val="10"/>
        <color theme="1"/>
        <rFont val="Courier New"/>
        <family val="3"/>
      </rPr>
      <t xml:space="preserve"> @RC_HRG</t>
    </r>
    <r>
      <rPr>
        <sz val="10"/>
        <color rgb="FF808080"/>
        <rFont val="Courier New"/>
        <family val="3"/>
      </rPr>
      <t>,</t>
    </r>
    <r>
      <rPr>
        <sz val="10"/>
        <color theme="1"/>
        <rFont val="Courier New"/>
        <family val="3"/>
      </rPr>
      <t xml:space="preserve"> @RowNo</t>
    </r>
    <r>
      <rPr>
        <sz val="10"/>
        <color rgb="FF808080"/>
        <rFont val="Courier New"/>
        <family val="3"/>
      </rPr>
      <t>,</t>
    </r>
    <r>
      <rPr>
        <sz val="10"/>
        <color theme="1"/>
        <rFont val="Courier New"/>
        <family val="3"/>
      </rPr>
      <t xml:space="preserve"> @LP_HRG</t>
    </r>
    <r>
      <rPr>
        <sz val="10"/>
        <color rgb="FF808080"/>
        <rFont val="Courier New"/>
        <family val="3"/>
      </rPr>
      <t>,</t>
    </r>
    <r>
      <rPr>
        <sz val="10"/>
        <color theme="1"/>
        <rFont val="Courier New"/>
        <family val="3"/>
      </rPr>
      <t xml:space="preserve"> @RC_ItrNo</t>
    </r>
    <r>
      <rPr>
        <sz val="10"/>
        <color rgb="FF808080"/>
        <rFont val="Courier New"/>
        <family val="3"/>
      </rPr>
      <t>,</t>
    </r>
    <r>
      <rPr>
        <sz val="10"/>
        <color theme="1"/>
        <rFont val="Courier New"/>
        <family val="3"/>
      </rPr>
      <t xml:space="preserve"> @ItrNo</t>
    </r>
  </si>
  <si>
    <r>
      <t>WHERE</t>
    </r>
    <r>
      <rPr>
        <sz val="10"/>
        <color theme="1"/>
        <rFont val="Courier New"/>
        <family val="3"/>
      </rPr>
      <t xml:space="preserve"> RowNumber </t>
    </r>
    <r>
      <rPr>
        <sz val="10"/>
        <color rgb="FF808080"/>
        <rFont val="Courier New"/>
        <family val="3"/>
      </rPr>
      <t>=</t>
    </r>
    <r>
      <rPr>
        <sz val="10"/>
        <color theme="1"/>
        <rFont val="Courier New"/>
        <family val="3"/>
      </rPr>
      <t xml:space="preserve"> @RowNo </t>
    </r>
    <r>
      <rPr>
        <sz val="10"/>
        <color rgb="FF808080"/>
        <rFont val="Courier New"/>
        <family val="3"/>
      </rPr>
      <t>AND</t>
    </r>
    <r>
      <rPr>
        <sz val="10"/>
        <color theme="1"/>
        <rFont val="Courier New"/>
        <family val="3"/>
      </rPr>
      <t xml:space="preserve"> RC1314_HRG </t>
    </r>
    <r>
      <rPr>
        <sz val="10"/>
        <color rgb="FF808080"/>
        <rFont val="Courier New"/>
        <family val="3"/>
      </rPr>
      <t>=</t>
    </r>
    <r>
      <rPr>
        <sz val="10"/>
        <color theme="1"/>
        <rFont val="Courier New"/>
        <family val="3"/>
      </rPr>
      <t xml:space="preserve"> @RC_HRG</t>
    </r>
  </si>
  <si>
    <r>
      <t>WHERE</t>
    </r>
    <r>
      <rPr>
        <sz val="10"/>
        <color theme="1"/>
        <rFont val="Courier New"/>
        <family val="3"/>
      </rPr>
      <t xml:space="preserve"> RowNumber </t>
    </r>
    <r>
      <rPr>
        <sz val="10"/>
        <color rgb="FF808080"/>
        <rFont val="Courier New"/>
        <family val="3"/>
      </rPr>
      <t>=</t>
    </r>
    <r>
      <rPr>
        <sz val="10"/>
        <color theme="1"/>
        <rFont val="Courier New"/>
        <family val="3"/>
      </rPr>
      <t xml:space="preserve"> @RowNo </t>
    </r>
    <r>
      <rPr>
        <sz val="10"/>
        <color rgb="FF808080"/>
        <rFont val="Courier New"/>
        <family val="3"/>
      </rPr>
      <t>AND</t>
    </r>
    <r>
      <rPr>
        <sz val="10"/>
        <color theme="1"/>
        <rFont val="Courier New"/>
        <family val="3"/>
      </rPr>
      <t xml:space="preserve"> LP1516_HRG </t>
    </r>
    <r>
      <rPr>
        <sz val="10"/>
        <color rgb="FF808080"/>
        <rFont val="Courier New"/>
        <family val="3"/>
      </rPr>
      <t>=</t>
    </r>
    <r>
      <rPr>
        <sz val="10"/>
        <color theme="1"/>
        <rFont val="Courier New"/>
        <family val="3"/>
      </rPr>
      <t xml:space="preserve"> @LP_HRG</t>
    </r>
  </si>
  <si>
    <t>ELSE</t>
  </si>
  <si>
    <r>
      <t>PRINT</t>
    </r>
    <r>
      <rPr>
        <sz val="10"/>
        <color theme="1"/>
        <rFont val="Courier New"/>
        <family val="3"/>
      </rPr>
      <t xml:space="preserve"> </t>
    </r>
    <r>
      <rPr>
        <sz val="10"/>
        <color rgb="FFFF0000"/>
        <rFont val="Courier New"/>
        <family val="3"/>
      </rPr>
      <t>'-------------- IF THREE ---------------'</t>
    </r>
    <r>
      <rPr>
        <sz val="10"/>
        <color rgb="FF808080"/>
        <rFont val="Courier New"/>
        <family val="3"/>
      </rPr>
      <t>+</t>
    </r>
    <r>
      <rPr>
        <sz val="10"/>
        <color rgb="FFFF00FF"/>
        <rFont val="Courier New"/>
        <family val="3"/>
      </rPr>
      <t>CONVERT</t>
    </r>
    <r>
      <rPr>
        <sz val="10"/>
        <color rgb="FF808080"/>
        <rFont val="Courier New"/>
        <family val="3"/>
      </rPr>
      <t>(</t>
    </r>
    <r>
      <rPr>
        <sz val="10"/>
        <color rgb="FF0000FF"/>
        <rFont val="Courier New"/>
        <family val="3"/>
      </rPr>
      <t>VARCHAR</t>
    </r>
    <r>
      <rPr>
        <sz val="10"/>
        <color rgb="FF808080"/>
        <rFont val="Courier New"/>
        <family val="3"/>
      </rPr>
      <t>(</t>
    </r>
    <r>
      <rPr>
        <sz val="10"/>
        <color theme="1"/>
        <rFont val="Courier New"/>
        <family val="3"/>
      </rPr>
      <t>15</t>
    </r>
    <r>
      <rPr>
        <sz val="10"/>
        <color rgb="FF808080"/>
        <rFont val="Courier New"/>
        <family val="3"/>
      </rPr>
      <t>),</t>
    </r>
    <r>
      <rPr>
        <sz val="10"/>
        <color theme="1"/>
        <rFont val="Courier New"/>
        <family val="3"/>
      </rPr>
      <t>@RowNo</t>
    </r>
    <r>
      <rPr>
        <sz val="10"/>
        <color rgb="FF808080"/>
        <rFont val="Courier New"/>
        <family val="3"/>
      </rPr>
      <t>)</t>
    </r>
  </si>
  <si>
    <r>
      <t>INSERT</t>
    </r>
    <r>
      <rPr>
        <sz val="10"/>
        <color theme="1"/>
        <rFont val="Courier New"/>
        <family val="3"/>
      </rPr>
      <t xml:space="preserve"> </t>
    </r>
    <r>
      <rPr>
        <sz val="10"/>
        <color rgb="FF0000FF"/>
        <rFont val="Courier New"/>
        <family val="3"/>
      </rPr>
      <t>INTO</t>
    </r>
    <r>
      <rPr>
        <sz val="10"/>
        <color theme="1"/>
        <rFont val="Courier New"/>
        <family val="3"/>
      </rPr>
      <t xml:space="preserve"> #TableC</t>
    </r>
    <r>
      <rPr>
        <sz val="10"/>
        <color rgb="FF808080"/>
        <rFont val="Courier New"/>
        <family val="3"/>
      </rPr>
      <t>(</t>
    </r>
    <r>
      <rPr>
        <sz val="10"/>
        <color theme="1"/>
        <rFont val="Courier New"/>
        <family val="3"/>
      </rPr>
      <t>RC_RowNo</t>
    </r>
    <r>
      <rPr>
        <sz val="10"/>
        <color rgb="FF808080"/>
        <rFont val="Courier New"/>
        <family val="3"/>
      </rPr>
      <t>,</t>
    </r>
    <r>
      <rPr>
        <sz val="10"/>
        <color theme="1"/>
        <rFont val="Courier New"/>
        <family val="3"/>
      </rPr>
      <t xml:space="preserve"> RC1314_HRG</t>
    </r>
    <r>
      <rPr>
        <sz val="10"/>
        <color rgb="FF808080"/>
        <rFont val="Courier New"/>
        <family val="3"/>
      </rPr>
      <t>,</t>
    </r>
    <r>
      <rPr>
        <sz val="10"/>
        <color theme="1"/>
        <rFont val="Courier New"/>
        <family val="3"/>
      </rPr>
      <t xml:space="preserve"> LP_RowNo</t>
    </r>
    <r>
      <rPr>
        <sz val="10"/>
        <color rgb="FF808080"/>
        <rFont val="Courier New"/>
        <family val="3"/>
      </rPr>
      <t>,</t>
    </r>
    <r>
      <rPr>
        <sz val="10"/>
        <color theme="1"/>
        <rFont val="Courier New"/>
        <family val="3"/>
      </rPr>
      <t xml:space="preserve"> LP1516_HRG</t>
    </r>
    <r>
      <rPr>
        <sz val="10"/>
        <color rgb="FF808080"/>
        <rFont val="Courier New"/>
        <family val="3"/>
      </rPr>
      <t>,</t>
    </r>
    <r>
      <rPr>
        <sz val="10"/>
        <color theme="1"/>
        <rFont val="Courier New"/>
        <family val="3"/>
      </rPr>
      <t xml:space="preserve"> RC_INo</t>
    </r>
    <r>
      <rPr>
        <sz val="10"/>
        <color rgb="FF808080"/>
        <rFont val="Courier New"/>
        <family val="3"/>
      </rPr>
      <t>,</t>
    </r>
    <r>
      <rPr>
        <sz val="10"/>
        <color theme="1"/>
        <rFont val="Courier New"/>
        <family val="3"/>
      </rPr>
      <t xml:space="preserve">  LP_INo</t>
    </r>
    <r>
      <rPr>
        <sz val="10"/>
        <color rgb="FF808080"/>
        <rFont val="Courier New"/>
        <family val="3"/>
      </rPr>
      <t>)</t>
    </r>
  </si>
  <si>
    <r>
      <t>SELECT</t>
    </r>
    <r>
      <rPr>
        <sz val="10"/>
        <color theme="1"/>
        <rFont val="Courier New"/>
        <family val="3"/>
      </rPr>
      <t xml:space="preserve"> @RowNo</t>
    </r>
    <r>
      <rPr>
        <sz val="10"/>
        <color rgb="FF808080"/>
        <rFont val="Courier New"/>
        <family val="3"/>
      </rPr>
      <t>,</t>
    </r>
    <r>
      <rPr>
        <sz val="10"/>
        <color theme="1"/>
        <rFont val="Courier New"/>
        <family val="3"/>
      </rPr>
      <t xml:space="preserve"> </t>
    </r>
    <r>
      <rPr>
        <sz val="10"/>
        <color rgb="FFFF0000"/>
        <rFont val="Courier New"/>
        <family val="3"/>
      </rPr>
      <t>'N/A'</t>
    </r>
    <r>
      <rPr>
        <sz val="10"/>
        <color rgb="FF808080"/>
        <rFont val="Courier New"/>
        <family val="3"/>
      </rPr>
      <t>,</t>
    </r>
    <r>
      <rPr>
        <sz val="10"/>
        <color theme="1"/>
        <rFont val="Courier New"/>
        <family val="3"/>
      </rPr>
      <t xml:space="preserve"> @RowNo</t>
    </r>
    <r>
      <rPr>
        <sz val="10"/>
        <color rgb="FF808080"/>
        <rFont val="Courier New"/>
        <family val="3"/>
      </rPr>
      <t>,</t>
    </r>
    <r>
      <rPr>
        <sz val="10"/>
        <color theme="1"/>
        <rFont val="Courier New"/>
        <family val="3"/>
      </rPr>
      <t xml:space="preserve"> @LP_HRG</t>
    </r>
    <r>
      <rPr>
        <sz val="10"/>
        <color rgb="FF808080"/>
        <rFont val="Courier New"/>
        <family val="3"/>
      </rPr>
      <t>,</t>
    </r>
    <r>
      <rPr>
        <sz val="10"/>
        <color theme="1"/>
        <rFont val="Courier New"/>
        <family val="3"/>
      </rPr>
      <t xml:space="preserve"> 0</t>
    </r>
    <r>
      <rPr>
        <sz val="10"/>
        <color rgb="FF808080"/>
        <rFont val="Courier New"/>
        <family val="3"/>
      </rPr>
      <t>,</t>
    </r>
    <r>
      <rPr>
        <sz val="10"/>
        <color theme="1"/>
        <rFont val="Courier New"/>
        <family val="3"/>
      </rPr>
      <t xml:space="preserve"> @ItrNo</t>
    </r>
  </si>
  <si>
    <r>
      <t>WHERE</t>
    </r>
    <r>
      <rPr>
        <sz val="10"/>
        <color theme="1"/>
        <rFont val="Courier New"/>
        <family val="3"/>
      </rPr>
      <t xml:space="preserve"> RowNumber </t>
    </r>
    <r>
      <rPr>
        <sz val="10"/>
        <color rgb="FF808080"/>
        <rFont val="Courier New"/>
        <family val="3"/>
      </rPr>
      <t>=</t>
    </r>
    <r>
      <rPr>
        <sz val="10"/>
        <color theme="1"/>
        <rFont val="Courier New"/>
        <family val="3"/>
      </rPr>
      <t xml:space="preserve"> @RowNo</t>
    </r>
  </si>
  <si>
    <r>
      <t>AND</t>
    </r>
    <r>
      <rPr>
        <sz val="10"/>
        <color theme="1"/>
        <rFont val="Courier New"/>
        <family val="3"/>
      </rPr>
      <t xml:space="preserve"> LP1516_HRG </t>
    </r>
    <r>
      <rPr>
        <sz val="10"/>
        <color rgb="FF808080"/>
        <rFont val="Courier New"/>
        <family val="3"/>
      </rPr>
      <t>=</t>
    </r>
    <r>
      <rPr>
        <sz val="10"/>
        <color theme="1"/>
        <rFont val="Courier New"/>
        <family val="3"/>
      </rPr>
      <t xml:space="preserve"> @LP_HRG</t>
    </r>
  </si>
  <si>
    <r>
      <t>CLOSE</t>
    </r>
    <r>
      <rPr>
        <sz val="10"/>
        <color theme="1"/>
        <rFont val="Courier New"/>
        <family val="3"/>
      </rPr>
      <t xml:space="preserve"> @Cur_TabB</t>
    </r>
  </si>
  <si>
    <r>
      <t>DEALLOCATE</t>
    </r>
    <r>
      <rPr>
        <sz val="10"/>
        <color theme="1"/>
        <rFont val="Courier New"/>
        <family val="3"/>
      </rPr>
      <t xml:space="preserve"> @Cur_TabB</t>
    </r>
  </si>
  <si>
    <r>
      <t>SELECT</t>
    </r>
    <r>
      <rPr>
        <sz val="10"/>
        <color theme="1"/>
        <rFont val="Courier New"/>
        <family val="3"/>
      </rPr>
      <t xml:space="preserve"> RC1314_HRG</t>
    </r>
    <r>
      <rPr>
        <sz val="10"/>
        <color rgb="FF808080"/>
        <rFont val="Courier New"/>
        <family val="3"/>
      </rPr>
      <t>+</t>
    </r>
    <r>
      <rPr>
        <sz val="10"/>
        <color rgb="FFFF0000"/>
        <rFont val="Courier New"/>
        <family val="3"/>
      </rPr>
      <t>','</t>
    </r>
    <r>
      <rPr>
        <sz val="10"/>
        <color rgb="FF808080"/>
        <rFont val="Courier New"/>
        <family val="3"/>
      </rPr>
      <t>+</t>
    </r>
    <r>
      <rPr>
        <sz val="10"/>
        <color theme="1"/>
        <rFont val="Courier New"/>
        <family val="3"/>
      </rPr>
      <t>LP1516_HRG Combined_HRG</t>
    </r>
    <r>
      <rPr>
        <sz val="10"/>
        <color rgb="FF808080"/>
        <rFont val="Courier New"/>
        <family val="3"/>
      </rPr>
      <t>,</t>
    </r>
    <r>
      <rPr>
        <sz val="10"/>
        <color theme="1"/>
        <rFont val="Courier New"/>
        <family val="3"/>
      </rPr>
      <t xml:space="preserve"> </t>
    </r>
    <r>
      <rPr>
        <sz val="10"/>
        <color rgb="FFFF00FF"/>
        <rFont val="Courier New"/>
        <family val="3"/>
      </rPr>
      <t>COUNT</t>
    </r>
    <r>
      <rPr>
        <sz val="10"/>
        <color rgb="FF808080"/>
        <rFont val="Courier New"/>
        <family val="3"/>
      </rPr>
      <t>(</t>
    </r>
    <r>
      <rPr>
        <sz val="10"/>
        <color theme="1"/>
        <rFont val="Courier New"/>
        <family val="3"/>
      </rPr>
      <t>1</t>
    </r>
    <r>
      <rPr>
        <sz val="10"/>
        <color rgb="FF808080"/>
        <rFont val="Courier New"/>
        <family val="3"/>
      </rPr>
      <t>)</t>
    </r>
    <r>
      <rPr>
        <sz val="10"/>
        <color theme="1"/>
        <rFont val="Courier New"/>
        <family val="3"/>
      </rPr>
      <t xml:space="preserve"> </t>
    </r>
  </si>
  <si>
    <r>
      <t>FROM</t>
    </r>
    <r>
      <rPr>
        <sz val="10"/>
        <color theme="1"/>
        <rFont val="Courier New"/>
        <family val="3"/>
      </rPr>
      <t xml:space="preserve"> #TableC </t>
    </r>
  </si>
  <si>
    <r>
      <t>GROUP</t>
    </r>
    <r>
      <rPr>
        <sz val="10"/>
        <color theme="1"/>
        <rFont val="Courier New"/>
        <family val="3"/>
      </rPr>
      <t xml:space="preserve"> </t>
    </r>
    <r>
      <rPr>
        <sz val="10"/>
        <color rgb="FF0000FF"/>
        <rFont val="Courier New"/>
        <family val="3"/>
      </rPr>
      <t>BY</t>
    </r>
    <r>
      <rPr>
        <sz val="10"/>
        <color theme="1"/>
        <rFont val="Courier New"/>
        <family val="3"/>
      </rPr>
      <t xml:space="preserve"> RC1314_HRG</t>
    </r>
    <r>
      <rPr>
        <sz val="10"/>
        <color rgb="FF808080"/>
        <rFont val="Courier New"/>
        <family val="3"/>
      </rPr>
      <t>+</t>
    </r>
    <r>
      <rPr>
        <sz val="10"/>
        <color rgb="FFFF0000"/>
        <rFont val="Courier New"/>
        <family val="3"/>
      </rPr>
      <t>','</t>
    </r>
    <r>
      <rPr>
        <sz val="10"/>
        <color rgb="FF808080"/>
        <rFont val="Courier New"/>
        <family val="3"/>
      </rPr>
      <t>+</t>
    </r>
    <r>
      <rPr>
        <sz val="10"/>
        <color theme="1"/>
        <rFont val="Courier New"/>
        <family val="3"/>
      </rPr>
      <t>LP1516_HRG</t>
    </r>
  </si>
  <si>
    <t>Combined_HRG</t>
  </si>
  <si>
    <t>(No column name)</t>
  </si>
  <si>
    <t>N/A,RA08A</t>
  </si>
  <si>
    <t>N/A,RA11Z</t>
  </si>
  <si>
    <t>N/A,RA12Z</t>
  </si>
  <si>
    <t>N/A,RA13Z</t>
  </si>
  <si>
    <t>N/A,RA14Z</t>
  </si>
  <si>
    <t>N/A,RA23Z</t>
  </si>
  <si>
    <t>N/A,RA50Z</t>
  </si>
  <si>
    <t>N/A,RA69Z</t>
  </si>
  <si>
    <t>RA01A,RA01A</t>
  </si>
  <si>
    <t>RA01B,RA01B</t>
  </si>
  <si>
    <t>RA01C,RA01C</t>
  </si>
  <si>
    <t>RA02A,RA02A</t>
  </si>
  <si>
    <t>RA02B,RA02B</t>
  </si>
  <si>
    <t>RA02C,RA02C</t>
  </si>
  <si>
    <t>RA03Z,RA03Z</t>
  </si>
  <si>
    <t>RA04Z,RA04Z</t>
  </si>
  <si>
    <t>RA05Z,RA05Z</t>
  </si>
  <si>
    <t>RA06Z,RA06Z</t>
  </si>
  <si>
    <t>RA07Z,RA07Z</t>
  </si>
  <si>
    <t>RA08A,RA08A</t>
  </si>
  <si>
    <t>RA08A,RA09A</t>
  </si>
  <si>
    <t>RA08A,RA69Z</t>
  </si>
  <si>
    <t>RA08B,RA08B</t>
  </si>
  <si>
    <t>RA08B,RA69Z</t>
  </si>
  <si>
    <t>RA08C,RA08C</t>
  </si>
  <si>
    <t>RA09A,RA09A</t>
  </si>
  <si>
    <t>RA09A,RA69Z</t>
  </si>
  <si>
    <t>RA09B,RA09B</t>
  </si>
  <si>
    <t>RA09C,RA09C</t>
  </si>
  <si>
    <t>RA10Z,RA10Z</t>
  </si>
  <si>
    <t>RA10Z,RA69Z</t>
  </si>
  <si>
    <t>RA11Z,RA08A</t>
  </si>
  <si>
    <t>RA11Z,RA11Z</t>
  </si>
  <si>
    <t>RA11Z,RA69Z</t>
  </si>
  <si>
    <t>RA12Z,RA08A</t>
  </si>
  <si>
    <t>RA12Z,RA12Z</t>
  </si>
  <si>
    <t>RA12Z,RA69Z</t>
  </si>
  <si>
    <t>RA13Z,RA08A</t>
  </si>
  <si>
    <t>RA13Z,RA13Z</t>
  </si>
  <si>
    <t>RA13Z,RA69Z</t>
  </si>
  <si>
    <t>RA14Z,RA08A</t>
  </si>
  <si>
    <t>RA14Z,RA14Z</t>
  </si>
  <si>
    <t>RA14Z,RA69Z</t>
  </si>
  <si>
    <t>RA15Z,RA15Z</t>
  </si>
  <si>
    <t>RA16Z,RA16Z</t>
  </si>
  <si>
    <t>RA17Z,RA17Z</t>
  </si>
  <si>
    <t>RA18Z,RA18Z</t>
  </si>
  <si>
    <t>RA23Z,RA23Z</t>
  </si>
  <si>
    <t>RA23Z,RA69Z</t>
  </si>
  <si>
    <t>RA24Z,RA24Z</t>
  </si>
  <si>
    <t>RA25Z,RA25Z</t>
  </si>
  <si>
    <t>RA35Z,RA35Z</t>
  </si>
  <si>
    <t>RA36Z,RA36Z</t>
  </si>
  <si>
    <t>RA37Z,RA37Z</t>
  </si>
  <si>
    <t>RA38Z,RA38Z</t>
  </si>
  <si>
    <t>RA39Z,RA39Z</t>
  </si>
  <si>
    <t>RA40Z,RA40Z</t>
  </si>
  <si>
    <t>RA42Z,RA42Z</t>
  </si>
  <si>
    <t>RA50Z,RA08A</t>
  </si>
  <si>
    <t>RA50Z,RA50Z</t>
  </si>
  <si>
    <t>RA50Z,RA69Z</t>
  </si>
  <si>
    <t>RA60A,RA60A</t>
  </si>
  <si>
    <t>RA60B,RA60B</t>
  </si>
  <si>
    <t>RA60C,RA60C</t>
  </si>
  <si>
    <t>RA65Z,RA65Z</t>
  </si>
  <si>
    <t>RA66Z,RA66Z</t>
  </si>
  <si>
    <t>RA67Z,RA67Z</t>
  </si>
  <si>
    <t>RA68Z,RA69Z</t>
  </si>
  <si>
    <t>DI_activity_mapping_SQL</t>
  </si>
  <si>
    <t>Map total costs and total activity for Diagnostic Imaging HRGs to take into account change of currency design</t>
  </si>
  <si>
    <t>This worksheet has the mapping of activity in HES 1314 OP for each HRG in Diagnostic Imaging due to change of currency design.</t>
  </si>
  <si>
    <t>RC 1314 Activity mapped to RA69Z</t>
  </si>
  <si>
    <t>HES 1314 data</t>
  </si>
  <si>
    <t>Data for cost mapping</t>
  </si>
  <si>
    <t>Amended activity and cost using Mapping of RC Data</t>
  </si>
  <si>
    <t>Amended RC 1314 Activity mapped</t>
  </si>
  <si>
    <t>RC 1314 data</t>
  </si>
  <si>
    <r>
      <t xml:space="preserve"> </t>
    </r>
    <r>
      <rPr>
        <sz val="10"/>
        <color rgb="FF0000FF"/>
        <rFont val="Courier New"/>
        <family val="3"/>
      </rPr>
      <t>CREATE</t>
    </r>
    <r>
      <rPr>
        <sz val="10"/>
        <rFont val="Courier New"/>
        <family val="3"/>
      </rPr>
      <t xml:space="preserve"> </t>
    </r>
    <r>
      <rPr>
        <sz val="10"/>
        <color rgb="FF0000FF"/>
        <rFont val="Courier New"/>
        <family val="3"/>
      </rPr>
      <t>TABLE</t>
    </r>
    <r>
      <rPr>
        <sz val="10"/>
        <rFont val="Courier New"/>
        <family val="3"/>
      </rPr>
      <t xml:space="preserve"> #Filter_for_Scope</t>
    </r>
    <r>
      <rPr>
        <sz val="10"/>
        <color rgb="FF0000FF"/>
        <rFont val="Courier New"/>
        <family val="3"/>
      </rPr>
      <t xml:space="preserve"> </t>
    </r>
    <r>
      <rPr>
        <sz val="10"/>
        <color rgb="FF808080"/>
        <rFont val="Courier New"/>
        <family val="3"/>
      </rPr>
      <t>(</t>
    </r>
    <r>
      <rPr>
        <sz val="10"/>
        <rFont val="Courier New"/>
        <family val="3"/>
      </rPr>
      <t xml:space="preserve">[ORGCode] </t>
    </r>
    <r>
      <rPr>
        <sz val="10"/>
        <color rgb="FF0000FF"/>
        <rFont val="Courier New"/>
        <family val="3"/>
      </rPr>
      <t>Varchar</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 [DEPARTMENT] </t>
    </r>
    <r>
      <rPr>
        <sz val="10"/>
        <color rgb="FF0000FF"/>
        <rFont val="Courier New"/>
        <family val="3"/>
      </rPr>
      <t>varchar</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 [Service] </t>
    </r>
    <r>
      <rPr>
        <sz val="10"/>
        <color rgb="FF0000FF"/>
        <rFont val="Courier New"/>
        <family val="3"/>
      </rPr>
      <t>varchar</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 [CURRENCY] </t>
    </r>
    <r>
      <rPr>
        <sz val="10"/>
        <color rgb="FF0000FF"/>
        <rFont val="Courier New"/>
        <family val="3"/>
      </rPr>
      <t xml:space="preserve">varchar </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[UC] </t>
    </r>
    <r>
      <rPr>
        <sz val="10"/>
        <color rgb="FF0000FF"/>
        <rFont val="Courier New"/>
        <family val="3"/>
      </rPr>
      <t>float</t>
    </r>
    <r>
      <rPr>
        <sz val="10"/>
        <color rgb="FF808080"/>
        <rFont val="Courier New"/>
        <family val="3"/>
      </rPr>
      <t>,</t>
    </r>
    <r>
      <rPr>
        <sz val="10"/>
        <rFont val="Courier New"/>
        <family val="3"/>
      </rPr>
      <t xml:space="preserve"> [ACTIVITY] </t>
    </r>
    <r>
      <rPr>
        <sz val="10"/>
        <color rgb="FF0000FF"/>
        <rFont val="Courier New"/>
        <family val="3"/>
      </rPr>
      <t>float</t>
    </r>
    <r>
      <rPr>
        <sz val="10"/>
        <color rgb="FF808080"/>
        <rFont val="Courier New"/>
        <family val="3"/>
      </rPr>
      <t>,</t>
    </r>
    <r>
      <rPr>
        <sz val="10"/>
        <rFont val="Courier New"/>
        <family val="3"/>
      </rPr>
      <t xml:space="preserve"> [TOTAL_COST] </t>
    </r>
    <r>
      <rPr>
        <sz val="10"/>
        <color rgb="FF0000FF"/>
        <rFont val="Courier New"/>
        <family val="3"/>
      </rPr>
      <t>float</t>
    </r>
    <r>
      <rPr>
        <sz val="10"/>
        <color rgb="FF808080"/>
        <rFont val="Courier New"/>
        <family val="3"/>
      </rPr>
      <t>)</t>
    </r>
  </si>
  <si>
    <r>
      <t xml:space="preserve">  </t>
    </r>
    <r>
      <rPr>
        <sz val="10"/>
        <color rgb="FF0000FF"/>
        <rFont val="Courier New"/>
        <family val="3"/>
      </rPr>
      <t>INSERT</t>
    </r>
    <r>
      <rPr>
        <sz val="10"/>
        <rFont val="Courier New"/>
        <family val="3"/>
      </rPr>
      <t xml:space="preserve"> </t>
    </r>
    <r>
      <rPr>
        <sz val="10"/>
        <color rgb="FF0000FF"/>
        <rFont val="Courier New"/>
        <family val="3"/>
      </rPr>
      <t>INTO</t>
    </r>
    <r>
      <rPr>
        <sz val="10"/>
        <rFont val="Courier New"/>
        <family val="3"/>
      </rPr>
      <t xml:space="preserve"> #Filter_for_Scope</t>
    </r>
  </si>
  <si>
    <r>
      <t xml:space="preserve">  </t>
    </r>
    <r>
      <rPr>
        <sz val="10"/>
        <color rgb="FF0000FF"/>
        <rFont val="Courier New"/>
        <family val="3"/>
      </rPr>
      <t>SELECT</t>
    </r>
    <r>
      <rPr>
        <sz val="10"/>
        <rFont val="Courier New"/>
        <family val="3"/>
      </rPr>
      <t xml:space="preserve"> FK_ORGS_PROV_ID</t>
    </r>
    <r>
      <rPr>
        <sz val="10"/>
        <color rgb="FF808080"/>
        <rFont val="Courier New"/>
        <family val="3"/>
      </rPr>
      <t>,</t>
    </r>
    <r>
      <rPr>
        <sz val="10"/>
        <rFont val="Courier New"/>
        <family val="3"/>
      </rPr>
      <t xml:space="preserve"> [DEPARTMENT]</t>
    </r>
    <r>
      <rPr>
        <sz val="10"/>
        <color rgb="FF808080"/>
        <rFont val="Courier New"/>
        <family val="3"/>
      </rPr>
      <t>,</t>
    </r>
    <r>
      <rPr>
        <sz val="10"/>
        <rFont val="Courier New"/>
        <family val="3"/>
      </rPr>
      <t xml:space="preserve"> [SERVICE]</t>
    </r>
    <r>
      <rPr>
        <sz val="10"/>
        <color rgb="FF808080"/>
        <rFont val="Courier New"/>
        <family val="3"/>
      </rPr>
      <t>,</t>
    </r>
    <r>
      <rPr>
        <sz val="10"/>
        <rFont val="Courier New"/>
        <family val="3"/>
      </rPr>
      <t xml:space="preserve"> [CURRENCY]</t>
    </r>
    <r>
      <rPr>
        <sz val="10"/>
        <color rgb="FF808080"/>
        <rFont val="Courier New"/>
        <family val="3"/>
      </rPr>
      <t>,</t>
    </r>
    <r>
      <rPr>
        <sz val="10"/>
        <rFont val="Courier New"/>
        <family val="3"/>
      </rPr>
      <t xml:space="preserve"> UNIT_COST </t>
    </r>
    <r>
      <rPr>
        <sz val="10"/>
        <color rgb="FF0000FF"/>
        <rFont val="Courier New"/>
        <family val="3"/>
      </rPr>
      <t>as</t>
    </r>
    <r>
      <rPr>
        <sz val="10"/>
        <rFont val="Courier New"/>
        <family val="3"/>
      </rPr>
      <t xml:space="preserve"> UC</t>
    </r>
    <r>
      <rPr>
        <sz val="10"/>
        <color rgb="FF808080"/>
        <rFont val="Courier New"/>
        <family val="3"/>
      </rPr>
      <t>,</t>
    </r>
    <r>
      <rPr>
        <sz val="10"/>
        <rFont val="Courier New"/>
        <family val="3"/>
      </rPr>
      <t xml:space="preserve"> ACTIVITY_P1</t>
    </r>
    <r>
      <rPr>
        <sz val="10"/>
        <color rgb="FF808080"/>
        <rFont val="Courier New"/>
        <family val="3"/>
      </rPr>
      <t>,</t>
    </r>
    <r>
      <rPr>
        <sz val="10"/>
        <color rgb="FF0000FF"/>
        <rFont val="Courier New"/>
        <family val="3"/>
      </rPr>
      <t xml:space="preserve"> </t>
    </r>
    <r>
      <rPr>
        <sz val="10"/>
        <color rgb="FF808080"/>
        <rFont val="Courier New"/>
        <family val="3"/>
      </rPr>
      <t>(</t>
    </r>
    <r>
      <rPr>
        <sz val="10"/>
        <rFont val="Courier New"/>
        <family val="3"/>
      </rPr>
      <t xml:space="preserve">UNIT_COST </t>
    </r>
    <r>
      <rPr>
        <sz val="10"/>
        <color rgb="FF808080"/>
        <rFont val="Courier New"/>
        <family val="3"/>
      </rPr>
      <t>*</t>
    </r>
    <r>
      <rPr>
        <sz val="10"/>
        <rFont val="Courier New"/>
        <family val="3"/>
      </rPr>
      <t xml:space="preserve"> ACTIVITY_P1</t>
    </r>
    <r>
      <rPr>
        <sz val="10"/>
        <color rgb="FF808080"/>
        <rFont val="Courier New"/>
        <family val="3"/>
      </rPr>
      <t>)</t>
    </r>
    <r>
      <rPr>
        <sz val="10"/>
        <rFont val="Courier New"/>
        <family val="3"/>
      </rPr>
      <t xml:space="preserve"> </t>
    </r>
    <r>
      <rPr>
        <sz val="10"/>
        <color rgb="FF0000FF"/>
        <rFont val="Courier New"/>
        <family val="3"/>
      </rPr>
      <t>as</t>
    </r>
    <r>
      <rPr>
        <sz val="10"/>
        <rFont val="Courier New"/>
        <family val="3"/>
      </rPr>
      <t xml:space="preserve"> [TOTAL_COST]</t>
    </r>
  </si>
  <si>
    <r>
      <t xml:space="preserve">  </t>
    </r>
    <r>
      <rPr>
        <sz val="10"/>
        <color rgb="FF0000FF"/>
        <rFont val="Courier New"/>
        <family val="3"/>
      </rPr>
      <t xml:space="preserve">WHERE </t>
    </r>
    <r>
      <rPr>
        <sz val="10"/>
        <color rgb="FF808080"/>
        <rFont val="Courier New"/>
        <family val="3"/>
      </rPr>
      <t>(</t>
    </r>
    <r>
      <rPr>
        <sz val="10"/>
        <rFont val="Courier New"/>
        <family val="3"/>
      </rPr>
      <t>rcna</t>
    </r>
    <r>
      <rPr>
        <sz val="10"/>
        <color rgb="FF808080"/>
        <rFont val="Courier New"/>
        <family val="3"/>
      </rPr>
      <t>.</t>
    </r>
    <r>
      <rPr>
        <sz val="10"/>
        <rFont val="Courier New"/>
        <family val="3"/>
      </rPr>
      <t xml:space="preserve">DEPARTMENT </t>
    </r>
    <r>
      <rPr>
        <sz val="10"/>
        <color rgb="FF808080"/>
        <rFont val="Courier New"/>
        <family val="3"/>
      </rPr>
      <t>like</t>
    </r>
    <r>
      <rPr>
        <sz val="10"/>
        <rFont val="Courier New"/>
        <family val="3"/>
      </rPr>
      <t xml:space="preserve"> </t>
    </r>
    <r>
      <rPr>
        <sz val="10"/>
        <color rgb="FFFF0000"/>
        <rFont val="Courier New"/>
        <family val="3"/>
      </rPr>
      <t>'CHEM%'</t>
    </r>
    <r>
      <rPr>
        <sz val="10"/>
        <rFont val="Courier New"/>
        <family val="3"/>
      </rPr>
      <t xml:space="preserve"> </t>
    </r>
    <r>
      <rPr>
        <sz val="10"/>
        <color rgb="FF808080"/>
        <rFont val="Courier New"/>
        <family val="3"/>
      </rPr>
      <t>or</t>
    </r>
    <r>
      <rPr>
        <sz val="10"/>
        <rFont val="Courier New"/>
        <family val="3"/>
      </rPr>
      <t xml:space="preserve"> rcna</t>
    </r>
    <r>
      <rPr>
        <sz val="10"/>
        <color rgb="FF808080"/>
        <rFont val="Courier New"/>
        <family val="3"/>
      </rPr>
      <t>.</t>
    </r>
    <r>
      <rPr>
        <sz val="10"/>
        <rFont val="Courier New"/>
        <family val="3"/>
      </rPr>
      <t xml:space="preserve">DEPARTMENT </t>
    </r>
    <r>
      <rPr>
        <sz val="10"/>
        <color rgb="FF808080"/>
        <rFont val="Courier New"/>
        <family val="3"/>
      </rPr>
      <t>Like</t>
    </r>
    <r>
      <rPr>
        <sz val="10"/>
        <rFont val="Courier New"/>
        <family val="3"/>
      </rPr>
      <t xml:space="preserve"> </t>
    </r>
    <r>
      <rPr>
        <sz val="10"/>
        <color rgb="FFFF0000"/>
        <rFont val="Courier New"/>
        <family val="3"/>
      </rPr>
      <t>'RAD%'</t>
    </r>
    <r>
      <rPr>
        <sz val="10"/>
        <color rgb="FF808080"/>
        <rFont val="Courier New"/>
        <family val="3"/>
      </rPr>
      <t>)</t>
    </r>
  </si>
  <si>
    <r>
      <t>CREATE</t>
    </r>
    <r>
      <rPr>
        <sz val="10"/>
        <rFont val="Courier New"/>
        <family val="3"/>
      </rPr>
      <t xml:space="preserve"> </t>
    </r>
    <r>
      <rPr>
        <sz val="10"/>
        <color rgb="FF0000FF"/>
        <rFont val="Courier New"/>
        <family val="3"/>
      </rPr>
      <t>TABLE</t>
    </r>
    <r>
      <rPr>
        <sz val="10"/>
        <rFont val="Courier New"/>
        <family val="3"/>
      </rPr>
      <t xml:space="preserve"> #Remove_MFF</t>
    </r>
    <r>
      <rPr>
        <sz val="10"/>
        <color rgb="FF0000FF"/>
        <rFont val="Courier New"/>
        <family val="3"/>
      </rPr>
      <t xml:space="preserve"> </t>
    </r>
    <r>
      <rPr>
        <sz val="10"/>
        <color rgb="FF808080"/>
        <rFont val="Courier New"/>
        <family val="3"/>
      </rPr>
      <t>(</t>
    </r>
    <r>
      <rPr>
        <sz val="10"/>
        <rFont val="Courier New"/>
        <family val="3"/>
      </rPr>
      <t xml:space="preserve">[ORGCode] </t>
    </r>
    <r>
      <rPr>
        <sz val="10"/>
        <color rgb="FF0000FF"/>
        <rFont val="Courier New"/>
        <family val="3"/>
      </rPr>
      <t>Varchar</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 [DEPARTMENT] </t>
    </r>
    <r>
      <rPr>
        <sz val="10"/>
        <color rgb="FF0000FF"/>
        <rFont val="Courier New"/>
        <family val="3"/>
      </rPr>
      <t>varchar</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 [Service] </t>
    </r>
    <r>
      <rPr>
        <sz val="10"/>
        <color rgb="FF0000FF"/>
        <rFont val="Courier New"/>
        <family val="3"/>
      </rPr>
      <t>varchar</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 [CURRENCY] </t>
    </r>
    <r>
      <rPr>
        <sz val="10"/>
        <color rgb="FF0000FF"/>
        <rFont val="Courier New"/>
        <family val="3"/>
      </rPr>
      <t xml:space="preserve">varchar </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[UC] </t>
    </r>
    <r>
      <rPr>
        <sz val="10"/>
        <color rgb="FF0000FF"/>
        <rFont val="Courier New"/>
        <family val="3"/>
      </rPr>
      <t>float</t>
    </r>
    <r>
      <rPr>
        <sz val="10"/>
        <color rgb="FF808080"/>
        <rFont val="Courier New"/>
        <family val="3"/>
      </rPr>
      <t>,</t>
    </r>
    <r>
      <rPr>
        <sz val="10"/>
        <rFont val="Courier New"/>
        <family val="3"/>
      </rPr>
      <t xml:space="preserve"> [ACTIVITY] </t>
    </r>
    <r>
      <rPr>
        <sz val="10"/>
        <color rgb="FF0000FF"/>
        <rFont val="Courier New"/>
        <family val="3"/>
      </rPr>
      <t>float</t>
    </r>
    <r>
      <rPr>
        <sz val="10"/>
        <color rgb="FF808080"/>
        <rFont val="Courier New"/>
        <family val="3"/>
      </rPr>
      <t>,</t>
    </r>
    <r>
      <rPr>
        <sz val="10"/>
        <rFont val="Courier New"/>
        <family val="3"/>
      </rPr>
      <t xml:space="preserve"> [TOTAL_COST] </t>
    </r>
    <r>
      <rPr>
        <sz val="10"/>
        <color rgb="FF0000FF"/>
        <rFont val="Courier New"/>
        <family val="3"/>
      </rPr>
      <t>float</t>
    </r>
    <r>
      <rPr>
        <sz val="10"/>
        <color rgb="FF808080"/>
        <rFont val="Courier New"/>
        <family val="3"/>
      </rPr>
      <t>,</t>
    </r>
    <r>
      <rPr>
        <sz val="10"/>
        <rFont val="Courier New"/>
        <family val="3"/>
      </rPr>
      <t xml:space="preserve"> [UC (Target MFF)] </t>
    </r>
    <r>
      <rPr>
        <sz val="10"/>
        <color rgb="FF0000FF"/>
        <rFont val="Courier New"/>
        <family val="3"/>
      </rPr>
      <t>float</t>
    </r>
    <r>
      <rPr>
        <sz val="10"/>
        <color rgb="FF808080"/>
        <rFont val="Courier New"/>
        <family val="3"/>
      </rPr>
      <t>,</t>
    </r>
    <r>
      <rPr>
        <sz val="10"/>
        <rFont val="Courier New"/>
        <family val="3"/>
      </rPr>
      <t xml:space="preserve">[TC (Target MFF)] </t>
    </r>
    <r>
      <rPr>
        <sz val="10"/>
        <color rgb="FF0000FF"/>
        <rFont val="Courier New"/>
        <family val="3"/>
      </rPr>
      <t>float</t>
    </r>
    <r>
      <rPr>
        <sz val="10"/>
        <color rgb="FF808080"/>
        <rFont val="Courier New"/>
        <family val="3"/>
      </rPr>
      <t>,</t>
    </r>
    <r>
      <rPr>
        <sz val="10"/>
        <rFont val="Courier New"/>
        <family val="3"/>
      </rPr>
      <t xml:space="preserve">  [TC (Payment MFF)] </t>
    </r>
    <r>
      <rPr>
        <sz val="10"/>
        <color rgb="FF0000FF"/>
        <rFont val="Courier New"/>
        <family val="3"/>
      </rPr>
      <t>float</t>
    </r>
    <r>
      <rPr>
        <sz val="10"/>
        <color rgb="FF808080"/>
        <rFont val="Courier New"/>
        <family val="3"/>
      </rPr>
      <t>)</t>
    </r>
  </si>
  <si>
    <r>
      <t xml:space="preserve">  </t>
    </r>
    <r>
      <rPr>
        <sz val="10"/>
        <color rgb="FF0000FF"/>
        <rFont val="Courier New"/>
        <family val="3"/>
      </rPr>
      <t>INSERT</t>
    </r>
    <r>
      <rPr>
        <sz val="10"/>
        <rFont val="Courier New"/>
        <family val="3"/>
      </rPr>
      <t xml:space="preserve"> </t>
    </r>
    <r>
      <rPr>
        <sz val="10"/>
        <color rgb="FF0000FF"/>
        <rFont val="Courier New"/>
        <family val="3"/>
      </rPr>
      <t>INTO</t>
    </r>
    <r>
      <rPr>
        <sz val="10"/>
        <rFont val="Courier New"/>
        <family val="3"/>
      </rPr>
      <t xml:space="preserve"> #Remove_MFF</t>
    </r>
  </si>
  <si>
    <r>
      <t xml:space="preserve">  </t>
    </r>
    <r>
      <rPr>
        <sz val="10"/>
        <color rgb="FF0000FF"/>
        <rFont val="Courier New"/>
        <family val="3"/>
      </rPr>
      <t>SELECT</t>
    </r>
    <r>
      <rPr>
        <sz val="10"/>
        <rFont val="Courier New"/>
        <family val="3"/>
      </rPr>
      <t xml:space="preserve"> #Filter_for_Scope</t>
    </r>
    <r>
      <rPr>
        <sz val="10"/>
        <color rgb="FF808080"/>
        <rFont val="Courier New"/>
        <family val="3"/>
      </rPr>
      <t>.*,</t>
    </r>
    <r>
      <rPr>
        <sz val="10"/>
        <rFont val="Courier New"/>
        <family val="3"/>
      </rPr>
      <t xml:space="preserve"> [UC]</t>
    </r>
    <r>
      <rPr>
        <sz val="10"/>
        <color rgb="FF808080"/>
        <rFont val="Courier New"/>
        <family val="3"/>
      </rPr>
      <t>/</t>
    </r>
    <r>
      <rPr>
        <sz val="10"/>
        <rFont val="Courier New"/>
        <family val="3"/>
      </rPr>
      <t xml:space="preserve"> p</t>
    </r>
    <r>
      <rPr>
        <sz val="10"/>
        <color rgb="FF808080"/>
        <rFont val="Courier New"/>
        <family val="3"/>
      </rPr>
      <t>.</t>
    </r>
    <r>
      <rPr>
        <sz val="10"/>
        <rFont val="Courier New"/>
        <family val="3"/>
      </rPr>
      <t>[Target MFF]</t>
    </r>
    <r>
      <rPr>
        <sz val="10"/>
        <color rgb="FF808080"/>
        <rFont val="Courier New"/>
        <family val="3"/>
      </rPr>
      <t>,</t>
    </r>
    <r>
      <rPr>
        <sz val="10"/>
        <rFont val="Courier New"/>
        <family val="3"/>
      </rPr>
      <t xml:space="preserve"> [TOTAL_COST] </t>
    </r>
    <r>
      <rPr>
        <sz val="10"/>
        <color rgb="FF808080"/>
        <rFont val="Courier New"/>
        <family val="3"/>
      </rPr>
      <t>/</t>
    </r>
    <r>
      <rPr>
        <sz val="10"/>
        <rFont val="Courier New"/>
        <family val="3"/>
      </rPr>
      <t xml:space="preserve"> p</t>
    </r>
    <r>
      <rPr>
        <sz val="10"/>
        <color rgb="FF808080"/>
        <rFont val="Courier New"/>
        <family val="3"/>
      </rPr>
      <t>.</t>
    </r>
    <r>
      <rPr>
        <sz val="10"/>
        <rFont val="Courier New"/>
        <family val="3"/>
      </rPr>
      <t>[Target MFF]</t>
    </r>
    <r>
      <rPr>
        <sz val="10"/>
        <color rgb="FF808080"/>
        <rFont val="Courier New"/>
        <family val="3"/>
      </rPr>
      <t>,</t>
    </r>
    <r>
      <rPr>
        <sz val="10"/>
        <rFont val="Courier New"/>
        <family val="3"/>
      </rPr>
      <t xml:space="preserve"> [TOTAL_COST] </t>
    </r>
    <r>
      <rPr>
        <sz val="10"/>
        <color rgb="FF808080"/>
        <rFont val="Courier New"/>
        <family val="3"/>
      </rPr>
      <t>/</t>
    </r>
    <r>
      <rPr>
        <sz val="10"/>
        <rFont val="Courier New"/>
        <family val="3"/>
      </rPr>
      <t xml:space="preserve"> p</t>
    </r>
    <r>
      <rPr>
        <sz val="10"/>
        <color rgb="FF808080"/>
        <rFont val="Courier New"/>
        <family val="3"/>
      </rPr>
      <t>.</t>
    </r>
    <r>
      <rPr>
        <sz val="10"/>
        <rFont val="Courier New"/>
        <family val="3"/>
      </rPr>
      <t>[Capped MFF 2013/14]</t>
    </r>
  </si>
  <si>
    <r>
      <t xml:space="preserve"> </t>
    </r>
    <r>
      <rPr>
        <sz val="10"/>
        <color rgb="FF0000FF"/>
        <rFont val="Courier New"/>
        <family val="3"/>
      </rPr>
      <t>CREATE</t>
    </r>
    <r>
      <rPr>
        <sz val="10"/>
        <rFont val="Courier New"/>
        <family val="3"/>
      </rPr>
      <t xml:space="preserve"> </t>
    </r>
    <r>
      <rPr>
        <sz val="10"/>
        <color rgb="FF0000FF"/>
        <rFont val="Courier New"/>
        <family val="3"/>
      </rPr>
      <t>TABLE</t>
    </r>
    <r>
      <rPr>
        <sz val="10"/>
        <rFont val="Courier New"/>
        <family val="3"/>
      </rPr>
      <t xml:space="preserve"> #National_Average</t>
    </r>
    <r>
      <rPr>
        <sz val="10"/>
        <color rgb="FF0000FF"/>
        <rFont val="Courier New"/>
        <family val="3"/>
      </rPr>
      <t xml:space="preserve"> </t>
    </r>
    <r>
      <rPr>
        <sz val="10"/>
        <color rgb="FF808080"/>
        <rFont val="Courier New"/>
        <family val="3"/>
      </rPr>
      <t>(</t>
    </r>
    <r>
      <rPr>
        <sz val="10"/>
        <rFont val="Courier New"/>
        <family val="3"/>
      </rPr>
      <t xml:space="preserve">[DEPARTMENT] </t>
    </r>
    <r>
      <rPr>
        <sz val="10"/>
        <color rgb="FF0000FF"/>
        <rFont val="Courier New"/>
        <family val="3"/>
      </rPr>
      <t>varchar</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 [Service] </t>
    </r>
    <r>
      <rPr>
        <sz val="10"/>
        <color rgb="FF0000FF"/>
        <rFont val="Courier New"/>
        <family val="3"/>
      </rPr>
      <t>varchar</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 [CURRENCY] </t>
    </r>
    <r>
      <rPr>
        <sz val="10"/>
        <color rgb="FF0000FF"/>
        <rFont val="Courier New"/>
        <family val="3"/>
      </rPr>
      <t xml:space="preserve">varchar </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[NA] </t>
    </r>
    <r>
      <rPr>
        <sz val="10"/>
        <color rgb="FF0000FF"/>
        <rFont val="Courier New"/>
        <family val="3"/>
      </rPr>
      <t>float</t>
    </r>
    <r>
      <rPr>
        <sz val="10"/>
        <color rgb="FF808080"/>
        <rFont val="Courier New"/>
        <family val="3"/>
      </rPr>
      <t>)</t>
    </r>
  </si>
  <si>
    <r>
      <t xml:space="preserve">  </t>
    </r>
    <r>
      <rPr>
        <sz val="10"/>
        <color rgb="FF0000FF"/>
        <rFont val="Courier New"/>
        <family val="3"/>
      </rPr>
      <t>INSERT</t>
    </r>
    <r>
      <rPr>
        <sz val="10"/>
        <rFont val="Courier New"/>
        <family val="3"/>
      </rPr>
      <t xml:space="preserve"> </t>
    </r>
    <r>
      <rPr>
        <sz val="10"/>
        <color rgb="FF0000FF"/>
        <rFont val="Courier New"/>
        <family val="3"/>
      </rPr>
      <t>INTO</t>
    </r>
    <r>
      <rPr>
        <sz val="10"/>
        <rFont val="Courier New"/>
        <family val="3"/>
      </rPr>
      <t xml:space="preserve"> #National_Average</t>
    </r>
  </si>
  <si>
    <r>
      <t xml:space="preserve">  </t>
    </r>
    <r>
      <rPr>
        <sz val="10"/>
        <color rgb="FF0000FF"/>
        <rFont val="Courier New"/>
        <family val="3"/>
      </rPr>
      <t>SELECT</t>
    </r>
    <r>
      <rPr>
        <sz val="10"/>
        <rFont val="Courier New"/>
        <family val="3"/>
      </rPr>
      <t xml:space="preserve"> [DEPARTMENT]</t>
    </r>
    <r>
      <rPr>
        <sz val="10"/>
        <color rgb="FF808080"/>
        <rFont val="Courier New"/>
        <family val="3"/>
      </rPr>
      <t>,</t>
    </r>
    <r>
      <rPr>
        <sz val="10"/>
        <rFont val="Courier New"/>
        <family val="3"/>
      </rPr>
      <t xml:space="preserve"> [SERVICE]</t>
    </r>
    <r>
      <rPr>
        <sz val="10"/>
        <color rgb="FF808080"/>
        <rFont val="Courier New"/>
        <family val="3"/>
      </rPr>
      <t>,</t>
    </r>
    <r>
      <rPr>
        <sz val="10"/>
        <rFont val="Courier New"/>
        <family val="3"/>
      </rPr>
      <t xml:space="preserve"> [CURRENCY]</t>
    </r>
    <r>
      <rPr>
        <sz val="10"/>
        <color rgb="FF808080"/>
        <rFont val="Courier New"/>
        <family val="3"/>
      </rPr>
      <t>,</t>
    </r>
    <r>
      <rPr>
        <sz val="10"/>
        <rFont val="Courier New"/>
        <family val="3"/>
      </rPr>
      <t xml:space="preserve">  </t>
    </r>
    <r>
      <rPr>
        <sz val="10"/>
        <color rgb="FFFF00FF"/>
        <rFont val="Courier New"/>
        <family val="3"/>
      </rPr>
      <t>Sum</t>
    </r>
    <r>
      <rPr>
        <sz val="10"/>
        <color rgb="FF808080"/>
        <rFont val="Courier New"/>
        <family val="3"/>
      </rPr>
      <t>(</t>
    </r>
    <r>
      <rPr>
        <sz val="10"/>
        <rFont val="Courier New"/>
        <family val="3"/>
      </rPr>
      <t>[UC (Target MFF)]</t>
    </r>
    <r>
      <rPr>
        <sz val="10"/>
        <color rgb="FF808080"/>
        <rFont val="Courier New"/>
        <family val="3"/>
      </rPr>
      <t>*</t>
    </r>
    <r>
      <rPr>
        <sz val="10"/>
        <rFont val="Courier New"/>
        <family val="3"/>
      </rPr>
      <t>[ACTIVITY]</t>
    </r>
    <r>
      <rPr>
        <sz val="10"/>
        <color rgb="FF808080"/>
        <rFont val="Courier New"/>
        <family val="3"/>
      </rPr>
      <t>)/</t>
    </r>
    <r>
      <rPr>
        <sz val="10"/>
        <color rgb="FFFF00FF"/>
        <rFont val="Courier New"/>
        <family val="3"/>
      </rPr>
      <t>Sum</t>
    </r>
    <r>
      <rPr>
        <sz val="10"/>
        <color rgb="FF808080"/>
        <rFont val="Courier New"/>
        <family val="3"/>
      </rPr>
      <t>(</t>
    </r>
    <r>
      <rPr>
        <sz val="10"/>
        <rFont val="Courier New"/>
        <family val="3"/>
      </rPr>
      <t>[ACTIVITY]</t>
    </r>
    <r>
      <rPr>
        <sz val="10"/>
        <color rgb="FF808080"/>
        <rFont val="Courier New"/>
        <family val="3"/>
      </rPr>
      <t>)</t>
    </r>
    <r>
      <rPr>
        <sz val="10"/>
        <rFont val="Courier New"/>
        <family val="3"/>
      </rPr>
      <t xml:space="preserve"> </t>
    </r>
    <r>
      <rPr>
        <sz val="10"/>
        <color rgb="FF0000FF"/>
        <rFont val="Courier New"/>
        <family val="3"/>
      </rPr>
      <t>AS</t>
    </r>
    <r>
      <rPr>
        <sz val="10"/>
        <rFont val="Courier New"/>
        <family val="3"/>
      </rPr>
      <t xml:space="preserve"> NA</t>
    </r>
  </si>
  <si>
    <r>
      <t xml:space="preserve">  </t>
    </r>
    <r>
      <rPr>
        <sz val="10"/>
        <color rgb="FF0000FF"/>
        <rFont val="Courier New"/>
        <family val="3"/>
      </rPr>
      <t>FROM</t>
    </r>
    <r>
      <rPr>
        <sz val="10"/>
        <rFont val="Courier New"/>
        <family val="3"/>
      </rPr>
      <t xml:space="preserve"> #Remove_MFF  </t>
    </r>
  </si>
  <si>
    <r>
      <t xml:space="preserve">  </t>
    </r>
    <r>
      <rPr>
        <sz val="10"/>
        <color rgb="FF0000FF"/>
        <rFont val="Courier New"/>
        <family val="3"/>
      </rPr>
      <t>GROUP</t>
    </r>
    <r>
      <rPr>
        <sz val="10"/>
        <rFont val="Courier New"/>
        <family val="3"/>
      </rPr>
      <t xml:space="preserve"> </t>
    </r>
    <r>
      <rPr>
        <sz val="10"/>
        <color rgb="FF0000FF"/>
        <rFont val="Courier New"/>
        <family val="3"/>
      </rPr>
      <t>BY</t>
    </r>
    <r>
      <rPr>
        <sz val="10"/>
        <rFont val="Courier New"/>
        <family val="3"/>
      </rPr>
      <t xml:space="preserve"> [DEPARTMENT]</t>
    </r>
    <r>
      <rPr>
        <sz val="10"/>
        <color rgb="FF808080"/>
        <rFont val="Courier New"/>
        <family val="3"/>
      </rPr>
      <t>,</t>
    </r>
    <r>
      <rPr>
        <sz val="10"/>
        <rFont val="Courier New"/>
        <family val="3"/>
      </rPr>
      <t xml:space="preserve"> [SERVICE]</t>
    </r>
    <r>
      <rPr>
        <sz val="10"/>
        <color rgb="FF808080"/>
        <rFont val="Courier New"/>
        <family val="3"/>
      </rPr>
      <t>,</t>
    </r>
    <r>
      <rPr>
        <sz val="10"/>
        <rFont val="Courier New"/>
        <family val="3"/>
      </rPr>
      <t xml:space="preserve"> [CURRENCY]</t>
    </r>
  </si>
  <si>
    <r>
      <t>CREATE</t>
    </r>
    <r>
      <rPr>
        <sz val="10"/>
        <rFont val="Courier New"/>
        <family val="3"/>
      </rPr>
      <t xml:space="preserve"> </t>
    </r>
    <r>
      <rPr>
        <sz val="10"/>
        <color rgb="FF0000FF"/>
        <rFont val="Courier New"/>
        <family val="3"/>
      </rPr>
      <t>TABLE</t>
    </r>
    <r>
      <rPr>
        <sz val="10"/>
        <rFont val="Courier New"/>
        <family val="3"/>
      </rPr>
      <t xml:space="preserve"> #Clean_Data</t>
    </r>
    <r>
      <rPr>
        <sz val="10"/>
        <color rgb="FF0000FF"/>
        <rFont val="Courier New"/>
        <family val="3"/>
      </rPr>
      <t xml:space="preserve"> </t>
    </r>
    <r>
      <rPr>
        <sz val="10"/>
        <color rgb="FF808080"/>
        <rFont val="Courier New"/>
        <family val="3"/>
      </rPr>
      <t>(</t>
    </r>
    <r>
      <rPr>
        <sz val="10"/>
        <rFont val="Courier New"/>
        <family val="3"/>
      </rPr>
      <t xml:space="preserve">[ORGCode] </t>
    </r>
    <r>
      <rPr>
        <sz val="10"/>
        <color rgb="FF0000FF"/>
        <rFont val="Courier New"/>
        <family val="3"/>
      </rPr>
      <t>Varchar</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 [DEPARTMENT] </t>
    </r>
    <r>
      <rPr>
        <sz val="10"/>
        <color rgb="FF0000FF"/>
        <rFont val="Courier New"/>
        <family val="3"/>
      </rPr>
      <t>varchar</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 [Service] </t>
    </r>
    <r>
      <rPr>
        <sz val="10"/>
        <color rgb="FF0000FF"/>
        <rFont val="Courier New"/>
        <family val="3"/>
      </rPr>
      <t>varchar</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 [CURRENCY] </t>
    </r>
    <r>
      <rPr>
        <sz val="10"/>
        <color rgb="FF0000FF"/>
        <rFont val="Courier New"/>
        <family val="3"/>
      </rPr>
      <t xml:space="preserve">varchar </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[UC] </t>
    </r>
    <r>
      <rPr>
        <sz val="10"/>
        <color rgb="FF0000FF"/>
        <rFont val="Courier New"/>
        <family val="3"/>
      </rPr>
      <t>float</t>
    </r>
    <r>
      <rPr>
        <sz val="10"/>
        <color rgb="FF808080"/>
        <rFont val="Courier New"/>
        <family val="3"/>
      </rPr>
      <t>,</t>
    </r>
    <r>
      <rPr>
        <sz val="10"/>
        <rFont val="Courier New"/>
        <family val="3"/>
      </rPr>
      <t xml:space="preserve"> [ACTIVITY] </t>
    </r>
    <r>
      <rPr>
        <sz val="10"/>
        <color rgb="FF0000FF"/>
        <rFont val="Courier New"/>
        <family val="3"/>
      </rPr>
      <t>float</t>
    </r>
    <r>
      <rPr>
        <sz val="10"/>
        <color rgb="FF808080"/>
        <rFont val="Courier New"/>
        <family val="3"/>
      </rPr>
      <t>,</t>
    </r>
    <r>
      <rPr>
        <sz val="10"/>
        <rFont val="Courier New"/>
        <family val="3"/>
      </rPr>
      <t xml:space="preserve"> [TOTAL_COST] </t>
    </r>
    <r>
      <rPr>
        <sz val="10"/>
        <color rgb="FF0000FF"/>
        <rFont val="Courier New"/>
        <family val="3"/>
      </rPr>
      <t>float</t>
    </r>
    <r>
      <rPr>
        <sz val="10"/>
        <color rgb="FF808080"/>
        <rFont val="Courier New"/>
        <family val="3"/>
      </rPr>
      <t>,</t>
    </r>
    <r>
      <rPr>
        <sz val="10"/>
        <rFont val="Courier New"/>
        <family val="3"/>
      </rPr>
      <t xml:space="preserve"> [UC (Target MFF)] </t>
    </r>
    <r>
      <rPr>
        <sz val="10"/>
        <color rgb="FF0000FF"/>
        <rFont val="Courier New"/>
        <family val="3"/>
      </rPr>
      <t>float</t>
    </r>
    <r>
      <rPr>
        <sz val="10"/>
        <color rgb="FF808080"/>
        <rFont val="Courier New"/>
        <family val="3"/>
      </rPr>
      <t>,</t>
    </r>
    <r>
      <rPr>
        <sz val="10"/>
        <rFont val="Courier New"/>
        <family val="3"/>
      </rPr>
      <t xml:space="preserve"> [TC (Target MFF)] </t>
    </r>
    <r>
      <rPr>
        <sz val="10"/>
        <color rgb="FF0000FF"/>
        <rFont val="Courier New"/>
        <family val="3"/>
      </rPr>
      <t>float</t>
    </r>
    <r>
      <rPr>
        <sz val="10"/>
        <color rgb="FF808080"/>
        <rFont val="Courier New"/>
        <family val="3"/>
      </rPr>
      <t>,</t>
    </r>
    <r>
      <rPr>
        <sz val="10"/>
        <rFont val="Courier New"/>
        <family val="3"/>
      </rPr>
      <t xml:space="preserve">  [TC (Payment MFF)] </t>
    </r>
    <r>
      <rPr>
        <sz val="10"/>
        <color rgb="FF0000FF"/>
        <rFont val="Courier New"/>
        <family val="3"/>
      </rPr>
      <t>float</t>
    </r>
    <r>
      <rPr>
        <sz val="10"/>
        <color rgb="FF808080"/>
        <rFont val="Courier New"/>
        <family val="3"/>
      </rPr>
      <t>,</t>
    </r>
    <r>
      <rPr>
        <sz val="10"/>
        <rFont val="Courier New"/>
        <family val="3"/>
      </rPr>
      <t xml:space="preserve"> [anomaly] </t>
    </r>
    <r>
      <rPr>
        <sz val="10"/>
        <color rgb="FF0000FF"/>
        <rFont val="Courier New"/>
        <family val="3"/>
      </rPr>
      <t>int</t>
    </r>
    <r>
      <rPr>
        <sz val="10"/>
        <color rgb="FF808080"/>
        <rFont val="Courier New"/>
        <family val="3"/>
      </rPr>
      <t>)</t>
    </r>
  </si>
  <si>
    <r>
      <t>Insert</t>
    </r>
    <r>
      <rPr>
        <sz val="10"/>
        <rFont val="Courier New"/>
        <family val="3"/>
      </rPr>
      <t xml:space="preserve"> </t>
    </r>
    <r>
      <rPr>
        <sz val="10"/>
        <color rgb="FF0000FF"/>
        <rFont val="Courier New"/>
        <family val="3"/>
      </rPr>
      <t>INTO</t>
    </r>
    <r>
      <rPr>
        <sz val="10"/>
        <rFont val="Courier New"/>
        <family val="3"/>
      </rPr>
      <t xml:space="preserve"> #Clean_Data</t>
    </r>
  </si>
  <si>
    <r>
      <t>SELECT</t>
    </r>
    <r>
      <rPr>
        <sz val="10"/>
        <rFont val="Courier New"/>
        <family val="3"/>
      </rPr>
      <t xml:space="preserve"> </t>
    </r>
  </si>
  <si>
    <r>
      <t>#Remove_MFF</t>
    </r>
    <r>
      <rPr>
        <sz val="10"/>
        <color rgb="FF808080"/>
        <rFont val="Courier New"/>
        <family val="3"/>
      </rPr>
      <t>.*</t>
    </r>
    <r>
      <rPr>
        <sz val="10"/>
        <rFont val="Courier New"/>
        <family val="3"/>
      </rPr>
      <t xml:space="preserve"> </t>
    </r>
    <r>
      <rPr>
        <sz val="10"/>
        <color rgb="FF808080"/>
        <rFont val="Courier New"/>
        <family val="3"/>
      </rPr>
      <t>,</t>
    </r>
  </si>
  <si>
    <r>
      <t xml:space="preserve"> [anomaly] </t>
    </r>
    <r>
      <rPr>
        <sz val="10"/>
        <color rgb="FF808080"/>
        <rFont val="Courier New"/>
        <family val="3"/>
      </rPr>
      <t>=</t>
    </r>
    <r>
      <rPr>
        <sz val="10"/>
        <rFont val="Courier New"/>
        <family val="3"/>
      </rPr>
      <t xml:space="preserve"> </t>
    </r>
    <r>
      <rPr>
        <sz val="10"/>
        <color rgb="FF0000FF"/>
        <rFont val="Courier New"/>
        <family val="3"/>
      </rPr>
      <t>CASE</t>
    </r>
    <r>
      <rPr>
        <sz val="10"/>
        <rFont val="Courier New"/>
        <family val="3"/>
      </rPr>
      <t xml:space="preserve"> </t>
    </r>
    <r>
      <rPr>
        <sz val="10"/>
        <color rgb="FF0000FF"/>
        <rFont val="Courier New"/>
        <family val="3"/>
      </rPr>
      <t>WHEN</t>
    </r>
    <r>
      <rPr>
        <sz val="10"/>
        <rFont val="Courier New"/>
        <family val="3"/>
      </rPr>
      <t xml:space="preserve">  [UC (Target MFF)]</t>
    </r>
    <r>
      <rPr>
        <sz val="10"/>
        <color rgb="FF808080"/>
        <rFont val="Courier New"/>
        <family val="3"/>
      </rPr>
      <t>/</t>
    </r>
    <r>
      <rPr>
        <sz val="10"/>
        <rFont val="Courier New"/>
        <family val="3"/>
      </rPr>
      <t>[NA]</t>
    </r>
    <r>
      <rPr>
        <sz val="10"/>
        <color rgb="FF808080"/>
        <rFont val="Courier New"/>
        <family val="3"/>
      </rPr>
      <t>&lt;</t>
    </r>
    <r>
      <rPr>
        <sz val="10"/>
        <rFont val="Courier New"/>
        <family val="3"/>
      </rPr>
      <t xml:space="preserve">0.05 </t>
    </r>
    <r>
      <rPr>
        <sz val="10"/>
        <color rgb="FF808080"/>
        <rFont val="Courier New"/>
        <family val="3"/>
      </rPr>
      <t>OR</t>
    </r>
    <r>
      <rPr>
        <sz val="10"/>
        <rFont val="Courier New"/>
        <family val="3"/>
      </rPr>
      <t xml:space="preserve"> [UC (Target MFF)]</t>
    </r>
    <r>
      <rPr>
        <sz val="10"/>
        <color rgb="FF808080"/>
        <rFont val="Courier New"/>
        <family val="3"/>
      </rPr>
      <t>/</t>
    </r>
    <r>
      <rPr>
        <sz val="10"/>
        <rFont val="Courier New"/>
        <family val="3"/>
      </rPr>
      <t>[NA]</t>
    </r>
    <r>
      <rPr>
        <sz val="10"/>
        <color rgb="FF808080"/>
        <rFont val="Courier New"/>
        <family val="3"/>
      </rPr>
      <t>&gt;</t>
    </r>
    <r>
      <rPr>
        <sz val="10"/>
        <rFont val="Courier New"/>
        <family val="3"/>
      </rPr>
      <t>20</t>
    </r>
  </si>
  <si>
    <r>
      <t>THEN</t>
    </r>
    <r>
      <rPr>
        <sz val="10"/>
        <rFont val="Courier New"/>
        <family val="3"/>
      </rPr>
      <t xml:space="preserve"> 1 </t>
    </r>
    <r>
      <rPr>
        <sz val="10"/>
        <color rgb="FF0000FF"/>
        <rFont val="Courier New"/>
        <family val="3"/>
      </rPr>
      <t>ELSE</t>
    </r>
    <r>
      <rPr>
        <sz val="10"/>
        <rFont val="Courier New"/>
        <family val="3"/>
      </rPr>
      <t xml:space="preserve"> 0 </t>
    </r>
    <r>
      <rPr>
        <sz val="10"/>
        <color rgb="FF0000FF"/>
        <rFont val="Courier New"/>
        <family val="3"/>
      </rPr>
      <t>END</t>
    </r>
  </si>
  <si>
    <r>
      <t xml:space="preserve"> </t>
    </r>
    <r>
      <rPr>
        <sz val="10"/>
        <color rgb="FF0000FF"/>
        <rFont val="Courier New"/>
        <family val="3"/>
      </rPr>
      <t>FROM</t>
    </r>
    <r>
      <rPr>
        <sz val="10"/>
        <rFont val="Courier New"/>
        <family val="3"/>
      </rPr>
      <t xml:space="preserve"> #Remove_MFF </t>
    </r>
    <r>
      <rPr>
        <sz val="10"/>
        <color rgb="FF808080"/>
        <rFont val="Courier New"/>
        <family val="3"/>
      </rPr>
      <t>INNER</t>
    </r>
    <r>
      <rPr>
        <sz val="10"/>
        <rFont val="Courier New"/>
        <family val="3"/>
      </rPr>
      <t xml:space="preserve"> </t>
    </r>
    <r>
      <rPr>
        <sz val="10"/>
        <color rgb="FF808080"/>
        <rFont val="Courier New"/>
        <family val="3"/>
      </rPr>
      <t>JOIN</t>
    </r>
    <r>
      <rPr>
        <sz val="10"/>
        <rFont val="Courier New"/>
        <family val="3"/>
      </rPr>
      <t xml:space="preserve"> #National_Average </t>
    </r>
    <r>
      <rPr>
        <sz val="10"/>
        <color rgb="FF0000FF"/>
        <rFont val="Courier New"/>
        <family val="3"/>
      </rPr>
      <t>ON</t>
    </r>
    <r>
      <rPr>
        <sz val="10"/>
        <rFont val="Courier New"/>
        <family val="3"/>
      </rPr>
      <t xml:space="preserve"> </t>
    </r>
  </si>
  <si>
    <r>
      <t>#Remove_MFF</t>
    </r>
    <r>
      <rPr>
        <sz val="10"/>
        <color rgb="FF808080"/>
        <rFont val="Courier New"/>
        <family val="3"/>
      </rPr>
      <t>.</t>
    </r>
    <r>
      <rPr>
        <sz val="10"/>
        <rFont val="Courier New"/>
        <family val="3"/>
      </rPr>
      <t xml:space="preserve">CURRENCY </t>
    </r>
    <r>
      <rPr>
        <sz val="10"/>
        <color rgb="FF808080"/>
        <rFont val="Courier New"/>
        <family val="3"/>
      </rPr>
      <t>=</t>
    </r>
    <r>
      <rPr>
        <sz val="10"/>
        <rFont val="Courier New"/>
        <family val="3"/>
      </rPr>
      <t xml:space="preserve"> #National_Average</t>
    </r>
    <r>
      <rPr>
        <sz val="10"/>
        <color rgb="FF808080"/>
        <rFont val="Courier New"/>
        <family val="3"/>
      </rPr>
      <t>.</t>
    </r>
    <r>
      <rPr>
        <sz val="10"/>
        <rFont val="Courier New"/>
        <family val="3"/>
      </rPr>
      <t xml:space="preserve">CURRENCY </t>
    </r>
    <r>
      <rPr>
        <sz val="10"/>
        <color rgb="FF808080"/>
        <rFont val="Courier New"/>
        <family val="3"/>
      </rPr>
      <t>AND</t>
    </r>
    <r>
      <rPr>
        <sz val="10"/>
        <rFont val="Courier New"/>
        <family val="3"/>
      </rPr>
      <t xml:space="preserve"> </t>
    </r>
  </si>
  <si>
    <r>
      <t>#Remove_MFF</t>
    </r>
    <r>
      <rPr>
        <sz val="10"/>
        <color rgb="FF808080"/>
        <rFont val="Courier New"/>
        <family val="3"/>
      </rPr>
      <t>.</t>
    </r>
    <r>
      <rPr>
        <sz val="10"/>
        <rFont val="Courier New"/>
        <family val="3"/>
      </rPr>
      <t xml:space="preserve">DEPARTMENT </t>
    </r>
    <r>
      <rPr>
        <sz val="10"/>
        <color rgb="FF808080"/>
        <rFont val="Courier New"/>
        <family val="3"/>
      </rPr>
      <t>=</t>
    </r>
    <r>
      <rPr>
        <sz val="10"/>
        <rFont val="Courier New"/>
        <family val="3"/>
      </rPr>
      <t xml:space="preserve"> #National_Average</t>
    </r>
    <r>
      <rPr>
        <sz val="10"/>
        <color rgb="FF808080"/>
        <rFont val="Courier New"/>
        <family val="3"/>
      </rPr>
      <t>.</t>
    </r>
    <r>
      <rPr>
        <sz val="10"/>
        <rFont val="Courier New"/>
        <family val="3"/>
      </rPr>
      <t xml:space="preserve">DEPARTMENT </t>
    </r>
    <r>
      <rPr>
        <sz val="10"/>
        <color rgb="FF808080"/>
        <rFont val="Courier New"/>
        <family val="3"/>
      </rPr>
      <t>AND</t>
    </r>
  </si>
  <si>
    <r>
      <t>#Remove_MFF</t>
    </r>
    <r>
      <rPr>
        <sz val="10"/>
        <color rgb="FF808080"/>
        <rFont val="Courier New"/>
        <family val="3"/>
      </rPr>
      <t>.</t>
    </r>
    <r>
      <rPr>
        <sz val="10"/>
        <rFont val="Courier New"/>
        <family val="3"/>
      </rPr>
      <t xml:space="preserve">[Service] </t>
    </r>
    <r>
      <rPr>
        <sz val="10"/>
        <color rgb="FF808080"/>
        <rFont val="Courier New"/>
        <family val="3"/>
      </rPr>
      <t>=</t>
    </r>
    <r>
      <rPr>
        <sz val="10"/>
        <rFont val="Courier New"/>
        <family val="3"/>
      </rPr>
      <t xml:space="preserve"> #National_Average</t>
    </r>
    <r>
      <rPr>
        <sz val="10"/>
        <color rgb="FF808080"/>
        <rFont val="Courier New"/>
        <family val="3"/>
      </rPr>
      <t>.</t>
    </r>
    <r>
      <rPr>
        <sz val="10"/>
        <rFont val="Courier New"/>
        <family val="3"/>
      </rPr>
      <t>[Service]</t>
    </r>
  </si>
  <si>
    <r>
      <t>WHERE</t>
    </r>
    <r>
      <rPr>
        <sz val="10"/>
        <rFont val="Courier New"/>
        <family val="3"/>
      </rPr>
      <t xml:space="preserve"> </t>
    </r>
  </si>
  <si>
    <r>
      <t>(</t>
    </r>
    <r>
      <rPr>
        <sz val="10"/>
        <color rgb="FF0000FF"/>
        <rFont val="Courier New"/>
        <family val="3"/>
      </rPr>
      <t>CASE</t>
    </r>
    <r>
      <rPr>
        <sz val="10"/>
        <rFont val="Courier New"/>
        <family val="3"/>
      </rPr>
      <t xml:space="preserve"> </t>
    </r>
    <r>
      <rPr>
        <sz val="10"/>
        <color rgb="FF0000FF"/>
        <rFont val="Courier New"/>
        <family val="3"/>
      </rPr>
      <t>WHEN</t>
    </r>
    <r>
      <rPr>
        <sz val="10"/>
        <rFont val="Courier New"/>
        <family val="3"/>
      </rPr>
      <t xml:space="preserve">  [UC (Target MFF)]</t>
    </r>
    <r>
      <rPr>
        <sz val="10"/>
        <color rgb="FF808080"/>
        <rFont val="Courier New"/>
        <family val="3"/>
      </rPr>
      <t>/</t>
    </r>
    <r>
      <rPr>
        <sz val="10"/>
        <rFont val="Courier New"/>
        <family val="3"/>
      </rPr>
      <t>[NA]</t>
    </r>
    <r>
      <rPr>
        <sz val="10"/>
        <color rgb="FF808080"/>
        <rFont val="Courier New"/>
        <family val="3"/>
      </rPr>
      <t>&lt;</t>
    </r>
    <r>
      <rPr>
        <sz val="10"/>
        <rFont val="Courier New"/>
        <family val="3"/>
      </rPr>
      <t xml:space="preserve">0.05 </t>
    </r>
    <r>
      <rPr>
        <sz val="10"/>
        <color rgb="FF808080"/>
        <rFont val="Courier New"/>
        <family val="3"/>
      </rPr>
      <t>OR</t>
    </r>
    <r>
      <rPr>
        <sz val="10"/>
        <rFont val="Courier New"/>
        <family val="3"/>
      </rPr>
      <t xml:space="preserve"> [UC (Target MFF)]</t>
    </r>
    <r>
      <rPr>
        <sz val="10"/>
        <color rgb="FF808080"/>
        <rFont val="Courier New"/>
        <family val="3"/>
      </rPr>
      <t>/</t>
    </r>
    <r>
      <rPr>
        <sz val="10"/>
        <rFont val="Courier New"/>
        <family val="3"/>
      </rPr>
      <t>[NA]</t>
    </r>
    <r>
      <rPr>
        <sz val="10"/>
        <color rgb="FF808080"/>
        <rFont val="Courier New"/>
        <family val="3"/>
      </rPr>
      <t>&gt;</t>
    </r>
    <r>
      <rPr>
        <sz val="10"/>
        <rFont val="Courier New"/>
        <family val="3"/>
      </rPr>
      <t>20</t>
    </r>
  </si>
  <si>
    <r>
      <t xml:space="preserve"> </t>
    </r>
    <r>
      <rPr>
        <sz val="10"/>
        <color rgb="FF0000FF"/>
        <rFont val="Courier New"/>
        <family val="3"/>
      </rPr>
      <t>THEN</t>
    </r>
    <r>
      <rPr>
        <sz val="10"/>
        <rFont val="Courier New"/>
        <family val="3"/>
      </rPr>
      <t xml:space="preserve"> 1 </t>
    </r>
    <r>
      <rPr>
        <sz val="10"/>
        <color rgb="FF0000FF"/>
        <rFont val="Courier New"/>
        <family val="3"/>
      </rPr>
      <t>ELSE</t>
    </r>
    <r>
      <rPr>
        <sz val="10"/>
        <rFont val="Courier New"/>
        <family val="3"/>
      </rPr>
      <t xml:space="preserve"> 0 </t>
    </r>
    <r>
      <rPr>
        <sz val="10"/>
        <color rgb="FF0000FF"/>
        <rFont val="Courier New"/>
        <family val="3"/>
      </rPr>
      <t>END</t>
    </r>
    <r>
      <rPr>
        <sz val="10"/>
        <color rgb="FF808080"/>
        <rFont val="Courier New"/>
        <family val="3"/>
      </rPr>
      <t>)</t>
    </r>
    <r>
      <rPr>
        <sz val="10"/>
        <rFont val="Courier New"/>
        <family val="3"/>
      </rPr>
      <t xml:space="preserve"> </t>
    </r>
    <r>
      <rPr>
        <sz val="10"/>
        <color rgb="FF808080"/>
        <rFont val="Courier New"/>
        <family val="3"/>
      </rPr>
      <t>=</t>
    </r>
    <r>
      <rPr>
        <sz val="10"/>
        <rFont val="Courier New"/>
        <family val="3"/>
      </rPr>
      <t xml:space="preserve"> 0 </t>
    </r>
    <r>
      <rPr>
        <sz val="10"/>
        <color rgb="FF808080"/>
        <rFont val="Courier New"/>
        <family val="3"/>
      </rPr>
      <t>and</t>
    </r>
    <r>
      <rPr>
        <sz val="10"/>
        <rFont val="Courier New"/>
        <family val="3"/>
      </rPr>
      <t xml:space="preserve"> [NA] </t>
    </r>
    <r>
      <rPr>
        <sz val="10"/>
        <color rgb="FF808080"/>
        <rFont val="Courier New"/>
        <family val="3"/>
      </rPr>
      <t>&lt;&gt;</t>
    </r>
    <r>
      <rPr>
        <sz val="10"/>
        <rFont val="Courier New"/>
        <family val="3"/>
      </rPr>
      <t xml:space="preserve"> 0</t>
    </r>
  </si>
  <si>
    <r>
      <t xml:space="preserve">    </t>
    </r>
    <r>
      <rPr>
        <sz val="10"/>
        <color rgb="FF0000FF"/>
        <rFont val="Courier New"/>
        <family val="3"/>
      </rPr>
      <t>CREATE</t>
    </r>
    <r>
      <rPr>
        <sz val="10"/>
        <rFont val="Courier New"/>
        <family val="3"/>
      </rPr>
      <t xml:space="preserve"> </t>
    </r>
    <r>
      <rPr>
        <sz val="10"/>
        <color rgb="FF0000FF"/>
        <rFont val="Courier New"/>
        <family val="3"/>
      </rPr>
      <t>TABLE</t>
    </r>
    <r>
      <rPr>
        <sz val="10"/>
        <rFont val="Courier New"/>
        <family val="3"/>
      </rPr>
      <t xml:space="preserve"> #NATIONAL_DATA_CLEAN</t>
    </r>
    <r>
      <rPr>
        <sz val="10"/>
        <color rgb="FF0000FF"/>
        <rFont val="Courier New"/>
        <family val="3"/>
      </rPr>
      <t xml:space="preserve"> </t>
    </r>
    <r>
      <rPr>
        <sz val="10"/>
        <color rgb="FF808080"/>
        <rFont val="Courier New"/>
        <family val="3"/>
      </rPr>
      <t>(</t>
    </r>
    <r>
      <rPr>
        <sz val="10"/>
        <rFont val="Courier New"/>
        <family val="3"/>
      </rPr>
      <t xml:space="preserve">[DEPARTMENT] </t>
    </r>
    <r>
      <rPr>
        <sz val="10"/>
        <color rgb="FF0000FF"/>
        <rFont val="Courier New"/>
        <family val="3"/>
      </rPr>
      <t>varchar</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 [Service] </t>
    </r>
    <r>
      <rPr>
        <sz val="10"/>
        <color rgb="FF0000FF"/>
        <rFont val="Courier New"/>
        <family val="3"/>
      </rPr>
      <t>varchar</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 [CURRENCY] </t>
    </r>
    <r>
      <rPr>
        <sz val="10"/>
        <color rgb="FF0000FF"/>
        <rFont val="Courier New"/>
        <family val="3"/>
      </rPr>
      <t xml:space="preserve">varchar </t>
    </r>
    <r>
      <rPr>
        <sz val="10"/>
        <color rgb="FF808080"/>
        <rFont val="Courier New"/>
        <family val="3"/>
      </rPr>
      <t>(</t>
    </r>
    <r>
      <rPr>
        <sz val="10"/>
        <rFont val="Courier New"/>
        <family val="3"/>
      </rPr>
      <t>100</t>
    </r>
    <r>
      <rPr>
        <sz val="10"/>
        <color rgb="FF808080"/>
        <rFont val="Courier New"/>
        <family val="3"/>
      </rPr>
      <t>),</t>
    </r>
  </si>
  <si>
    <r>
      <t xml:space="preserve">[TOTAL_ACTIVITY] </t>
    </r>
    <r>
      <rPr>
        <sz val="10"/>
        <color rgb="FF0000FF"/>
        <rFont val="Courier New"/>
        <family val="3"/>
      </rPr>
      <t>float</t>
    </r>
    <r>
      <rPr>
        <sz val="10"/>
        <color rgb="FF808080"/>
        <rFont val="Courier New"/>
        <family val="3"/>
      </rPr>
      <t>,</t>
    </r>
    <r>
      <rPr>
        <sz val="10"/>
        <rFont val="Courier New"/>
        <family val="3"/>
      </rPr>
      <t xml:space="preserve"> [TOTAL_COST] </t>
    </r>
    <r>
      <rPr>
        <sz val="10"/>
        <color rgb="FF0000FF"/>
        <rFont val="Courier New"/>
        <family val="3"/>
      </rPr>
      <t>float</t>
    </r>
    <r>
      <rPr>
        <sz val="10"/>
        <color rgb="FF808080"/>
        <rFont val="Courier New"/>
        <family val="3"/>
      </rPr>
      <t>,</t>
    </r>
    <r>
      <rPr>
        <sz val="10"/>
        <rFont val="Courier New"/>
        <family val="3"/>
      </rPr>
      <t xml:space="preserve"> [HRG UC (Target MFF)] </t>
    </r>
    <r>
      <rPr>
        <sz val="10"/>
        <color rgb="FF0000FF"/>
        <rFont val="Courier New"/>
        <family val="3"/>
      </rPr>
      <t>float</t>
    </r>
    <r>
      <rPr>
        <sz val="10"/>
        <color rgb="FF808080"/>
        <rFont val="Courier New"/>
        <family val="3"/>
      </rPr>
      <t>)</t>
    </r>
  </si>
  <si>
    <r>
      <t xml:space="preserve">    </t>
    </r>
    <r>
      <rPr>
        <sz val="10"/>
        <color rgb="FF0000FF"/>
        <rFont val="Courier New"/>
        <family val="3"/>
      </rPr>
      <t>Insert</t>
    </r>
    <r>
      <rPr>
        <sz val="10"/>
        <rFont val="Courier New"/>
        <family val="3"/>
      </rPr>
      <t xml:space="preserve"> </t>
    </r>
    <r>
      <rPr>
        <sz val="10"/>
        <color rgb="FF0000FF"/>
        <rFont val="Courier New"/>
        <family val="3"/>
      </rPr>
      <t>INTO</t>
    </r>
    <r>
      <rPr>
        <sz val="10"/>
        <rFont val="Courier New"/>
        <family val="3"/>
      </rPr>
      <t xml:space="preserve"> #NATIONAL_DATA_CLEAN</t>
    </r>
  </si>
  <si>
    <r>
      <t xml:space="preserve">    </t>
    </r>
    <r>
      <rPr>
        <sz val="10"/>
        <color rgb="FF0000FF"/>
        <rFont val="Courier New"/>
        <family val="3"/>
      </rPr>
      <t>SELECT</t>
    </r>
    <r>
      <rPr>
        <sz val="10"/>
        <rFont val="Courier New"/>
        <family val="3"/>
      </rPr>
      <t xml:space="preserve"> </t>
    </r>
  </si>
  <si>
    <r>
      <t>(</t>
    </r>
    <r>
      <rPr>
        <sz val="10"/>
        <color rgb="FF0000FF"/>
        <rFont val="Courier New"/>
        <family val="3"/>
      </rPr>
      <t>CASE</t>
    </r>
    <r>
      <rPr>
        <sz val="10"/>
        <rFont val="Courier New"/>
        <family val="3"/>
      </rPr>
      <t xml:space="preserve"> </t>
    </r>
    <r>
      <rPr>
        <sz val="10"/>
        <color rgb="FF0000FF"/>
        <rFont val="Courier New"/>
        <family val="3"/>
      </rPr>
      <t>WHEN</t>
    </r>
    <r>
      <rPr>
        <sz val="10"/>
        <rFont val="Courier New"/>
        <family val="3"/>
      </rPr>
      <t xml:space="preserve"> [DEPARTMENT] </t>
    </r>
    <r>
      <rPr>
        <sz val="10"/>
        <color rgb="FF808080"/>
        <rFont val="Courier New"/>
        <family val="3"/>
      </rPr>
      <t>Like</t>
    </r>
    <r>
      <rPr>
        <sz val="10"/>
        <rFont val="Courier New"/>
        <family val="3"/>
      </rPr>
      <t xml:space="preserve"> </t>
    </r>
    <r>
      <rPr>
        <sz val="10"/>
        <color rgb="FFFF0000"/>
        <rFont val="Courier New"/>
        <family val="3"/>
      </rPr>
      <t>'CHEM%'</t>
    </r>
    <r>
      <rPr>
        <sz val="10"/>
        <rFont val="Courier New"/>
        <family val="3"/>
      </rPr>
      <t xml:space="preserve"> </t>
    </r>
    <r>
      <rPr>
        <sz val="10"/>
        <color rgb="FF0000FF"/>
        <rFont val="Courier New"/>
        <family val="3"/>
      </rPr>
      <t>then</t>
    </r>
    <r>
      <rPr>
        <sz val="10"/>
        <rFont val="Courier New"/>
        <family val="3"/>
      </rPr>
      <t xml:space="preserve"> </t>
    </r>
    <r>
      <rPr>
        <sz val="10"/>
        <color rgb="FFFF0000"/>
        <rFont val="Courier New"/>
        <family val="3"/>
      </rPr>
      <t>'CHEMTHPY'</t>
    </r>
    <r>
      <rPr>
        <sz val="10"/>
        <rFont val="Courier New"/>
        <family val="3"/>
      </rPr>
      <t xml:space="preserve"> </t>
    </r>
    <r>
      <rPr>
        <sz val="10"/>
        <color rgb="FF0000FF"/>
        <rFont val="Courier New"/>
        <family val="3"/>
      </rPr>
      <t>ELSE</t>
    </r>
    <r>
      <rPr>
        <sz val="10"/>
        <rFont val="Courier New"/>
        <family val="3"/>
      </rPr>
      <t xml:space="preserve"> </t>
    </r>
    <r>
      <rPr>
        <sz val="10"/>
        <color rgb="FFFF0000"/>
        <rFont val="Courier New"/>
        <family val="3"/>
      </rPr>
      <t>'RADTHPY'</t>
    </r>
    <r>
      <rPr>
        <sz val="10"/>
        <rFont val="Courier New"/>
        <family val="3"/>
      </rPr>
      <t xml:space="preserve"> </t>
    </r>
    <r>
      <rPr>
        <sz val="10"/>
        <color rgb="FF0000FF"/>
        <rFont val="Courier New"/>
        <family val="3"/>
      </rPr>
      <t>END</t>
    </r>
    <r>
      <rPr>
        <sz val="10"/>
        <color rgb="FF808080"/>
        <rFont val="Courier New"/>
        <family val="3"/>
      </rPr>
      <t>)</t>
    </r>
    <r>
      <rPr>
        <sz val="10"/>
        <rFont val="Courier New"/>
        <family val="3"/>
      </rPr>
      <t xml:space="preserve"> </t>
    </r>
    <r>
      <rPr>
        <sz val="10"/>
        <color rgb="FF0000FF"/>
        <rFont val="Courier New"/>
        <family val="3"/>
      </rPr>
      <t>AS</t>
    </r>
    <r>
      <rPr>
        <sz val="10"/>
        <rFont val="Courier New"/>
        <family val="3"/>
      </rPr>
      <t xml:space="preserve"> DEPARTMENT</t>
    </r>
    <r>
      <rPr>
        <sz val="10"/>
        <color rgb="FF808080"/>
        <rFont val="Courier New"/>
        <family val="3"/>
      </rPr>
      <t>,</t>
    </r>
  </si>
  <si>
    <r>
      <t xml:space="preserve">        [comb_service] </t>
    </r>
    <r>
      <rPr>
        <sz val="10"/>
        <color rgb="FF808080"/>
        <rFont val="Courier New"/>
        <family val="3"/>
      </rPr>
      <t>=</t>
    </r>
    <r>
      <rPr>
        <sz val="10"/>
        <rFont val="Courier New"/>
        <family val="3"/>
      </rPr>
      <t xml:space="preserve"> </t>
    </r>
    <r>
      <rPr>
        <sz val="10"/>
        <color rgb="FF0000FF"/>
        <rFont val="Courier New"/>
        <family val="3"/>
      </rPr>
      <t>CASE</t>
    </r>
    <r>
      <rPr>
        <sz val="10"/>
        <rFont val="Courier New"/>
        <family val="3"/>
      </rPr>
      <t xml:space="preserve"> </t>
    </r>
    <r>
      <rPr>
        <sz val="10"/>
        <color rgb="FF0000FF"/>
        <rFont val="Courier New"/>
        <family val="3"/>
      </rPr>
      <t>WHEN</t>
    </r>
    <r>
      <rPr>
        <sz val="10"/>
        <rFont val="Courier New"/>
        <family val="3"/>
      </rPr>
      <t xml:space="preserve"> [Service] </t>
    </r>
    <r>
      <rPr>
        <sz val="10"/>
        <color rgb="FF808080"/>
        <rFont val="Courier New"/>
        <family val="3"/>
      </rPr>
      <t>Like</t>
    </r>
    <r>
      <rPr>
        <sz val="10"/>
        <rFont val="Courier New"/>
        <family val="3"/>
      </rPr>
      <t xml:space="preserve"> </t>
    </r>
    <r>
      <rPr>
        <sz val="10"/>
        <color rgb="FFFF0000"/>
        <rFont val="Courier New"/>
        <family val="3"/>
      </rPr>
      <t>'DA'</t>
    </r>
    <r>
      <rPr>
        <sz val="10"/>
        <rFont val="Courier New"/>
        <family val="3"/>
      </rPr>
      <t xml:space="preserve"> </t>
    </r>
    <r>
      <rPr>
        <sz val="10"/>
        <color rgb="FF0000FF"/>
        <rFont val="Courier New"/>
        <family val="3"/>
      </rPr>
      <t>then</t>
    </r>
    <r>
      <rPr>
        <sz val="10"/>
        <rFont val="Courier New"/>
        <family val="3"/>
      </rPr>
      <t xml:space="preserve"> </t>
    </r>
    <r>
      <rPr>
        <sz val="10"/>
        <color rgb="FFFF0000"/>
        <rFont val="Courier New"/>
        <family val="3"/>
      </rPr>
      <t>'OP/DA'</t>
    </r>
    <r>
      <rPr>
        <sz val="10"/>
        <rFont val="Courier New"/>
        <family val="3"/>
      </rPr>
      <t xml:space="preserve"> </t>
    </r>
    <r>
      <rPr>
        <sz val="10"/>
        <color rgb="FF0000FF"/>
        <rFont val="Courier New"/>
        <family val="3"/>
      </rPr>
      <t>ELSE</t>
    </r>
    <r>
      <rPr>
        <sz val="10"/>
        <rFont val="Courier New"/>
        <family val="3"/>
      </rPr>
      <t xml:space="preserve"> </t>
    </r>
    <r>
      <rPr>
        <sz val="10"/>
        <color rgb="FFFF0000"/>
        <rFont val="Courier New"/>
        <family val="3"/>
      </rPr>
      <t>'OP/DA'</t>
    </r>
    <r>
      <rPr>
        <sz val="10"/>
        <rFont val="Courier New"/>
        <family val="3"/>
      </rPr>
      <t xml:space="preserve"> </t>
    </r>
    <r>
      <rPr>
        <sz val="10"/>
        <color rgb="FF0000FF"/>
        <rFont val="Courier New"/>
        <family val="3"/>
      </rPr>
      <t>END</t>
    </r>
    <r>
      <rPr>
        <sz val="10"/>
        <color rgb="FF808080"/>
        <rFont val="Courier New"/>
        <family val="3"/>
      </rPr>
      <t>,</t>
    </r>
  </si>
  <si>
    <r>
      <t xml:space="preserve">       </t>
    </r>
    <r>
      <rPr>
        <sz val="10"/>
        <color rgb="FFFF00FF"/>
        <rFont val="Courier New"/>
        <family val="3"/>
      </rPr>
      <t>SUM</t>
    </r>
    <r>
      <rPr>
        <sz val="10"/>
        <color rgb="FF808080"/>
        <rFont val="Courier New"/>
        <family val="3"/>
      </rPr>
      <t>(</t>
    </r>
    <r>
      <rPr>
        <sz val="10"/>
        <rFont val="Courier New"/>
        <family val="3"/>
      </rPr>
      <t>[ACTIVITY]</t>
    </r>
    <r>
      <rPr>
        <sz val="10"/>
        <color rgb="FF808080"/>
        <rFont val="Courier New"/>
        <family val="3"/>
      </rPr>
      <t>)</t>
    </r>
    <r>
      <rPr>
        <sz val="10"/>
        <rFont val="Courier New"/>
        <family val="3"/>
      </rPr>
      <t xml:space="preserve"> </t>
    </r>
    <r>
      <rPr>
        <sz val="10"/>
        <color rgb="FF0000FF"/>
        <rFont val="Courier New"/>
        <family val="3"/>
      </rPr>
      <t>as</t>
    </r>
    <r>
      <rPr>
        <sz val="10"/>
        <rFont val="Courier New"/>
        <family val="3"/>
      </rPr>
      <t xml:space="preserve"> </t>
    </r>
    <r>
      <rPr>
        <sz val="10"/>
        <color rgb="FFFF0000"/>
        <rFont val="Courier New"/>
        <family val="3"/>
      </rPr>
      <t>'Total Activity'</t>
    </r>
    <r>
      <rPr>
        <sz val="10"/>
        <color rgb="FF808080"/>
        <rFont val="Courier New"/>
        <family val="3"/>
      </rPr>
      <t>,</t>
    </r>
    <r>
      <rPr>
        <sz val="10"/>
        <rFont val="Courier New"/>
        <family val="3"/>
      </rPr>
      <t xml:space="preserve"> </t>
    </r>
    <r>
      <rPr>
        <sz val="10"/>
        <color rgb="FFFF00FF"/>
        <rFont val="Courier New"/>
        <family val="3"/>
      </rPr>
      <t>Sum</t>
    </r>
    <r>
      <rPr>
        <sz val="10"/>
        <color rgb="FF808080"/>
        <rFont val="Courier New"/>
        <family val="3"/>
      </rPr>
      <t>(</t>
    </r>
    <r>
      <rPr>
        <sz val="10"/>
        <rFont val="Courier New"/>
        <family val="3"/>
      </rPr>
      <t>[UC (Target MFF)]</t>
    </r>
    <r>
      <rPr>
        <sz val="10"/>
        <color rgb="FF808080"/>
        <rFont val="Courier New"/>
        <family val="3"/>
      </rPr>
      <t>*</t>
    </r>
    <r>
      <rPr>
        <sz val="10"/>
        <rFont val="Courier New"/>
        <family val="3"/>
      </rPr>
      <t>[ACTIVITY]</t>
    </r>
    <r>
      <rPr>
        <sz val="10"/>
        <color rgb="FF808080"/>
        <rFont val="Courier New"/>
        <family val="3"/>
      </rPr>
      <t>)</t>
    </r>
    <r>
      <rPr>
        <sz val="10"/>
        <rFont val="Courier New"/>
        <family val="3"/>
      </rPr>
      <t xml:space="preserve"> </t>
    </r>
    <r>
      <rPr>
        <sz val="10"/>
        <color rgb="FF0000FF"/>
        <rFont val="Courier New"/>
        <family val="3"/>
      </rPr>
      <t>as</t>
    </r>
    <r>
      <rPr>
        <sz val="10"/>
        <rFont val="Courier New"/>
        <family val="3"/>
      </rPr>
      <t xml:space="preserve"> </t>
    </r>
    <r>
      <rPr>
        <sz val="10"/>
        <color rgb="FFFF0000"/>
        <rFont val="Courier New"/>
        <family val="3"/>
      </rPr>
      <t>'TOTAL COST'</t>
    </r>
    <r>
      <rPr>
        <sz val="10"/>
        <color rgb="FF808080"/>
        <rFont val="Courier New"/>
        <family val="3"/>
      </rPr>
      <t>,</t>
    </r>
    <r>
      <rPr>
        <sz val="10"/>
        <rFont val="Courier New"/>
        <family val="3"/>
      </rPr>
      <t xml:space="preserve">  </t>
    </r>
  </si>
  <si>
    <r>
      <t xml:space="preserve">       </t>
    </r>
    <r>
      <rPr>
        <sz val="10"/>
        <color rgb="FFFF00FF"/>
        <rFont val="Courier New"/>
        <family val="3"/>
      </rPr>
      <t>Sum</t>
    </r>
    <r>
      <rPr>
        <sz val="10"/>
        <color rgb="FF808080"/>
        <rFont val="Courier New"/>
        <family val="3"/>
      </rPr>
      <t>(</t>
    </r>
    <r>
      <rPr>
        <sz val="10"/>
        <rFont val="Courier New"/>
        <family val="3"/>
      </rPr>
      <t>[UC (Target MFF)]</t>
    </r>
    <r>
      <rPr>
        <sz val="10"/>
        <color rgb="FF808080"/>
        <rFont val="Courier New"/>
        <family val="3"/>
      </rPr>
      <t>*</t>
    </r>
    <r>
      <rPr>
        <sz val="10"/>
        <rFont val="Courier New"/>
        <family val="3"/>
      </rPr>
      <t>[ACTIVITY]</t>
    </r>
    <r>
      <rPr>
        <sz val="10"/>
        <color rgb="FF808080"/>
        <rFont val="Courier New"/>
        <family val="3"/>
      </rPr>
      <t>)/</t>
    </r>
    <r>
      <rPr>
        <sz val="10"/>
        <color rgb="FFFF00FF"/>
        <rFont val="Courier New"/>
        <family val="3"/>
      </rPr>
      <t>Sum</t>
    </r>
    <r>
      <rPr>
        <sz val="10"/>
        <color rgb="FF808080"/>
        <rFont val="Courier New"/>
        <family val="3"/>
      </rPr>
      <t>(</t>
    </r>
    <r>
      <rPr>
        <sz val="10"/>
        <rFont val="Courier New"/>
        <family val="3"/>
      </rPr>
      <t>[ACTIVITY]</t>
    </r>
    <r>
      <rPr>
        <sz val="10"/>
        <color rgb="FF808080"/>
        <rFont val="Courier New"/>
        <family val="3"/>
      </rPr>
      <t>)</t>
    </r>
    <r>
      <rPr>
        <sz val="10"/>
        <rFont val="Courier New"/>
        <family val="3"/>
      </rPr>
      <t xml:space="preserve"> </t>
    </r>
    <r>
      <rPr>
        <sz val="10"/>
        <color rgb="FF0000FF"/>
        <rFont val="Courier New"/>
        <family val="3"/>
      </rPr>
      <t>AS</t>
    </r>
    <r>
      <rPr>
        <sz val="10"/>
        <rFont val="Courier New"/>
        <family val="3"/>
      </rPr>
      <t xml:space="preserve"> </t>
    </r>
    <r>
      <rPr>
        <sz val="10"/>
        <color rgb="FFFF0000"/>
        <rFont val="Courier New"/>
        <family val="3"/>
      </rPr>
      <t>'[HRG UC (Target MFF)]'</t>
    </r>
  </si>
  <si>
    <r>
      <t>FROM</t>
    </r>
    <r>
      <rPr>
        <sz val="10"/>
        <rFont val="Courier New"/>
        <family val="3"/>
      </rPr>
      <t xml:space="preserve"> #Clean_Data</t>
    </r>
  </si>
  <si>
    <r>
      <t xml:space="preserve">    </t>
    </r>
    <r>
      <rPr>
        <sz val="10"/>
        <color rgb="FF0000FF"/>
        <rFont val="Courier New"/>
        <family val="3"/>
      </rPr>
      <t>GROUP</t>
    </r>
    <r>
      <rPr>
        <sz val="10"/>
        <rFont val="Courier New"/>
        <family val="3"/>
      </rPr>
      <t xml:space="preserve"> </t>
    </r>
    <r>
      <rPr>
        <sz val="10"/>
        <color rgb="FF0000FF"/>
        <rFont val="Courier New"/>
        <family val="3"/>
      </rPr>
      <t>BY</t>
    </r>
    <r>
      <rPr>
        <sz val="10"/>
        <rFont val="Courier New"/>
        <family val="3"/>
      </rPr>
      <t xml:space="preserve"> </t>
    </r>
  </si>
  <si>
    <r>
      <t>(</t>
    </r>
    <r>
      <rPr>
        <sz val="10"/>
        <color rgb="FF0000FF"/>
        <rFont val="Courier New"/>
        <family val="3"/>
      </rPr>
      <t>CASE</t>
    </r>
    <r>
      <rPr>
        <sz val="10"/>
        <rFont val="Courier New"/>
        <family val="3"/>
      </rPr>
      <t xml:space="preserve"> </t>
    </r>
    <r>
      <rPr>
        <sz val="10"/>
        <color rgb="FF0000FF"/>
        <rFont val="Courier New"/>
        <family val="3"/>
      </rPr>
      <t>WHEN</t>
    </r>
    <r>
      <rPr>
        <sz val="10"/>
        <rFont val="Courier New"/>
        <family val="3"/>
      </rPr>
      <t xml:space="preserve"> [DEPARTMENT] </t>
    </r>
    <r>
      <rPr>
        <sz val="10"/>
        <color rgb="FF808080"/>
        <rFont val="Courier New"/>
        <family val="3"/>
      </rPr>
      <t>Like</t>
    </r>
    <r>
      <rPr>
        <sz val="10"/>
        <rFont val="Courier New"/>
        <family val="3"/>
      </rPr>
      <t xml:space="preserve"> </t>
    </r>
    <r>
      <rPr>
        <sz val="10"/>
        <color rgb="FFFF0000"/>
        <rFont val="Courier New"/>
        <family val="3"/>
      </rPr>
      <t>'CHEM%'</t>
    </r>
    <r>
      <rPr>
        <sz val="10"/>
        <rFont val="Courier New"/>
        <family val="3"/>
      </rPr>
      <t xml:space="preserve"> </t>
    </r>
    <r>
      <rPr>
        <sz val="10"/>
        <color rgb="FF0000FF"/>
        <rFont val="Courier New"/>
        <family val="3"/>
      </rPr>
      <t>then</t>
    </r>
    <r>
      <rPr>
        <sz val="10"/>
        <rFont val="Courier New"/>
        <family val="3"/>
      </rPr>
      <t xml:space="preserve"> </t>
    </r>
    <r>
      <rPr>
        <sz val="10"/>
        <color rgb="FFFF0000"/>
        <rFont val="Courier New"/>
        <family val="3"/>
      </rPr>
      <t>'CHEMTHPY'</t>
    </r>
    <r>
      <rPr>
        <sz val="10"/>
        <rFont val="Courier New"/>
        <family val="3"/>
      </rPr>
      <t xml:space="preserve"> </t>
    </r>
    <r>
      <rPr>
        <sz val="10"/>
        <color rgb="FF0000FF"/>
        <rFont val="Courier New"/>
        <family val="3"/>
      </rPr>
      <t>ELSE</t>
    </r>
    <r>
      <rPr>
        <sz val="10"/>
        <rFont val="Courier New"/>
        <family val="3"/>
      </rPr>
      <t xml:space="preserve"> </t>
    </r>
    <r>
      <rPr>
        <sz val="10"/>
        <color rgb="FFFF0000"/>
        <rFont val="Courier New"/>
        <family val="3"/>
      </rPr>
      <t>'RADTHPY'</t>
    </r>
    <r>
      <rPr>
        <sz val="10"/>
        <rFont val="Courier New"/>
        <family val="3"/>
      </rPr>
      <t xml:space="preserve"> </t>
    </r>
    <r>
      <rPr>
        <sz val="10"/>
        <color rgb="FF0000FF"/>
        <rFont val="Courier New"/>
        <family val="3"/>
      </rPr>
      <t>END</t>
    </r>
    <r>
      <rPr>
        <sz val="10"/>
        <color rgb="FF808080"/>
        <rFont val="Courier New"/>
        <family val="3"/>
      </rPr>
      <t>),</t>
    </r>
  </si>
  <si>
    <r>
      <t>(</t>
    </r>
    <r>
      <rPr>
        <sz val="10"/>
        <color rgb="FF0000FF"/>
        <rFont val="Courier New"/>
        <family val="3"/>
      </rPr>
      <t>CASE</t>
    </r>
    <r>
      <rPr>
        <sz val="10"/>
        <rFont val="Courier New"/>
        <family val="3"/>
      </rPr>
      <t xml:space="preserve"> </t>
    </r>
    <r>
      <rPr>
        <sz val="10"/>
        <color rgb="FF0000FF"/>
        <rFont val="Courier New"/>
        <family val="3"/>
      </rPr>
      <t>WHEN</t>
    </r>
    <r>
      <rPr>
        <sz val="10"/>
        <rFont val="Courier New"/>
        <family val="3"/>
      </rPr>
      <t xml:space="preserve"> [Service] </t>
    </r>
    <r>
      <rPr>
        <sz val="10"/>
        <color rgb="FF808080"/>
        <rFont val="Courier New"/>
        <family val="3"/>
      </rPr>
      <t>Like</t>
    </r>
    <r>
      <rPr>
        <sz val="10"/>
        <rFont val="Courier New"/>
        <family val="3"/>
      </rPr>
      <t xml:space="preserve"> </t>
    </r>
    <r>
      <rPr>
        <sz val="10"/>
        <color rgb="FFFF0000"/>
        <rFont val="Courier New"/>
        <family val="3"/>
      </rPr>
      <t>'DA'</t>
    </r>
    <r>
      <rPr>
        <sz val="10"/>
        <rFont val="Courier New"/>
        <family val="3"/>
      </rPr>
      <t xml:space="preserve"> </t>
    </r>
    <r>
      <rPr>
        <sz val="10"/>
        <color rgb="FF0000FF"/>
        <rFont val="Courier New"/>
        <family val="3"/>
      </rPr>
      <t>then</t>
    </r>
    <r>
      <rPr>
        <sz val="10"/>
        <rFont val="Courier New"/>
        <family val="3"/>
      </rPr>
      <t xml:space="preserve"> </t>
    </r>
    <r>
      <rPr>
        <sz val="10"/>
        <color rgb="FFFF0000"/>
        <rFont val="Courier New"/>
        <family val="3"/>
      </rPr>
      <t>'OP/DA'</t>
    </r>
    <r>
      <rPr>
        <sz val="10"/>
        <rFont val="Courier New"/>
        <family val="3"/>
      </rPr>
      <t xml:space="preserve"> </t>
    </r>
    <r>
      <rPr>
        <sz val="10"/>
        <color rgb="FF0000FF"/>
        <rFont val="Courier New"/>
        <family val="3"/>
      </rPr>
      <t>ELSE</t>
    </r>
    <r>
      <rPr>
        <sz val="10"/>
        <rFont val="Courier New"/>
        <family val="3"/>
      </rPr>
      <t xml:space="preserve"> </t>
    </r>
    <r>
      <rPr>
        <sz val="10"/>
        <color rgb="FFFF0000"/>
        <rFont val="Courier New"/>
        <family val="3"/>
      </rPr>
      <t>'OP/DA'</t>
    </r>
    <r>
      <rPr>
        <sz val="10"/>
        <rFont val="Courier New"/>
        <family val="3"/>
      </rPr>
      <t xml:space="preserve"> </t>
    </r>
    <r>
      <rPr>
        <sz val="10"/>
        <color rgb="FF0000FF"/>
        <rFont val="Courier New"/>
        <family val="3"/>
      </rPr>
      <t>END</t>
    </r>
    <r>
      <rPr>
        <sz val="10"/>
        <color rgb="FF808080"/>
        <rFont val="Courier New"/>
        <family val="3"/>
      </rPr>
      <t>),</t>
    </r>
    <r>
      <rPr>
        <sz val="10"/>
        <rFont val="Courier New"/>
        <family val="3"/>
      </rPr>
      <t xml:space="preserve"> </t>
    </r>
  </si>
  <si>
    <r>
      <t xml:space="preserve"> </t>
    </r>
    <r>
      <rPr>
        <sz val="10"/>
        <color rgb="FF0000FF"/>
        <rFont val="Courier New"/>
        <family val="3"/>
      </rPr>
      <t>CREATE</t>
    </r>
    <r>
      <rPr>
        <sz val="10"/>
        <rFont val="Courier New"/>
        <family val="3"/>
      </rPr>
      <t xml:space="preserve"> </t>
    </r>
    <r>
      <rPr>
        <sz val="10"/>
        <color rgb="FF0000FF"/>
        <rFont val="Courier New"/>
        <family val="3"/>
      </rPr>
      <t>TABLE</t>
    </r>
    <r>
      <rPr>
        <sz val="10"/>
        <rFont val="Courier New"/>
        <family val="3"/>
      </rPr>
      <t xml:space="preserve"> #MFF_IMPACT</t>
    </r>
    <r>
      <rPr>
        <sz val="10"/>
        <color rgb="FF0000FF"/>
        <rFont val="Courier New"/>
        <family val="3"/>
      </rPr>
      <t xml:space="preserve"> </t>
    </r>
    <r>
      <rPr>
        <sz val="10"/>
        <color rgb="FF808080"/>
        <rFont val="Courier New"/>
        <family val="3"/>
      </rPr>
      <t>(</t>
    </r>
    <r>
      <rPr>
        <sz val="10"/>
        <rFont val="Courier New"/>
        <family val="3"/>
      </rPr>
      <t xml:space="preserve">[INC MFF] </t>
    </r>
    <r>
      <rPr>
        <sz val="10"/>
        <color rgb="FF0000FF"/>
        <rFont val="Courier New"/>
        <family val="3"/>
      </rPr>
      <t>float</t>
    </r>
    <r>
      <rPr>
        <sz val="10"/>
        <color rgb="FF808080"/>
        <rFont val="Courier New"/>
        <family val="3"/>
      </rPr>
      <t>,</t>
    </r>
    <r>
      <rPr>
        <sz val="10"/>
        <rFont val="Courier New"/>
        <family val="3"/>
      </rPr>
      <t xml:space="preserve"> [EXEC MFF] </t>
    </r>
    <r>
      <rPr>
        <sz val="10"/>
        <color rgb="FF0000FF"/>
        <rFont val="Courier New"/>
        <family val="3"/>
      </rPr>
      <t>float</t>
    </r>
    <r>
      <rPr>
        <sz val="10"/>
        <color rgb="FF808080"/>
        <rFont val="Courier New"/>
        <family val="3"/>
      </rPr>
      <t>,</t>
    </r>
    <r>
      <rPr>
        <sz val="10"/>
        <rFont val="Courier New"/>
        <family val="3"/>
      </rPr>
      <t xml:space="preserve"> [NA MFF ADJ] </t>
    </r>
    <r>
      <rPr>
        <sz val="10"/>
        <color rgb="FF0000FF"/>
        <rFont val="Courier New"/>
        <family val="3"/>
      </rPr>
      <t>float</t>
    </r>
    <r>
      <rPr>
        <sz val="10"/>
        <color rgb="FF808080"/>
        <rFont val="Courier New"/>
        <family val="3"/>
      </rPr>
      <t>)</t>
    </r>
  </si>
  <si>
    <r>
      <t xml:space="preserve">    </t>
    </r>
    <r>
      <rPr>
        <sz val="10"/>
        <color rgb="FF0000FF"/>
        <rFont val="Courier New"/>
        <family val="3"/>
      </rPr>
      <t>INSERT</t>
    </r>
    <r>
      <rPr>
        <sz val="10"/>
        <rFont val="Courier New"/>
        <family val="3"/>
      </rPr>
      <t xml:space="preserve"> </t>
    </r>
    <r>
      <rPr>
        <sz val="10"/>
        <color rgb="FF0000FF"/>
        <rFont val="Courier New"/>
        <family val="3"/>
      </rPr>
      <t>INTO</t>
    </r>
    <r>
      <rPr>
        <sz val="10"/>
        <rFont val="Courier New"/>
        <family val="3"/>
      </rPr>
      <t xml:space="preserve"> #MFF_IMPACT</t>
    </r>
  </si>
  <si>
    <r>
      <t>SELECT</t>
    </r>
    <r>
      <rPr>
        <sz val="10"/>
        <rFont val="Courier New"/>
        <family val="3"/>
      </rP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rFont val="Courier New"/>
        <family val="3"/>
      </rPr>
      <t>[TOTAL_COST]</t>
    </r>
    <r>
      <rPr>
        <sz val="10"/>
        <color rgb="FF808080"/>
        <rFont val="Courier New"/>
        <family val="3"/>
      </rPr>
      <t>)</t>
    </r>
    <r>
      <rPr>
        <sz val="10"/>
        <rFont val="Courier New"/>
        <family val="3"/>
      </rPr>
      <t xml:space="preserve"> </t>
    </r>
    <r>
      <rPr>
        <sz val="10"/>
        <color rgb="FF0000FF"/>
        <rFont val="Courier New"/>
        <family val="3"/>
      </rPr>
      <t>as</t>
    </r>
    <r>
      <rPr>
        <sz val="10"/>
        <rFont val="Courier New"/>
        <family val="3"/>
      </rPr>
      <t xml:space="preserve"> [INC MFF]</t>
    </r>
    <r>
      <rPr>
        <sz val="10"/>
        <color rgb="FF808080"/>
        <rFont val="Courier New"/>
        <family val="3"/>
      </rPr>
      <t>,</t>
    </r>
    <r>
      <rPr>
        <sz val="10"/>
        <rFont val="Courier New"/>
        <family val="3"/>
      </rP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rFont val="Courier New"/>
        <family val="3"/>
      </rPr>
      <t>[TC (Target MFF)]</t>
    </r>
    <r>
      <rPr>
        <sz val="10"/>
        <color rgb="FF808080"/>
        <rFont val="Courier New"/>
        <family val="3"/>
      </rPr>
      <t>)</t>
    </r>
    <r>
      <rPr>
        <sz val="10"/>
        <rFont val="Courier New"/>
        <family val="3"/>
      </rPr>
      <t xml:space="preserve"> </t>
    </r>
    <r>
      <rPr>
        <sz val="10"/>
        <color rgb="FF0000FF"/>
        <rFont val="Courier New"/>
        <family val="3"/>
      </rPr>
      <t>as</t>
    </r>
    <r>
      <rPr>
        <sz val="10"/>
        <rFont val="Courier New"/>
        <family val="3"/>
      </rPr>
      <t xml:space="preserve"> [EXEC MFF]</t>
    </r>
    <r>
      <rPr>
        <sz val="10"/>
        <color rgb="FF808080"/>
        <rFont val="Courier New"/>
        <family val="3"/>
      </rPr>
      <t>,</t>
    </r>
    <r>
      <rPr>
        <sz val="10"/>
        <rFont val="Courier New"/>
        <family val="3"/>
      </rP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rFont val="Courier New"/>
        <family val="3"/>
      </rPr>
      <t>[TOTAL_COST]</t>
    </r>
    <r>
      <rPr>
        <sz val="10"/>
        <color rgb="FF808080"/>
        <rFont val="Courier New"/>
        <family val="3"/>
      </rPr>
      <t>)</t>
    </r>
    <r>
      <rPr>
        <sz val="10"/>
        <rFont val="Courier New"/>
        <family val="3"/>
      </rPr>
      <t xml:space="preserve"> </t>
    </r>
    <r>
      <rPr>
        <sz val="10"/>
        <color rgb="FF808080"/>
        <rFont val="Courier New"/>
        <family val="3"/>
      </rPr>
      <t>/</t>
    </r>
    <r>
      <rPr>
        <sz val="10"/>
        <rFont val="Courier New"/>
        <family val="3"/>
      </rP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rFont val="Courier New"/>
        <family val="3"/>
      </rPr>
      <t>[TC (Target MFF)]</t>
    </r>
    <r>
      <rPr>
        <sz val="10"/>
        <color rgb="FF808080"/>
        <rFont val="Courier New"/>
        <family val="3"/>
      </rPr>
      <t>)</t>
    </r>
    <r>
      <rPr>
        <sz val="10"/>
        <rFont val="Courier New"/>
        <family val="3"/>
      </rPr>
      <t xml:space="preserve"> </t>
    </r>
    <r>
      <rPr>
        <sz val="10"/>
        <color rgb="FF0000FF"/>
        <rFont val="Courier New"/>
        <family val="3"/>
      </rPr>
      <t>as</t>
    </r>
    <r>
      <rPr>
        <sz val="10"/>
        <rFont val="Courier New"/>
        <family val="3"/>
      </rPr>
      <t xml:space="preserve"> [NA MFF ADJ]</t>
    </r>
  </si>
  <si>
    <r>
      <t xml:space="preserve">    </t>
    </r>
    <r>
      <rPr>
        <sz val="10"/>
        <color rgb="FF0000FF"/>
        <rFont val="Courier New"/>
        <family val="3"/>
      </rPr>
      <t>FROM</t>
    </r>
    <r>
      <rPr>
        <sz val="10"/>
        <rFont val="Courier New"/>
        <family val="3"/>
      </rPr>
      <t xml:space="preserve"> #Remove_MFF</t>
    </r>
  </si>
  <si>
    <r>
      <t>CREATE</t>
    </r>
    <r>
      <rPr>
        <sz val="10"/>
        <rFont val="Courier New"/>
        <family val="3"/>
      </rPr>
      <t xml:space="preserve"> </t>
    </r>
    <r>
      <rPr>
        <sz val="10"/>
        <color rgb="FF0000FF"/>
        <rFont val="Courier New"/>
        <family val="3"/>
      </rPr>
      <t>TABLE</t>
    </r>
    <r>
      <rPr>
        <sz val="10"/>
        <rFont val="Courier New"/>
        <family val="3"/>
      </rPr>
      <t xml:space="preserve"> #MFF_RESCALE</t>
    </r>
    <r>
      <rPr>
        <sz val="10"/>
        <color rgb="FF0000FF"/>
        <rFont val="Courier New"/>
        <family val="3"/>
      </rPr>
      <t xml:space="preserve"> </t>
    </r>
    <r>
      <rPr>
        <sz val="10"/>
        <color rgb="FF808080"/>
        <rFont val="Courier New"/>
        <family val="3"/>
      </rPr>
      <t>(</t>
    </r>
    <r>
      <rPr>
        <sz val="10"/>
        <rFont val="Courier New"/>
        <family val="3"/>
      </rPr>
      <t xml:space="preserve">[EXEC MFF] </t>
    </r>
    <r>
      <rPr>
        <sz val="10"/>
        <color rgb="FF0000FF"/>
        <rFont val="Courier New"/>
        <family val="3"/>
      </rPr>
      <t>float</t>
    </r>
    <r>
      <rPr>
        <sz val="10"/>
        <color rgb="FF808080"/>
        <rFont val="Courier New"/>
        <family val="3"/>
      </rPr>
      <t>,</t>
    </r>
    <r>
      <rPr>
        <sz val="10"/>
        <rFont val="Courier New"/>
        <family val="3"/>
      </rPr>
      <t xml:space="preserve"> [EXEC MFF CAPPED] </t>
    </r>
    <r>
      <rPr>
        <sz val="10"/>
        <color rgb="FF0000FF"/>
        <rFont val="Courier New"/>
        <family val="3"/>
      </rPr>
      <t>float</t>
    </r>
    <r>
      <rPr>
        <sz val="10"/>
        <color rgb="FF808080"/>
        <rFont val="Courier New"/>
        <family val="3"/>
      </rPr>
      <t>,</t>
    </r>
    <r>
      <rPr>
        <sz val="10"/>
        <rFont val="Courier New"/>
        <family val="3"/>
      </rPr>
      <t xml:space="preserve"> [MFF RESCALE] </t>
    </r>
    <r>
      <rPr>
        <sz val="10"/>
        <color rgb="FF0000FF"/>
        <rFont val="Courier New"/>
        <family val="3"/>
      </rPr>
      <t>float</t>
    </r>
    <r>
      <rPr>
        <sz val="10"/>
        <color rgb="FF808080"/>
        <rFont val="Courier New"/>
        <family val="3"/>
      </rPr>
      <t>)</t>
    </r>
  </si>
  <si>
    <r>
      <t xml:space="preserve">    </t>
    </r>
    <r>
      <rPr>
        <sz val="10"/>
        <color rgb="FF0000FF"/>
        <rFont val="Courier New"/>
        <family val="3"/>
      </rPr>
      <t>INSERT</t>
    </r>
    <r>
      <rPr>
        <sz val="10"/>
        <rFont val="Courier New"/>
        <family val="3"/>
      </rPr>
      <t xml:space="preserve"> </t>
    </r>
    <r>
      <rPr>
        <sz val="10"/>
        <color rgb="FF0000FF"/>
        <rFont val="Courier New"/>
        <family val="3"/>
      </rPr>
      <t>INTO</t>
    </r>
    <r>
      <rPr>
        <sz val="10"/>
        <rFont val="Courier New"/>
        <family val="3"/>
      </rPr>
      <t xml:space="preserve"> #MFF_RESCALE</t>
    </r>
  </si>
  <si>
    <r>
      <t>SELECT</t>
    </r>
    <r>
      <rPr>
        <sz val="10"/>
        <rFont val="Courier New"/>
        <family val="3"/>
      </rP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rFont val="Courier New"/>
        <family val="3"/>
      </rPr>
      <t>[TC (Target MFF)]</t>
    </r>
    <r>
      <rPr>
        <sz val="10"/>
        <color rgb="FF808080"/>
        <rFont val="Courier New"/>
        <family val="3"/>
      </rPr>
      <t>)</t>
    </r>
    <r>
      <rPr>
        <sz val="10"/>
        <rFont val="Courier New"/>
        <family val="3"/>
      </rPr>
      <t xml:space="preserve"> </t>
    </r>
    <r>
      <rPr>
        <sz val="10"/>
        <color rgb="FF0000FF"/>
        <rFont val="Courier New"/>
        <family val="3"/>
      </rPr>
      <t>as</t>
    </r>
    <r>
      <rPr>
        <sz val="10"/>
        <rFont val="Courier New"/>
        <family val="3"/>
      </rPr>
      <t xml:space="preserve"> [EXEC MFF]</t>
    </r>
    <r>
      <rPr>
        <sz val="10"/>
        <color rgb="FF808080"/>
        <rFont val="Courier New"/>
        <family val="3"/>
      </rPr>
      <t>,</t>
    </r>
    <r>
      <rPr>
        <sz val="10"/>
        <rFont val="Courier New"/>
        <family val="3"/>
      </rP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rFont val="Courier New"/>
        <family val="3"/>
      </rPr>
      <t>[TC (Payment MFF)]</t>
    </r>
    <r>
      <rPr>
        <sz val="10"/>
        <color rgb="FF808080"/>
        <rFont val="Courier New"/>
        <family val="3"/>
      </rPr>
      <t>)</t>
    </r>
    <r>
      <rPr>
        <sz val="10"/>
        <rFont val="Courier New"/>
        <family val="3"/>
      </rPr>
      <t xml:space="preserve"> </t>
    </r>
    <r>
      <rPr>
        <sz val="10"/>
        <color rgb="FF0000FF"/>
        <rFont val="Courier New"/>
        <family val="3"/>
      </rPr>
      <t>as</t>
    </r>
    <r>
      <rPr>
        <sz val="10"/>
        <rFont val="Courier New"/>
        <family val="3"/>
      </rPr>
      <t xml:space="preserve"> [EXEC MFF CAPPED]</t>
    </r>
    <r>
      <rPr>
        <sz val="10"/>
        <color rgb="FF808080"/>
        <rFont val="Courier New"/>
        <family val="3"/>
      </rPr>
      <t>,</t>
    </r>
    <r>
      <rPr>
        <sz val="10"/>
        <rFont val="Courier New"/>
        <family val="3"/>
      </rPr>
      <t xml:space="preserve"> </t>
    </r>
  </si>
  <si>
    <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rFont val="Courier New"/>
        <family val="3"/>
      </rPr>
      <t>[TC (Payment MFF)]</t>
    </r>
    <r>
      <rPr>
        <sz val="10"/>
        <color rgb="FF808080"/>
        <rFont val="Courier New"/>
        <family val="3"/>
      </rPr>
      <t>)</t>
    </r>
    <r>
      <rPr>
        <sz val="10"/>
        <rFont val="Courier New"/>
        <family val="3"/>
      </rPr>
      <t xml:space="preserve"> </t>
    </r>
    <r>
      <rPr>
        <sz val="10"/>
        <color rgb="FF808080"/>
        <rFont val="Courier New"/>
        <family val="3"/>
      </rPr>
      <t>/</t>
    </r>
    <r>
      <rPr>
        <sz val="10"/>
        <rFont val="Courier New"/>
        <family val="3"/>
      </rP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rFont val="Courier New"/>
        <family val="3"/>
      </rPr>
      <t>[TC (Target MFF)]</t>
    </r>
    <r>
      <rPr>
        <sz val="10"/>
        <color rgb="FF808080"/>
        <rFont val="Courier New"/>
        <family val="3"/>
      </rPr>
      <t>)</t>
    </r>
    <r>
      <rPr>
        <sz val="10"/>
        <rFont val="Courier New"/>
        <family val="3"/>
      </rPr>
      <t xml:space="preserve"> </t>
    </r>
    <r>
      <rPr>
        <sz val="10"/>
        <color rgb="FF0000FF"/>
        <rFont val="Courier New"/>
        <family val="3"/>
      </rPr>
      <t>as</t>
    </r>
    <r>
      <rPr>
        <sz val="10"/>
        <rFont val="Courier New"/>
        <family val="3"/>
      </rPr>
      <t xml:space="preserve"> [MFF RESCALE]</t>
    </r>
  </si>
  <si>
    <r>
      <t xml:space="preserve">    </t>
    </r>
    <r>
      <rPr>
        <sz val="10"/>
        <color rgb="FF0000FF"/>
        <rFont val="Courier New"/>
        <family val="3"/>
      </rPr>
      <t>CREATE</t>
    </r>
    <r>
      <rPr>
        <sz val="10"/>
        <rFont val="Courier New"/>
        <family val="3"/>
      </rPr>
      <t xml:space="preserve"> </t>
    </r>
    <r>
      <rPr>
        <sz val="10"/>
        <color rgb="FF0000FF"/>
        <rFont val="Courier New"/>
        <family val="3"/>
      </rPr>
      <t>TABLE</t>
    </r>
    <r>
      <rPr>
        <sz val="10"/>
        <rFont val="Courier New"/>
        <family val="3"/>
      </rPr>
      <t xml:space="preserve"> #NATIONAL_TARIFF_C_R</t>
    </r>
    <r>
      <rPr>
        <sz val="10"/>
        <color rgb="FF0000FF"/>
        <rFont val="Courier New"/>
        <family val="3"/>
      </rPr>
      <t xml:space="preserve"> </t>
    </r>
    <r>
      <rPr>
        <sz val="10"/>
        <color rgb="FF808080"/>
        <rFont val="Courier New"/>
        <family val="3"/>
      </rPr>
      <t>(</t>
    </r>
    <r>
      <rPr>
        <sz val="10"/>
        <rFont val="Courier New"/>
        <family val="3"/>
      </rPr>
      <t xml:space="preserve">[DEPARTMENT] </t>
    </r>
    <r>
      <rPr>
        <sz val="10"/>
        <color rgb="FF0000FF"/>
        <rFont val="Courier New"/>
        <family val="3"/>
      </rPr>
      <t>varchar</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 [Service] </t>
    </r>
    <r>
      <rPr>
        <sz val="10"/>
        <color rgb="FF0000FF"/>
        <rFont val="Courier New"/>
        <family val="3"/>
      </rPr>
      <t>varchar</t>
    </r>
    <r>
      <rPr>
        <sz val="10"/>
        <color rgb="FF808080"/>
        <rFont val="Courier New"/>
        <family val="3"/>
      </rPr>
      <t>(</t>
    </r>
    <r>
      <rPr>
        <sz val="10"/>
        <rFont val="Courier New"/>
        <family val="3"/>
      </rPr>
      <t>100</t>
    </r>
    <r>
      <rPr>
        <sz val="10"/>
        <color rgb="FF808080"/>
        <rFont val="Courier New"/>
        <family val="3"/>
      </rPr>
      <t>),</t>
    </r>
    <r>
      <rPr>
        <sz val="10"/>
        <rFont val="Courier New"/>
        <family val="3"/>
      </rPr>
      <t xml:space="preserve"> [CURRENCY] </t>
    </r>
    <r>
      <rPr>
        <sz val="10"/>
        <color rgb="FF0000FF"/>
        <rFont val="Courier New"/>
        <family val="3"/>
      </rPr>
      <t xml:space="preserve">varchar </t>
    </r>
    <r>
      <rPr>
        <sz val="10"/>
        <color rgb="FF808080"/>
        <rFont val="Courier New"/>
        <family val="3"/>
      </rPr>
      <t>(</t>
    </r>
    <r>
      <rPr>
        <sz val="10"/>
        <rFont val="Courier New"/>
        <family val="3"/>
      </rPr>
      <t>100</t>
    </r>
    <r>
      <rPr>
        <sz val="10"/>
        <color rgb="FF808080"/>
        <rFont val="Courier New"/>
        <family val="3"/>
      </rPr>
      <t>),</t>
    </r>
  </si>
  <si>
    <r>
      <t xml:space="preserve">[TOTAL_ACTIVITY] </t>
    </r>
    <r>
      <rPr>
        <sz val="10"/>
        <color rgb="FF0000FF"/>
        <rFont val="Courier New"/>
        <family val="3"/>
      </rPr>
      <t>float</t>
    </r>
    <r>
      <rPr>
        <sz val="10"/>
        <color rgb="FF808080"/>
        <rFont val="Courier New"/>
        <family val="3"/>
      </rPr>
      <t>,</t>
    </r>
    <r>
      <rPr>
        <sz val="10"/>
        <rFont val="Courier New"/>
        <family val="3"/>
      </rPr>
      <t xml:space="preserve"> [TOTAL_COST] </t>
    </r>
    <r>
      <rPr>
        <sz val="10"/>
        <color rgb="FF0000FF"/>
        <rFont val="Courier New"/>
        <family val="3"/>
      </rPr>
      <t>float</t>
    </r>
    <r>
      <rPr>
        <sz val="10"/>
        <color rgb="FF808080"/>
        <rFont val="Courier New"/>
        <family val="3"/>
      </rPr>
      <t>,</t>
    </r>
    <r>
      <rPr>
        <sz val="10"/>
        <rFont val="Courier New"/>
        <family val="3"/>
      </rPr>
      <t xml:space="preserve"> [HRG UC] </t>
    </r>
    <r>
      <rPr>
        <sz val="10"/>
        <color rgb="FF0000FF"/>
        <rFont val="Courier New"/>
        <family val="3"/>
      </rPr>
      <t>float</t>
    </r>
    <r>
      <rPr>
        <sz val="10"/>
        <color rgb="FF808080"/>
        <rFont val="Courier New"/>
        <family val="3"/>
      </rPr>
      <t>,</t>
    </r>
  </si>
  <si>
    <r>
      <t xml:space="preserve">    </t>
    </r>
    <r>
      <rPr>
        <sz val="10"/>
        <color rgb="FF0000FF"/>
        <rFont val="Courier New"/>
        <family val="3"/>
      </rPr>
      <t>INSERT</t>
    </r>
    <r>
      <rPr>
        <sz val="10"/>
        <rFont val="Courier New"/>
        <family val="3"/>
      </rPr>
      <t xml:space="preserve"> </t>
    </r>
    <r>
      <rPr>
        <sz val="10"/>
        <color rgb="FF0000FF"/>
        <rFont val="Courier New"/>
        <family val="3"/>
      </rPr>
      <t>INTO</t>
    </r>
    <r>
      <rPr>
        <sz val="10"/>
        <rFont val="Courier New"/>
        <family val="3"/>
      </rPr>
      <t xml:space="preserve"> #NATIONAL_TARIFF_C_R</t>
    </r>
  </si>
  <si>
    <r>
      <t>SELECT</t>
    </r>
    <r>
      <rPr>
        <sz val="10"/>
        <rFont val="Courier New"/>
        <family val="3"/>
      </rPr>
      <t xml:space="preserve">    nt</t>
    </r>
    <r>
      <rPr>
        <sz val="10"/>
        <color rgb="FF808080"/>
        <rFont val="Courier New"/>
        <family val="3"/>
      </rPr>
      <t>.</t>
    </r>
    <r>
      <rPr>
        <sz val="10"/>
        <rFont val="Courier New"/>
        <family val="3"/>
      </rPr>
      <t>[DEPARTMENT]</t>
    </r>
    <r>
      <rPr>
        <sz val="10"/>
        <color rgb="FF808080"/>
        <rFont val="Courier New"/>
        <family val="3"/>
      </rPr>
      <t>,</t>
    </r>
    <r>
      <rPr>
        <sz val="10"/>
        <rFont val="Courier New"/>
        <family val="3"/>
      </rPr>
      <t xml:space="preserve"> nt</t>
    </r>
    <r>
      <rPr>
        <sz val="10"/>
        <color rgb="FF808080"/>
        <rFont val="Courier New"/>
        <family val="3"/>
      </rPr>
      <t>.</t>
    </r>
    <r>
      <rPr>
        <sz val="10"/>
        <rFont val="Courier New"/>
        <family val="3"/>
      </rPr>
      <t>[Service]</t>
    </r>
    <r>
      <rPr>
        <sz val="10"/>
        <color rgb="FF808080"/>
        <rFont val="Courier New"/>
        <family val="3"/>
      </rPr>
      <t>,</t>
    </r>
    <r>
      <rPr>
        <sz val="10"/>
        <rFont val="Courier New"/>
        <family val="3"/>
      </rPr>
      <t xml:space="preserve"> nt</t>
    </r>
    <r>
      <rPr>
        <sz val="10"/>
        <color rgb="FF808080"/>
        <rFont val="Courier New"/>
        <family val="3"/>
      </rPr>
      <t>.</t>
    </r>
    <r>
      <rPr>
        <sz val="10"/>
        <rFont val="Courier New"/>
        <family val="3"/>
      </rPr>
      <t>[CURRENCY]</t>
    </r>
    <r>
      <rPr>
        <sz val="10"/>
        <color rgb="FF808080"/>
        <rFont val="Courier New"/>
        <family val="3"/>
      </rPr>
      <t>,</t>
    </r>
    <r>
      <rPr>
        <sz val="10"/>
        <rFont val="Courier New"/>
        <family val="3"/>
      </rPr>
      <t xml:space="preserve"> nt</t>
    </r>
    <r>
      <rPr>
        <sz val="10"/>
        <color rgb="FF808080"/>
        <rFont val="Courier New"/>
        <family val="3"/>
      </rPr>
      <t>.</t>
    </r>
    <r>
      <rPr>
        <sz val="10"/>
        <rFont val="Courier New"/>
        <family val="3"/>
      </rPr>
      <t>[TOTAL_ACTIVITY]</t>
    </r>
    <r>
      <rPr>
        <sz val="10"/>
        <color rgb="FF808080"/>
        <rFont val="Courier New"/>
        <family val="3"/>
      </rPr>
      <t>,</t>
    </r>
    <r>
      <rPr>
        <sz val="10"/>
        <rFont val="Courier New"/>
        <family val="3"/>
      </rPr>
      <t xml:space="preserve"> nt</t>
    </r>
    <r>
      <rPr>
        <sz val="10"/>
        <color rgb="FF808080"/>
        <rFont val="Courier New"/>
        <family val="3"/>
      </rPr>
      <t>.</t>
    </r>
    <r>
      <rPr>
        <sz val="10"/>
        <rFont val="Courier New"/>
        <family val="3"/>
      </rPr>
      <t>[TOTAL_COST]</t>
    </r>
    <r>
      <rPr>
        <sz val="10"/>
        <color rgb="FF808080"/>
        <rFont val="Courier New"/>
        <family val="3"/>
      </rPr>
      <t>,</t>
    </r>
  </si>
  <si>
    <r>
      <t>ROUND</t>
    </r>
    <r>
      <rPr>
        <sz val="10"/>
        <color rgb="FF808080"/>
        <rFont val="Courier New"/>
        <family val="3"/>
      </rPr>
      <t>(</t>
    </r>
    <r>
      <rPr>
        <sz val="10"/>
        <rFont val="Courier New"/>
        <family val="3"/>
      </rPr>
      <t>nt</t>
    </r>
    <r>
      <rPr>
        <sz val="10"/>
        <color rgb="FF808080"/>
        <rFont val="Courier New"/>
        <family val="3"/>
      </rPr>
      <t>.</t>
    </r>
    <r>
      <rPr>
        <sz val="10"/>
        <rFont val="Courier New"/>
        <family val="3"/>
      </rPr>
      <t>[HRG UC (Target MFF)]</t>
    </r>
    <r>
      <rPr>
        <sz val="10"/>
        <color rgb="FF808080"/>
        <rFont val="Courier New"/>
        <family val="3"/>
      </rPr>
      <t>,</t>
    </r>
    <r>
      <rPr>
        <sz val="10"/>
        <rFont val="Courier New"/>
        <family val="3"/>
      </rPr>
      <t>2</t>
    </r>
    <r>
      <rPr>
        <sz val="10"/>
        <color rgb="FF808080"/>
        <rFont val="Courier New"/>
        <family val="3"/>
      </rPr>
      <t>)</t>
    </r>
    <r>
      <rPr>
        <sz val="10"/>
        <rFont val="Courier New"/>
        <family val="3"/>
      </rPr>
      <t xml:space="preserve"> </t>
    </r>
    <r>
      <rPr>
        <sz val="10"/>
        <color rgb="FF0000FF"/>
        <rFont val="Courier New"/>
        <family val="3"/>
      </rPr>
      <t>as</t>
    </r>
    <r>
      <rPr>
        <sz val="10"/>
        <rFont val="Courier New"/>
        <family val="3"/>
      </rPr>
      <t xml:space="preserve"> [HRG UC]</t>
    </r>
    <r>
      <rPr>
        <sz val="10"/>
        <color rgb="FF808080"/>
        <rFont val="Courier New"/>
        <family val="3"/>
      </rPr>
      <t>,</t>
    </r>
  </si>
  <si>
    <r>
      <t>ROUND</t>
    </r>
    <r>
      <rPr>
        <sz val="10"/>
        <color rgb="FF808080"/>
        <rFont val="Courier New"/>
        <family val="3"/>
      </rPr>
      <t>(</t>
    </r>
    <r>
      <rPr>
        <sz val="10"/>
        <rFont val="Courier New"/>
        <family val="3"/>
      </rPr>
      <t xml:space="preserve">[HRG UC (Target MFF)] </t>
    </r>
    <r>
      <rPr>
        <sz val="10"/>
        <color rgb="FF808080"/>
        <rFont val="Courier New"/>
        <family val="3"/>
      </rPr>
      <t>*</t>
    </r>
    <r>
      <rPr>
        <sz val="10"/>
        <rFont val="Courier New"/>
        <family val="3"/>
      </rPr>
      <t xml:space="preserve"> [MFF RESCALE]</t>
    </r>
    <r>
      <rPr>
        <sz val="10"/>
        <color rgb="FF808080"/>
        <rFont val="Courier New"/>
        <family val="3"/>
      </rPr>
      <t>,</t>
    </r>
    <r>
      <rPr>
        <sz val="10"/>
        <rFont val="Courier New"/>
        <family val="3"/>
      </rPr>
      <t>0</t>
    </r>
    <r>
      <rPr>
        <sz val="10"/>
        <color rgb="FF808080"/>
        <rFont val="Courier New"/>
        <family val="3"/>
      </rPr>
      <t>)</t>
    </r>
    <r>
      <rPr>
        <sz val="10"/>
        <rFont val="Courier New"/>
        <family val="3"/>
      </rPr>
      <t xml:space="preserve"> </t>
    </r>
    <r>
      <rPr>
        <sz val="10"/>
        <color rgb="FF0000FF"/>
        <rFont val="Courier New"/>
        <family val="3"/>
      </rPr>
      <t>as</t>
    </r>
    <r>
      <rPr>
        <sz val="10"/>
        <rFont val="Courier New"/>
        <family val="3"/>
      </rPr>
      <t xml:space="preserve"> [TARIFF]</t>
    </r>
  </si>
  <si>
    <r>
      <t>ORDER</t>
    </r>
    <r>
      <rPr>
        <sz val="10"/>
        <rFont val="Courier New"/>
        <family val="3"/>
      </rPr>
      <t xml:space="preserve"> </t>
    </r>
    <r>
      <rPr>
        <sz val="10"/>
        <color rgb="FF0000FF"/>
        <rFont val="Courier New"/>
        <family val="3"/>
      </rPr>
      <t>BY</t>
    </r>
    <r>
      <rPr>
        <sz val="10"/>
        <rFont val="Courier New"/>
        <family val="3"/>
      </rPr>
      <t xml:space="preserve">   [DEPARTMENT]</t>
    </r>
    <r>
      <rPr>
        <sz val="10"/>
        <color rgb="FF808080"/>
        <rFont val="Courier New"/>
        <family val="3"/>
      </rPr>
      <t>,</t>
    </r>
    <r>
      <rPr>
        <sz val="10"/>
        <rFont val="Courier New"/>
        <family val="3"/>
      </rPr>
      <t xml:space="preserve"> [SERVICE]</t>
    </r>
    <r>
      <rPr>
        <sz val="10"/>
        <color rgb="FF808080"/>
        <rFont val="Courier New"/>
        <family val="3"/>
      </rPr>
      <t>,</t>
    </r>
    <r>
      <rPr>
        <sz val="10"/>
        <rFont val="Courier New"/>
        <family val="3"/>
      </rPr>
      <t xml:space="preserve"> [CURRENCY]</t>
    </r>
  </si>
  <si>
    <r>
      <t>SELECT</t>
    </r>
    <r>
      <rPr>
        <sz val="10"/>
        <rFont val="Courier New"/>
        <family val="3"/>
      </rPr>
      <t xml:space="preserve"> </t>
    </r>
    <r>
      <rPr>
        <sz val="10"/>
        <color rgb="FF808080"/>
        <rFont val="Courier New"/>
        <family val="3"/>
      </rPr>
      <t>*</t>
    </r>
    <r>
      <rPr>
        <sz val="10"/>
        <rFont val="Courier New"/>
        <family val="3"/>
      </rPr>
      <t xml:space="preserve"> </t>
    </r>
    <r>
      <rPr>
        <sz val="10"/>
        <color rgb="FF0000FF"/>
        <rFont val="Courier New"/>
        <family val="3"/>
      </rPr>
      <t>FROM</t>
    </r>
    <r>
      <rPr>
        <sz val="10"/>
        <rFont val="Courier New"/>
        <family val="3"/>
      </rPr>
      <t xml:space="preserve"> #NATIONAL_TARIFF_C_R</t>
    </r>
  </si>
  <si>
    <t>Significance Threshold</t>
  </si>
  <si>
    <t>RC1314 Data</t>
  </si>
  <si>
    <t>- DI Activity Mapping needed only for 2016-17 due to change in currency design from that of RC1314</t>
  </si>
  <si>
    <t>- This sheet uses activity counts from grouped HES 1314 OP data</t>
  </si>
  <si>
    <t>Map all costs and activity to RA69Z</t>
  </si>
  <si>
    <t>Map all costs and activity from RA68Z</t>
  </si>
  <si>
    <t>Adjust to take into account activity that maps to RA69Z</t>
  </si>
  <si>
    <t>Adjusted</t>
  </si>
  <si>
    <t>Difference</t>
  </si>
  <si>
    <t>Deliver a Fraction of Intracavitary Radiotherapy without General Anaesthetic</t>
  </si>
  <si>
    <t>Deliver a Fraction of Intracavitary Radiotherapy with General Anaesthetic</t>
  </si>
  <si>
    <t>Deliver a Fraction of Interstitial Radiotherapy</t>
  </si>
  <si>
    <t>Preparation for Intraluminal Brachytherapy</t>
  </si>
  <si>
    <t>Preparation for Intracavitary Brachytherapy</t>
  </si>
  <si>
    <t>Preparation for Interstitial Brachytherapy</t>
  </si>
  <si>
    <t>Other Brachytherapy Preparation</t>
  </si>
  <si>
    <t xml:space="preserve">  DROP TABLE #National_Average</t>
  </si>
  <si>
    <r>
      <t>CREATE</t>
    </r>
    <r>
      <rPr>
        <sz val="10"/>
        <color theme="1"/>
        <rFont val="Courier New"/>
        <family val="3"/>
      </rPr>
      <t xml:space="preserve"> </t>
    </r>
    <r>
      <rPr>
        <sz val="10"/>
        <color rgb="FF0000FF"/>
        <rFont val="Courier New"/>
        <family val="3"/>
      </rPr>
      <t>TABLE</t>
    </r>
    <r>
      <rPr>
        <sz val="10"/>
        <color theme="1"/>
        <rFont val="Courier New"/>
        <family val="3"/>
      </rPr>
      <t xml:space="preserve"> #Filter_for_Scope</t>
    </r>
    <r>
      <rPr>
        <sz val="10"/>
        <color rgb="FF0000FF"/>
        <rFont val="Courier New"/>
        <family val="3"/>
      </rPr>
      <t xml:space="preserve"> </t>
    </r>
    <r>
      <rPr>
        <sz val="10"/>
        <color rgb="FF808080"/>
        <rFont val="Courier New"/>
        <family val="3"/>
      </rPr>
      <t>(</t>
    </r>
    <r>
      <rPr>
        <sz val="10"/>
        <color theme="1"/>
        <rFont val="Courier New"/>
        <family val="3"/>
      </rPr>
      <t xml:space="preserve">[ORGCode]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[DEPARTMENT]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[Service]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</si>
  <si>
    <r>
      <t xml:space="preserve">[CURRENCY] </t>
    </r>
    <r>
      <rPr>
        <sz val="10"/>
        <color rgb="FF0000FF"/>
        <rFont val="Courier New"/>
        <family val="3"/>
      </rPr>
      <t xml:space="preserve">varchar </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[UC] </t>
    </r>
    <r>
      <rPr>
        <sz val="10"/>
        <color rgb="FF0000FF"/>
        <rFont val="Courier New"/>
        <family val="3"/>
      </rPr>
      <t>float</t>
    </r>
    <r>
      <rPr>
        <sz val="10"/>
        <color rgb="FF808080"/>
        <rFont val="Courier New"/>
        <family val="3"/>
      </rPr>
      <t>,</t>
    </r>
    <r>
      <rPr>
        <sz val="10"/>
        <color theme="1"/>
        <rFont val="Courier New"/>
        <family val="3"/>
      </rPr>
      <t xml:space="preserve"> [ACTIVITY] </t>
    </r>
    <r>
      <rPr>
        <sz val="10"/>
        <color rgb="FF0000FF"/>
        <rFont val="Courier New"/>
        <family val="3"/>
      </rPr>
      <t>float</t>
    </r>
    <r>
      <rPr>
        <sz val="10"/>
        <color rgb="FF808080"/>
        <rFont val="Courier New"/>
        <family val="3"/>
      </rPr>
      <t>,</t>
    </r>
    <r>
      <rPr>
        <sz val="10"/>
        <color theme="1"/>
        <rFont val="Courier New"/>
        <family val="3"/>
      </rPr>
      <t xml:space="preserve"> [TOTAL_COST] </t>
    </r>
    <r>
      <rPr>
        <sz val="10"/>
        <color rgb="FF0000FF"/>
        <rFont val="Courier New"/>
        <family val="3"/>
      </rPr>
      <t>float</t>
    </r>
    <r>
      <rPr>
        <sz val="10"/>
        <color rgb="FF808080"/>
        <rFont val="Courier New"/>
        <family val="3"/>
      </rPr>
      <t>)</t>
    </r>
  </si>
  <si>
    <r>
      <t>INSERT</t>
    </r>
    <r>
      <rPr>
        <sz val="10"/>
        <color theme="1"/>
        <rFont val="Courier New"/>
        <family val="3"/>
      </rPr>
      <t xml:space="preserve"> </t>
    </r>
    <r>
      <rPr>
        <sz val="10"/>
        <color rgb="FF0000FF"/>
        <rFont val="Courier New"/>
        <family val="3"/>
      </rPr>
      <t>INTO</t>
    </r>
    <r>
      <rPr>
        <sz val="10"/>
        <color theme="1"/>
        <rFont val="Courier New"/>
        <family val="3"/>
      </rPr>
      <t xml:space="preserve"> #Filter_for_Scope</t>
    </r>
  </si>
  <si>
    <r>
      <t>SELECT</t>
    </r>
    <r>
      <rPr>
        <sz val="10"/>
        <color theme="1"/>
        <rFont val="Courier New"/>
        <family val="3"/>
      </rPr>
      <t xml:space="preserve"> FK_ORGS_PROV_ID</t>
    </r>
  </si>
  <si>
    <r>
      <t xml:space="preserve"> </t>
    </r>
    <r>
      <rPr>
        <sz val="10"/>
        <color rgb="FF808080"/>
        <rFont val="Courier New"/>
        <family val="3"/>
      </rPr>
      <t>,</t>
    </r>
    <r>
      <rPr>
        <sz val="10"/>
        <color theme="1"/>
        <rFont val="Courier New"/>
        <family val="3"/>
      </rPr>
      <t xml:space="preserve">[DEPARTMENT] </t>
    </r>
    <r>
      <rPr>
        <sz val="10"/>
        <color rgb="FF808080"/>
        <rFont val="Courier New"/>
        <family val="3"/>
      </rPr>
      <t>=</t>
    </r>
    <r>
      <rPr>
        <sz val="10"/>
        <color theme="1"/>
        <rFont val="Courier New"/>
        <family val="3"/>
      </rPr>
      <t xml:space="preserve"> </t>
    </r>
    <r>
      <rPr>
        <sz val="10"/>
        <color rgb="FFFF0000"/>
        <rFont val="Courier New"/>
        <family val="3"/>
      </rPr>
      <t>'DIAGIM'</t>
    </r>
  </si>
  <si>
    <r>
      <t xml:space="preserve"> </t>
    </r>
    <r>
      <rPr>
        <sz val="10"/>
        <color rgb="FF808080"/>
        <rFont val="Courier New"/>
        <family val="3"/>
      </rPr>
      <t>,</t>
    </r>
    <r>
      <rPr>
        <sz val="10"/>
        <color theme="1"/>
        <rFont val="Courier New"/>
        <family val="3"/>
      </rPr>
      <t xml:space="preserve">[SERVICE] </t>
    </r>
    <r>
      <rPr>
        <sz val="10"/>
        <color rgb="FF808080"/>
        <rFont val="Courier New"/>
        <family val="3"/>
      </rPr>
      <t>=</t>
    </r>
    <r>
      <rPr>
        <sz val="10"/>
        <color theme="1"/>
        <rFont val="Courier New"/>
        <family val="3"/>
      </rPr>
      <t xml:space="preserve"> </t>
    </r>
    <r>
      <rPr>
        <sz val="10"/>
        <color rgb="FF0000FF"/>
        <rFont val="Courier New"/>
        <family val="3"/>
      </rPr>
      <t>CASE</t>
    </r>
    <r>
      <rPr>
        <sz val="10"/>
        <color theme="1"/>
        <rFont val="Courier New"/>
        <family val="3"/>
      </rPr>
      <t xml:space="preserve"> </t>
    </r>
    <r>
      <rPr>
        <sz val="10"/>
        <color rgb="FF0000FF"/>
        <rFont val="Courier New"/>
        <family val="3"/>
      </rPr>
      <t>WHEN</t>
    </r>
    <r>
      <rPr>
        <sz val="10"/>
        <color theme="1"/>
        <rFont val="Courier New"/>
        <family val="3"/>
      </rPr>
      <t xml:space="preserve"> rcna</t>
    </r>
    <r>
      <rPr>
        <sz val="10"/>
        <color rgb="FF808080"/>
        <rFont val="Courier New"/>
        <family val="3"/>
      </rPr>
      <t>.</t>
    </r>
    <r>
      <rPr>
        <sz val="10"/>
        <color theme="1"/>
        <rFont val="Courier New"/>
        <family val="3"/>
      </rPr>
      <t xml:space="preserve">[DEPARTMENT] </t>
    </r>
    <r>
      <rPr>
        <sz val="10"/>
        <color rgb="FF808080"/>
        <rFont val="Courier New"/>
        <family val="3"/>
      </rPr>
      <t>=</t>
    </r>
    <r>
      <rPr>
        <sz val="10"/>
        <color theme="1"/>
        <rFont val="Courier New"/>
        <family val="3"/>
      </rPr>
      <t xml:space="preserve"> </t>
    </r>
    <r>
      <rPr>
        <sz val="10"/>
        <color rgb="FFFF0000"/>
        <rFont val="Courier New"/>
        <family val="3"/>
      </rPr>
      <t>'DIAGIMDA'</t>
    </r>
    <r>
      <rPr>
        <sz val="10"/>
        <color theme="1"/>
        <rFont val="Courier New"/>
        <family val="3"/>
      </rPr>
      <t xml:space="preserve"> </t>
    </r>
    <r>
      <rPr>
        <sz val="10"/>
        <color rgb="FF0000FF"/>
        <rFont val="Courier New"/>
        <family val="3"/>
      </rPr>
      <t>THEN</t>
    </r>
    <r>
      <rPr>
        <sz val="10"/>
        <color theme="1"/>
        <rFont val="Courier New"/>
        <family val="3"/>
      </rPr>
      <t xml:space="preserve"> </t>
    </r>
    <r>
      <rPr>
        <sz val="10"/>
        <color rgb="FFFF0000"/>
        <rFont val="Courier New"/>
        <family val="3"/>
      </rPr>
      <t>'DA'</t>
    </r>
    <r>
      <rPr>
        <sz val="10"/>
        <color theme="1"/>
        <rFont val="Courier New"/>
        <family val="3"/>
      </rPr>
      <t xml:space="preserve"> </t>
    </r>
  </si>
  <si>
    <r>
      <t>WHEN</t>
    </r>
    <r>
      <rPr>
        <sz val="10"/>
        <color theme="1"/>
        <rFont val="Courier New"/>
        <family val="3"/>
      </rPr>
      <t xml:space="preserve"> rcna</t>
    </r>
    <r>
      <rPr>
        <sz val="10"/>
        <color rgb="FF808080"/>
        <rFont val="Courier New"/>
        <family val="3"/>
      </rPr>
      <t>.</t>
    </r>
    <r>
      <rPr>
        <sz val="10"/>
        <color theme="1"/>
        <rFont val="Courier New"/>
        <family val="3"/>
      </rPr>
      <t xml:space="preserve">[DEPARTMENT] </t>
    </r>
    <r>
      <rPr>
        <sz val="10"/>
        <color rgb="FF808080"/>
        <rFont val="Courier New"/>
        <family val="3"/>
      </rPr>
      <t>=</t>
    </r>
    <r>
      <rPr>
        <sz val="10"/>
        <color theme="1"/>
        <rFont val="Courier New"/>
        <family val="3"/>
      </rPr>
      <t xml:space="preserve"> </t>
    </r>
    <r>
      <rPr>
        <sz val="10"/>
        <color rgb="FFFF0000"/>
        <rFont val="Courier New"/>
        <family val="3"/>
      </rPr>
      <t>'DIAGIMOP'</t>
    </r>
    <r>
      <rPr>
        <sz val="10"/>
        <color theme="1"/>
        <rFont val="Courier New"/>
        <family val="3"/>
      </rPr>
      <t xml:space="preserve"> </t>
    </r>
    <r>
      <rPr>
        <sz val="10"/>
        <color rgb="FF0000FF"/>
        <rFont val="Courier New"/>
        <family val="3"/>
      </rPr>
      <t>THEN</t>
    </r>
    <r>
      <rPr>
        <sz val="10"/>
        <color theme="1"/>
        <rFont val="Courier New"/>
        <family val="3"/>
      </rPr>
      <t xml:space="preserve"> </t>
    </r>
    <r>
      <rPr>
        <sz val="10"/>
        <color rgb="FFFF0000"/>
        <rFont val="Courier New"/>
        <family val="3"/>
      </rPr>
      <t>'OP'</t>
    </r>
    <r>
      <rPr>
        <sz val="10"/>
        <color theme="1"/>
        <rFont val="Courier New"/>
        <family val="3"/>
      </rPr>
      <t xml:space="preserve"> </t>
    </r>
  </si>
  <si>
    <r>
      <t>ELSE</t>
    </r>
    <r>
      <rPr>
        <sz val="10"/>
        <color theme="1"/>
        <rFont val="Courier New"/>
        <family val="3"/>
      </rPr>
      <t xml:space="preserve"> </t>
    </r>
    <r>
      <rPr>
        <sz val="10"/>
        <color rgb="FFFF0000"/>
        <rFont val="Courier New"/>
        <family val="3"/>
      </rPr>
      <t>'Remove'</t>
    </r>
    <r>
      <rPr>
        <sz val="10"/>
        <color theme="1"/>
        <rFont val="Courier New"/>
        <family val="3"/>
      </rPr>
      <t xml:space="preserve"> </t>
    </r>
    <r>
      <rPr>
        <sz val="10"/>
        <color rgb="FF0000FF"/>
        <rFont val="Courier New"/>
        <family val="3"/>
      </rPr>
      <t>END</t>
    </r>
    <r>
      <rPr>
        <sz val="10"/>
        <color theme="1"/>
        <rFont val="Courier New"/>
        <family val="3"/>
      </rPr>
      <t xml:space="preserve"> </t>
    </r>
  </si>
  <si>
    <r>
      <t xml:space="preserve"> </t>
    </r>
    <r>
      <rPr>
        <sz val="10"/>
        <color rgb="FF808080"/>
        <rFont val="Courier New"/>
        <family val="3"/>
      </rPr>
      <t>,</t>
    </r>
    <r>
      <rPr>
        <sz val="10"/>
        <color theme="1"/>
        <rFont val="Courier New"/>
        <family val="3"/>
      </rPr>
      <t>CURRENCY</t>
    </r>
  </si>
  <si>
    <r>
      <t xml:space="preserve"> </t>
    </r>
    <r>
      <rPr>
        <sz val="10"/>
        <color rgb="FF808080"/>
        <rFont val="Courier New"/>
        <family val="3"/>
      </rPr>
      <t>,</t>
    </r>
    <r>
      <rPr>
        <sz val="10"/>
        <color theme="1"/>
        <rFont val="Courier New"/>
        <family val="3"/>
      </rPr>
      <t xml:space="preserve">UNIT_COST </t>
    </r>
    <r>
      <rPr>
        <sz val="10"/>
        <color rgb="FF0000FF"/>
        <rFont val="Courier New"/>
        <family val="3"/>
      </rPr>
      <t>as</t>
    </r>
    <r>
      <rPr>
        <sz val="10"/>
        <color theme="1"/>
        <rFont val="Courier New"/>
        <family val="3"/>
      </rPr>
      <t xml:space="preserve"> UC</t>
    </r>
  </si>
  <si>
    <r>
      <t xml:space="preserve"> </t>
    </r>
    <r>
      <rPr>
        <sz val="10"/>
        <color rgb="FF808080"/>
        <rFont val="Courier New"/>
        <family val="3"/>
      </rPr>
      <t>,</t>
    </r>
    <r>
      <rPr>
        <sz val="10"/>
        <color theme="1"/>
        <rFont val="Courier New"/>
        <family val="3"/>
      </rPr>
      <t>ACTIVITY_P1</t>
    </r>
  </si>
  <si>
    <r>
      <t xml:space="preserve"> </t>
    </r>
    <r>
      <rPr>
        <sz val="10"/>
        <color rgb="FF808080"/>
        <rFont val="Courier New"/>
        <family val="3"/>
      </rPr>
      <t>,(</t>
    </r>
    <r>
      <rPr>
        <sz val="10"/>
        <color theme="1"/>
        <rFont val="Courier New"/>
        <family val="3"/>
      </rPr>
      <t xml:space="preserve">UNIT_COST </t>
    </r>
    <r>
      <rPr>
        <sz val="10"/>
        <color rgb="FF808080"/>
        <rFont val="Courier New"/>
        <family val="3"/>
      </rPr>
      <t>*</t>
    </r>
    <r>
      <rPr>
        <sz val="10"/>
        <color theme="1"/>
        <rFont val="Courier New"/>
        <family val="3"/>
      </rPr>
      <t xml:space="preserve"> ACTIVITY_P1</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[TOTAL_COST]</t>
    </r>
  </si>
  <si>
    <r>
      <t xml:space="preserve">WHERE </t>
    </r>
    <r>
      <rPr>
        <sz val="10"/>
        <color rgb="FF808080"/>
        <rFont val="Courier New"/>
        <family val="3"/>
      </rPr>
      <t>(</t>
    </r>
    <r>
      <rPr>
        <sz val="10"/>
        <color theme="1"/>
        <rFont val="Courier New"/>
        <family val="3"/>
      </rPr>
      <t>rcna</t>
    </r>
    <r>
      <rPr>
        <sz val="10"/>
        <color rgb="FF808080"/>
        <rFont val="Courier New"/>
        <family val="3"/>
      </rPr>
      <t>.</t>
    </r>
    <r>
      <rPr>
        <sz val="10"/>
        <color theme="1"/>
        <rFont val="Courier New"/>
        <family val="3"/>
      </rPr>
      <t xml:space="preserve">[DEPARTMENT] </t>
    </r>
    <r>
      <rPr>
        <sz val="10"/>
        <color rgb="FF808080"/>
        <rFont val="Courier New"/>
        <family val="3"/>
      </rPr>
      <t>=</t>
    </r>
    <r>
      <rPr>
        <sz val="10"/>
        <color theme="1"/>
        <rFont val="Courier New"/>
        <family val="3"/>
      </rPr>
      <t xml:space="preserve"> </t>
    </r>
    <r>
      <rPr>
        <sz val="10"/>
        <color rgb="FFFF0000"/>
        <rFont val="Courier New"/>
        <family val="3"/>
      </rPr>
      <t>'DIAGIMDA'</t>
    </r>
    <r>
      <rPr>
        <sz val="10"/>
        <color theme="1"/>
        <rFont val="Courier New"/>
        <family val="3"/>
      </rPr>
      <t xml:space="preserve"> </t>
    </r>
    <r>
      <rPr>
        <sz val="10"/>
        <color rgb="FF808080"/>
        <rFont val="Courier New"/>
        <family val="3"/>
      </rPr>
      <t>or</t>
    </r>
    <r>
      <rPr>
        <sz val="10"/>
        <color theme="1"/>
        <rFont val="Courier New"/>
        <family val="3"/>
      </rPr>
      <t xml:space="preserve"> rcna</t>
    </r>
    <r>
      <rPr>
        <sz val="10"/>
        <color rgb="FF808080"/>
        <rFont val="Courier New"/>
        <family val="3"/>
      </rPr>
      <t>.</t>
    </r>
    <r>
      <rPr>
        <sz val="10"/>
        <color theme="1"/>
        <rFont val="Courier New"/>
        <family val="3"/>
      </rPr>
      <t xml:space="preserve">[DEPARTMENT] </t>
    </r>
    <r>
      <rPr>
        <sz val="10"/>
        <color rgb="FF808080"/>
        <rFont val="Courier New"/>
        <family val="3"/>
      </rPr>
      <t>=</t>
    </r>
    <r>
      <rPr>
        <sz val="10"/>
        <color theme="1"/>
        <rFont val="Courier New"/>
        <family val="3"/>
      </rPr>
      <t xml:space="preserve"> </t>
    </r>
    <r>
      <rPr>
        <sz val="10"/>
        <color rgb="FFFF0000"/>
        <rFont val="Courier New"/>
        <family val="3"/>
      </rPr>
      <t>'DIAGIMOP'</t>
    </r>
    <r>
      <rPr>
        <sz val="10"/>
        <color rgb="FF808080"/>
        <rFont val="Courier New"/>
        <family val="3"/>
      </rPr>
      <t>)</t>
    </r>
  </si>
  <si>
    <r>
      <t>CREATE</t>
    </r>
    <r>
      <rPr>
        <sz val="10"/>
        <color theme="1"/>
        <rFont val="Courier New"/>
        <family val="3"/>
      </rPr>
      <t xml:space="preserve"> </t>
    </r>
    <r>
      <rPr>
        <sz val="10"/>
        <color rgb="FF0000FF"/>
        <rFont val="Courier New"/>
        <family val="3"/>
      </rPr>
      <t>TABLE</t>
    </r>
    <r>
      <rPr>
        <sz val="10"/>
        <color theme="1"/>
        <rFont val="Courier New"/>
        <family val="3"/>
      </rPr>
      <t xml:space="preserve"> #Remove_MFF</t>
    </r>
    <r>
      <rPr>
        <sz val="10"/>
        <color rgb="FF0000FF"/>
        <rFont val="Courier New"/>
        <family val="3"/>
      </rPr>
      <t xml:space="preserve"> </t>
    </r>
    <r>
      <rPr>
        <sz val="10"/>
        <color rgb="FF808080"/>
        <rFont val="Courier New"/>
        <family val="3"/>
      </rPr>
      <t>(</t>
    </r>
    <r>
      <rPr>
        <sz val="10"/>
        <color theme="1"/>
        <rFont val="Courier New"/>
        <family val="3"/>
      </rPr>
      <t xml:space="preserve">[ORGCode]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[DEPARTMENT]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[Service]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[CURRENCY] </t>
    </r>
    <r>
      <rPr>
        <sz val="10"/>
        <color rgb="FF0000FF"/>
        <rFont val="Courier New"/>
        <family val="3"/>
      </rPr>
      <t xml:space="preserve">varchar </t>
    </r>
    <r>
      <rPr>
        <sz val="10"/>
        <color rgb="FF808080"/>
        <rFont val="Courier New"/>
        <family val="3"/>
      </rPr>
      <t>(</t>
    </r>
    <r>
      <rPr>
        <sz val="10"/>
        <color theme="1"/>
        <rFont val="Courier New"/>
        <family val="3"/>
      </rPr>
      <t>100</t>
    </r>
    <r>
      <rPr>
        <sz val="10"/>
        <color rgb="FF808080"/>
        <rFont val="Courier New"/>
        <family val="3"/>
      </rPr>
      <t>),</t>
    </r>
  </si>
  <si>
    <r>
      <t xml:space="preserve">[UC] </t>
    </r>
    <r>
      <rPr>
        <sz val="10"/>
        <color rgb="FF0000FF"/>
        <rFont val="Courier New"/>
        <family val="3"/>
      </rPr>
      <t>float</t>
    </r>
    <r>
      <rPr>
        <sz val="10"/>
        <color rgb="FF808080"/>
        <rFont val="Courier New"/>
        <family val="3"/>
      </rPr>
      <t>,</t>
    </r>
    <r>
      <rPr>
        <sz val="10"/>
        <color theme="1"/>
        <rFont val="Courier New"/>
        <family val="3"/>
      </rPr>
      <t xml:space="preserve"> [ACTIVITY] </t>
    </r>
    <r>
      <rPr>
        <sz val="10"/>
        <color rgb="FF0000FF"/>
        <rFont val="Courier New"/>
        <family val="3"/>
      </rPr>
      <t>float</t>
    </r>
    <r>
      <rPr>
        <sz val="10"/>
        <color rgb="FF808080"/>
        <rFont val="Courier New"/>
        <family val="3"/>
      </rPr>
      <t>,</t>
    </r>
    <r>
      <rPr>
        <sz val="10"/>
        <color theme="1"/>
        <rFont val="Courier New"/>
        <family val="3"/>
      </rPr>
      <t xml:space="preserve"> [TOTAL_COST] </t>
    </r>
    <r>
      <rPr>
        <sz val="10"/>
        <color rgb="FF0000FF"/>
        <rFont val="Courier New"/>
        <family val="3"/>
      </rPr>
      <t>float</t>
    </r>
    <r>
      <rPr>
        <sz val="10"/>
        <color rgb="FF808080"/>
        <rFont val="Courier New"/>
        <family val="3"/>
      </rPr>
      <t>,</t>
    </r>
    <r>
      <rPr>
        <sz val="10"/>
        <color theme="1"/>
        <rFont val="Courier New"/>
        <family val="3"/>
      </rPr>
      <t xml:space="preserve"> [UC (Target MFF)] </t>
    </r>
    <r>
      <rPr>
        <sz val="10"/>
        <color rgb="FF0000FF"/>
        <rFont val="Courier New"/>
        <family val="3"/>
      </rPr>
      <t>float</t>
    </r>
    <r>
      <rPr>
        <sz val="10"/>
        <color rgb="FF808080"/>
        <rFont val="Courier New"/>
        <family val="3"/>
      </rPr>
      <t>,</t>
    </r>
    <r>
      <rPr>
        <sz val="10"/>
        <color theme="1"/>
        <rFont val="Courier New"/>
        <family val="3"/>
      </rPr>
      <t xml:space="preserve"> </t>
    </r>
  </si>
  <si>
    <r>
      <t xml:space="preserve">[TC (Target MFF)] </t>
    </r>
    <r>
      <rPr>
        <sz val="10"/>
        <color rgb="FF0000FF"/>
        <rFont val="Courier New"/>
        <family val="3"/>
      </rPr>
      <t>float</t>
    </r>
    <r>
      <rPr>
        <sz val="10"/>
        <color rgb="FF808080"/>
        <rFont val="Courier New"/>
        <family val="3"/>
      </rPr>
      <t>,</t>
    </r>
    <r>
      <rPr>
        <sz val="10"/>
        <color theme="1"/>
        <rFont val="Courier New"/>
        <family val="3"/>
      </rPr>
      <t xml:space="preserve">  [TC (Payment MFF)] </t>
    </r>
    <r>
      <rPr>
        <sz val="10"/>
        <color rgb="FF0000FF"/>
        <rFont val="Courier New"/>
        <family val="3"/>
      </rPr>
      <t>float</t>
    </r>
    <r>
      <rPr>
        <sz val="10"/>
        <color rgb="FF808080"/>
        <rFont val="Courier New"/>
        <family val="3"/>
      </rPr>
      <t>)</t>
    </r>
  </si>
  <si>
    <r>
      <t>INSERT</t>
    </r>
    <r>
      <rPr>
        <sz val="10"/>
        <color theme="1"/>
        <rFont val="Courier New"/>
        <family val="3"/>
      </rPr>
      <t xml:space="preserve"> </t>
    </r>
    <r>
      <rPr>
        <sz val="10"/>
        <color rgb="FF0000FF"/>
        <rFont val="Courier New"/>
        <family val="3"/>
      </rPr>
      <t>INTO</t>
    </r>
    <r>
      <rPr>
        <sz val="10"/>
        <color theme="1"/>
        <rFont val="Courier New"/>
        <family val="3"/>
      </rPr>
      <t xml:space="preserve"> #Remove_MFF</t>
    </r>
  </si>
  <si>
    <r>
      <t>SELECT</t>
    </r>
    <r>
      <rPr>
        <sz val="10"/>
        <color theme="1"/>
        <rFont val="Courier New"/>
        <family val="3"/>
      </rPr>
      <t xml:space="preserve"> #Filter_for_Scope</t>
    </r>
    <r>
      <rPr>
        <sz val="10"/>
        <color rgb="FF808080"/>
        <rFont val="Courier New"/>
        <family val="3"/>
      </rPr>
      <t>.*,</t>
    </r>
    <r>
      <rPr>
        <sz val="10"/>
        <color theme="1"/>
        <rFont val="Courier New"/>
        <family val="3"/>
      </rPr>
      <t xml:space="preserve"> [UC]</t>
    </r>
    <r>
      <rPr>
        <sz val="10"/>
        <color rgb="FF808080"/>
        <rFont val="Courier New"/>
        <family val="3"/>
      </rPr>
      <t>/</t>
    </r>
    <r>
      <rPr>
        <sz val="10"/>
        <color theme="1"/>
        <rFont val="Courier New"/>
        <family val="3"/>
      </rPr>
      <t xml:space="preserve"> p</t>
    </r>
    <r>
      <rPr>
        <sz val="10"/>
        <color rgb="FF808080"/>
        <rFont val="Courier New"/>
        <family val="3"/>
      </rPr>
      <t>.</t>
    </r>
    <r>
      <rPr>
        <sz val="10"/>
        <color theme="1"/>
        <rFont val="Courier New"/>
        <family val="3"/>
      </rPr>
      <t>[Target MFF]</t>
    </r>
    <r>
      <rPr>
        <sz val="10"/>
        <color rgb="FF808080"/>
        <rFont val="Courier New"/>
        <family val="3"/>
      </rPr>
      <t>,</t>
    </r>
    <r>
      <rPr>
        <sz val="10"/>
        <color theme="1"/>
        <rFont val="Courier New"/>
        <family val="3"/>
      </rPr>
      <t xml:space="preserve"> [TOTAL_COST] </t>
    </r>
    <r>
      <rPr>
        <sz val="10"/>
        <color rgb="FF808080"/>
        <rFont val="Courier New"/>
        <family val="3"/>
      </rPr>
      <t>/</t>
    </r>
    <r>
      <rPr>
        <sz val="10"/>
        <color theme="1"/>
        <rFont val="Courier New"/>
        <family val="3"/>
      </rPr>
      <t xml:space="preserve">  p</t>
    </r>
    <r>
      <rPr>
        <sz val="10"/>
        <color rgb="FF808080"/>
        <rFont val="Courier New"/>
        <family val="3"/>
      </rPr>
      <t>.</t>
    </r>
    <r>
      <rPr>
        <sz val="10"/>
        <color theme="1"/>
        <rFont val="Courier New"/>
        <family val="3"/>
      </rPr>
      <t>[Target MFF]</t>
    </r>
    <r>
      <rPr>
        <sz val="10"/>
        <color rgb="FF808080"/>
        <rFont val="Courier New"/>
        <family val="3"/>
      </rPr>
      <t>,</t>
    </r>
    <r>
      <rPr>
        <sz val="10"/>
        <color theme="1"/>
        <rFont val="Courier New"/>
        <family val="3"/>
      </rPr>
      <t xml:space="preserve"> [TOTAL_COST] </t>
    </r>
    <r>
      <rPr>
        <sz val="10"/>
        <color rgb="FF808080"/>
        <rFont val="Courier New"/>
        <family val="3"/>
      </rPr>
      <t>/</t>
    </r>
    <r>
      <rPr>
        <sz val="10"/>
        <color theme="1"/>
        <rFont val="Courier New"/>
        <family val="3"/>
      </rPr>
      <t xml:space="preserve">  p</t>
    </r>
    <r>
      <rPr>
        <sz val="10"/>
        <color rgb="FF808080"/>
        <rFont val="Courier New"/>
        <family val="3"/>
      </rPr>
      <t>.</t>
    </r>
    <r>
      <rPr>
        <sz val="10"/>
        <color theme="1"/>
        <rFont val="Courier New"/>
        <family val="3"/>
      </rPr>
      <t>[Capped MFF 2013/14]</t>
    </r>
  </si>
  <si>
    <r>
      <t>INSERT</t>
    </r>
    <r>
      <rPr>
        <sz val="10"/>
        <color theme="1"/>
        <rFont val="Courier New"/>
        <family val="3"/>
      </rPr>
      <t xml:space="preserve"> </t>
    </r>
    <r>
      <rPr>
        <sz val="10"/>
        <color rgb="FF0000FF"/>
        <rFont val="Courier New"/>
        <family val="3"/>
      </rPr>
      <t>INTO</t>
    </r>
    <r>
      <rPr>
        <sz val="10"/>
        <color theme="1"/>
        <rFont val="Courier New"/>
        <family val="3"/>
      </rPr>
      <t xml:space="preserve"> #National_Average</t>
    </r>
  </si>
  <si>
    <r>
      <t>SELECT</t>
    </r>
    <r>
      <rPr>
        <sz val="10"/>
        <color theme="1"/>
        <rFont val="Courier New"/>
        <family val="3"/>
      </rPr>
      <t xml:space="preserve"> [DEPARTMENT]</t>
    </r>
    <r>
      <rPr>
        <sz val="10"/>
        <color rgb="FF808080"/>
        <rFont val="Courier New"/>
        <family val="3"/>
      </rPr>
      <t>,</t>
    </r>
    <r>
      <rPr>
        <sz val="10"/>
        <color theme="1"/>
        <rFont val="Courier New"/>
        <family val="3"/>
      </rPr>
      <t xml:space="preserve"> [SERVICE]</t>
    </r>
    <r>
      <rPr>
        <sz val="10"/>
        <color rgb="FF808080"/>
        <rFont val="Courier New"/>
        <family val="3"/>
      </rPr>
      <t>,</t>
    </r>
    <r>
      <rPr>
        <sz val="10"/>
        <color theme="1"/>
        <rFont val="Courier New"/>
        <family val="3"/>
      </rPr>
      <t xml:space="preserve"> [CURRENCY]</t>
    </r>
    <r>
      <rPr>
        <sz val="10"/>
        <color rgb="FF808080"/>
        <rFont val="Courier New"/>
        <family val="3"/>
      </rPr>
      <t>,</t>
    </r>
    <r>
      <rPr>
        <sz val="10"/>
        <color theme="1"/>
        <rFont val="Courier New"/>
        <family val="3"/>
      </rPr>
      <t xml:space="preserve">  </t>
    </r>
    <r>
      <rPr>
        <sz val="10"/>
        <color rgb="FFFF00FF"/>
        <rFont val="Courier New"/>
        <family val="3"/>
      </rPr>
      <t>Sum</t>
    </r>
    <r>
      <rPr>
        <sz val="10"/>
        <color rgb="FF808080"/>
        <rFont val="Courier New"/>
        <family val="3"/>
      </rPr>
      <t>(</t>
    </r>
    <r>
      <rPr>
        <sz val="10"/>
        <color theme="1"/>
        <rFont val="Courier New"/>
        <family val="3"/>
      </rPr>
      <t>[UC (Target MFF)]</t>
    </r>
    <r>
      <rPr>
        <sz val="10"/>
        <color rgb="FF808080"/>
        <rFont val="Courier New"/>
        <family val="3"/>
      </rPr>
      <t>*</t>
    </r>
    <r>
      <rPr>
        <sz val="10"/>
        <color theme="1"/>
        <rFont val="Courier New"/>
        <family val="3"/>
      </rPr>
      <t>[ACTIVITY]</t>
    </r>
    <r>
      <rPr>
        <sz val="10"/>
        <color rgb="FF808080"/>
        <rFont val="Courier New"/>
        <family val="3"/>
      </rPr>
      <t>)/</t>
    </r>
    <r>
      <rPr>
        <sz val="10"/>
        <color rgb="FFFF00FF"/>
        <rFont val="Courier New"/>
        <family val="3"/>
      </rPr>
      <t>Sum</t>
    </r>
    <r>
      <rPr>
        <sz val="10"/>
        <color rgb="FF808080"/>
        <rFont val="Courier New"/>
        <family val="3"/>
      </rPr>
      <t>(</t>
    </r>
    <r>
      <rPr>
        <sz val="10"/>
        <color theme="1"/>
        <rFont val="Courier New"/>
        <family val="3"/>
      </rPr>
      <t>[ACTIVITY]</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NA</t>
    </r>
  </si>
  <si>
    <r>
      <t>FROM</t>
    </r>
    <r>
      <rPr>
        <sz val="10"/>
        <color theme="1"/>
        <rFont val="Courier New"/>
        <family val="3"/>
      </rPr>
      <t xml:space="preserve"> #Remove_MFF  </t>
    </r>
  </si>
  <si>
    <r>
      <t>GROUP</t>
    </r>
    <r>
      <rPr>
        <sz val="10"/>
        <color theme="1"/>
        <rFont val="Courier New"/>
        <family val="3"/>
      </rPr>
      <t xml:space="preserve"> </t>
    </r>
    <r>
      <rPr>
        <sz val="10"/>
        <color rgb="FF0000FF"/>
        <rFont val="Courier New"/>
        <family val="3"/>
      </rPr>
      <t>BY</t>
    </r>
    <r>
      <rPr>
        <sz val="10"/>
        <color theme="1"/>
        <rFont val="Courier New"/>
        <family val="3"/>
      </rPr>
      <t xml:space="preserve"> DEPARTMENT</t>
    </r>
    <r>
      <rPr>
        <sz val="10"/>
        <color rgb="FF808080"/>
        <rFont val="Courier New"/>
        <family val="3"/>
      </rPr>
      <t>,</t>
    </r>
    <r>
      <rPr>
        <sz val="10"/>
        <color theme="1"/>
        <rFont val="Courier New"/>
        <family val="3"/>
      </rPr>
      <t xml:space="preserve"> [Service]</t>
    </r>
    <r>
      <rPr>
        <sz val="10"/>
        <color rgb="FF808080"/>
        <rFont val="Courier New"/>
        <family val="3"/>
      </rPr>
      <t>,</t>
    </r>
    <r>
      <rPr>
        <sz val="10"/>
        <color theme="1"/>
        <rFont val="Courier New"/>
        <family val="3"/>
      </rPr>
      <t xml:space="preserve">  CURRENCY</t>
    </r>
  </si>
  <si>
    <r>
      <t>CREATE</t>
    </r>
    <r>
      <rPr>
        <sz val="10"/>
        <color theme="1"/>
        <rFont val="Courier New"/>
        <family val="3"/>
      </rPr>
      <t xml:space="preserve"> </t>
    </r>
    <r>
      <rPr>
        <sz val="10"/>
        <color rgb="FF0000FF"/>
        <rFont val="Courier New"/>
        <family val="3"/>
      </rPr>
      <t>TABLE</t>
    </r>
    <r>
      <rPr>
        <sz val="10"/>
        <color theme="1"/>
        <rFont val="Courier New"/>
        <family val="3"/>
      </rPr>
      <t xml:space="preserve"> #Clean_Data</t>
    </r>
    <r>
      <rPr>
        <sz val="10"/>
        <color rgb="FF0000FF"/>
        <rFont val="Courier New"/>
        <family val="3"/>
      </rPr>
      <t xml:space="preserve"> </t>
    </r>
    <r>
      <rPr>
        <sz val="10"/>
        <color rgb="FF808080"/>
        <rFont val="Courier New"/>
        <family val="3"/>
      </rPr>
      <t>(</t>
    </r>
    <r>
      <rPr>
        <sz val="10"/>
        <color theme="1"/>
        <rFont val="Courier New"/>
        <family val="3"/>
      </rPr>
      <t xml:space="preserve">[ORGCode]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[DEPARTMENT]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[Service]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[CURRENCY] </t>
    </r>
    <r>
      <rPr>
        <sz val="10"/>
        <color rgb="FF0000FF"/>
        <rFont val="Courier New"/>
        <family val="3"/>
      </rPr>
      <t xml:space="preserve">varchar </t>
    </r>
    <r>
      <rPr>
        <sz val="10"/>
        <color rgb="FF808080"/>
        <rFont val="Courier New"/>
        <family val="3"/>
      </rPr>
      <t>(</t>
    </r>
    <r>
      <rPr>
        <sz val="10"/>
        <color theme="1"/>
        <rFont val="Courier New"/>
        <family val="3"/>
      </rPr>
      <t>100</t>
    </r>
    <r>
      <rPr>
        <sz val="10"/>
        <color rgb="FF808080"/>
        <rFont val="Courier New"/>
        <family val="3"/>
      </rPr>
      <t>),</t>
    </r>
  </si>
  <si>
    <r>
      <t xml:space="preserve">[TC (Target MFF)] </t>
    </r>
    <r>
      <rPr>
        <sz val="10"/>
        <color rgb="FF0000FF"/>
        <rFont val="Courier New"/>
        <family val="3"/>
      </rPr>
      <t>float</t>
    </r>
    <r>
      <rPr>
        <sz val="10"/>
        <color rgb="FF808080"/>
        <rFont val="Courier New"/>
        <family val="3"/>
      </rPr>
      <t>,</t>
    </r>
    <r>
      <rPr>
        <sz val="10"/>
        <color theme="1"/>
        <rFont val="Courier New"/>
        <family val="3"/>
      </rPr>
      <t xml:space="preserve">  [TC (Payment MFF)] </t>
    </r>
    <r>
      <rPr>
        <sz val="10"/>
        <color rgb="FF0000FF"/>
        <rFont val="Courier New"/>
        <family val="3"/>
      </rPr>
      <t>float</t>
    </r>
    <r>
      <rPr>
        <sz val="10"/>
        <color rgb="FF808080"/>
        <rFont val="Courier New"/>
        <family val="3"/>
      </rPr>
      <t>,</t>
    </r>
    <r>
      <rPr>
        <sz val="10"/>
        <color theme="1"/>
        <rFont val="Courier New"/>
        <family val="3"/>
      </rPr>
      <t xml:space="preserve"> [anomaly] </t>
    </r>
    <r>
      <rPr>
        <sz val="10"/>
        <color rgb="FF0000FF"/>
        <rFont val="Courier New"/>
        <family val="3"/>
      </rPr>
      <t>int</t>
    </r>
    <r>
      <rPr>
        <sz val="10"/>
        <color rgb="FF808080"/>
        <rFont val="Courier New"/>
        <family val="3"/>
      </rPr>
      <t>)</t>
    </r>
  </si>
  <si>
    <r>
      <t>INSERT</t>
    </r>
    <r>
      <rPr>
        <sz val="10"/>
        <color theme="1"/>
        <rFont val="Courier New"/>
        <family val="3"/>
      </rPr>
      <t xml:space="preserve"> </t>
    </r>
    <r>
      <rPr>
        <sz val="10"/>
        <color rgb="FF0000FF"/>
        <rFont val="Courier New"/>
        <family val="3"/>
      </rPr>
      <t>INTO</t>
    </r>
    <r>
      <rPr>
        <sz val="10"/>
        <color theme="1"/>
        <rFont val="Courier New"/>
        <family val="3"/>
      </rPr>
      <t xml:space="preserve"> #Clean_Data</t>
    </r>
  </si>
  <si>
    <r>
      <t>SELECT</t>
    </r>
    <r>
      <rPr>
        <sz val="10"/>
        <color theme="1"/>
        <rFont val="Courier New"/>
        <family val="3"/>
      </rPr>
      <t xml:space="preserve"> </t>
    </r>
  </si>
  <si>
    <r>
      <t>#Remove_MFF</t>
    </r>
    <r>
      <rPr>
        <sz val="10"/>
        <color rgb="FF808080"/>
        <rFont val="Courier New"/>
        <family val="3"/>
      </rPr>
      <t>.*</t>
    </r>
    <r>
      <rPr>
        <sz val="10"/>
        <color theme="1"/>
        <rFont val="Courier New"/>
        <family val="3"/>
      </rPr>
      <t xml:space="preserve"> </t>
    </r>
    <r>
      <rPr>
        <sz val="10"/>
        <color rgb="FF808080"/>
        <rFont val="Courier New"/>
        <family val="3"/>
      </rPr>
      <t>,</t>
    </r>
    <r>
      <rPr>
        <sz val="10"/>
        <color theme="1"/>
        <rFont val="Courier New"/>
        <family val="3"/>
      </rPr>
      <t xml:space="preserve"> </t>
    </r>
  </si>
  <si>
    <r>
      <t xml:space="preserve"> [anomaly] </t>
    </r>
    <r>
      <rPr>
        <sz val="10"/>
        <color rgb="FF808080"/>
        <rFont val="Courier New"/>
        <family val="3"/>
      </rPr>
      <t>=</t>
    </r>
    <r>
      <rPr>
        <sz val="10"/>
        <color theme="1"/>
        <rFont val="Courier New"/>
        <family val="3"/>
      </rPr>
      <t xml:space="preserve"> </t>
    </r>
    <r>
      <rPr>
        <sz val="10"/>
        <color rgb="FF0000FF"/>
        <rFont val="Courier New"/>
        <family val="3"/>
      </rPr>
      <t>CASE</t>
    </r>
    <r>
      <rPr>
        <sz val="10"/>
        <color theme="1"/>
        <rFont val="Courier New"/>
        <family val="3"/>
      </rPr>
      <t xml:space="preserve"> </t>
    </r>
    <r>
      <rPr>
        <sz val="10"/>
        <color rgb="FF0000FF"/>
        <rFont val="Courier New"/>
        <family val="3"/>
      </rPr>
      <t>WHEN</t>
    </r>
    <r>
      <rPr>
        <sz val="10"/>
        <color theme="1"/>
        <rFont val="Courier New"/>
        <family val="3"/>
      </rPr>
      <t xml:space="preserve">  [UC (Target MFF)]</t>
    </r>
    <r>
      <rPr>
        <sz val="10"/>
        <color rgb="FF808080"/>
        <rFont val="Courier New"/>
        <family val="3"/>
      </rPr>
      <t>/</t>
    </r>
    <r>
      <rPr>
        <sz val="10"/>
        <color theme="1"/>
        <rFont val="Courier New"/>
        <family val="3"/>
      </rPr>
      <t>[NA]</t>
    </r>
    <r>
      <rPr>
        <sz val="10"/>
        <color rgb="FF808080"/>
        <rFont val="Courier New"/>
        <family val="3"/>
      </rPr>
      <t>&lt;</t>
    </r>
    <r>
      <rPr>
        <sz val="10"/>
        <color theme="1"/>
        <rFont val="Courier New"/>
        <family val="3"/>
      </rPr>
      <t xml:space="preserve">0.05 </t>
    </r>
    <r>
      <rPr>
        <sz val="10"/>
        <color rgb="FF808080"/>
        <rFont val="Courier New"/>
        <family val="3"/>
      </rPr>
      <t>OR</t>
    </r>
    <r>
      <rPr>
        <sz val="10"/>
        <color theme="1"/>
        <rFont val="Courier New"/>
        <family val="3"/>
      </rPr>
      <t xml:space="preserve"> [UC (Target MFF)]</t>
    </r>
    <r>
      <rPr>
        <sz val="10"/>
        <color rgb="FF808080"/>
        <rFont val="Courier New"/>
        <family val="3"/>
      </rPr>
      <t>/</t>
    </r>
    <r>
      <rPr>
        <sz val="10"/>
        <color theme="1"/>
        <rFont val="Courier New"/>
        <family val="3"/>
      </rPr>
      <t>[NA]</t>
    </r>
    <r>
      <rPr>
        <sz val="10"/>
        <color rgb="FF808080"/>
        <rFont val="Courier New"/>
        <family val="3"/>
      </rPr>
      <t>&gt;</t>
    </r>
    <r>
      <rPr>
        <sz val="10"/>
        <color theme="1"/>
        <rFont val="Courier New"/>
        <family val="3"/>
      </rPr>
      <t>20</t>
    </r>
  </si>
  <si>
    <r>
      <t>THEN</t>
    </r>
    <r>
      <rPr>
        <sz val="10"/>
        <color theme="1"/>
        <rFont val="Courier New"/>
        <family val="3"/>
      </rPr>
      <t xml:space="preserve"> 1 </t>
    </r>
    <r>
      <rPr>
        <sz val="10"/>
        <color rgb="FF0000FF"/>
        <rFont val="Courier New"/>
        <family val="3"/>
      </rPr>
      <t>ELSE</t>
    </r>
    <r>
      <rPr>
        <sz val="10"/>
        <color theme="1"/>
        <rFont val="Courier New"/>
        <family val="3"/>
      </rPr>
      <t xml:space="preserve"> 0 </t>
    </r>
    <r>
      <rPr>
        <sz val="10"/>
        <color rgb="FF0000FF"/>
        <rFont val="Courier New"/>
        <family val="3"/>
      </rPr>
      <t>END</t>
    </r>
  </si>
  <si>
    <r>
      <t xml:space="preserve"> </t>
    </r>
    <r>
      <rPr>
        <sz val="10"/>
        <color rgb="FF0000FF"/>
        <rFont val="Courier New"/>
        <family val="3"/>
      </rPr>
      <t>FROM</t>
    </r>
    <r>
      <rPr>
        <sz val="10"/>
        <color theme="1"/>
        <rFont val="Courier New"/>
        <family val="3"/>
      </rPr>
      <t xml:space="preserve"> #Remove_MFF </t>
    </r>
    <r>
      <rPr>
        <sz val="10"/>
        <color rgb="FF808080"/>
        <rFont val="Courier New"/>
        <family val="3"/>
      </rPr>
      <t>INNER</t>
    </r>
    <r>
      <rPr>
        <sz val="10"/>
        <color theme="1"/>
        <rFont val="Courier New"/>
        <family val="3"/>
      </rPr>
      <t xml:space="preserve"> </t>
    </r>
    <r>
      <rPr>
        <sz val="10"/>
        <color rgb="FF808080"/>
        <rFont val="Courier New"/>
        <family val="3"/>
      </rPr>
      <t>JOIN</t>
    </r>
    <r>
      <rPr>
        <sz val="10"/>
        <color theme="1"/>
        <rFont val="Courier New"/>
        <family val="3"/>
      </rPr>
      <t xml:space="preserve"> #National_Average </t>
    </r>
    <r>
      <rPr>
        <sz val="10"/>
        <color rgb="FF0000FF"/>
        <rFont val="Courier New"/>
        <family val="3"/>
      </rPr>
      <t>ON</t>
    </r>
    <r>
      <rPr>
        <sz val="10"/>
        <color theme="1"/>
        <rFont val="Courier New"/>
        <family val="3"/>
      </rPr>
      <t xml:space="preserve"> </t>
    </r>
  </si>
  <si>
    <r>
      <t>#Remove_MFF</t>
    </r>
    <r>
      <rPr>
        <sz val="10"/>
        <color rgb="FF808080"/>
        <rFont val="Courier New"/>
        <family val="3"/>
      </rPr>
      <t>.</t>
    </r>
    <r>
      <rPr>
        <sz val="10"/>
        <color theme="1"/>
        <rFont val="Courier New"/>
        <family val="3"/>
      </rPr>
      <t xml:space="preserve">CURRENCY </t>
    </r>
    <r>
      <rPr>
        <sz val="10"/>
        <color rgb="FF808080"/>
        <rFont val="Courier New"/>
        <family val="3"/>
      </rPr>
      <t>=</t>
    </r>
    <r>
      <rPr>
        <sz val="10"/>
        <color theme="1"/>
        <rFont val="Courier New"/>
        <family val="3"/>
      </rPr>
      <t xml:space="preserve"> #National_Average</t>
    </r>
    <r>
      <rPr>
        <sz val="10"/>
        <color rgb="FF808080"/>
        <rFont val="Courier New"/>
        <family val="3"/>
      </rPr>
      <t>.</t>
    </r>
    <r>
      <rPr>
        <sz val="10"/>
        <color theme="1"/>
        <rFont val="Courier New"/>
        <family val="3"/>
      </rPr>
      <t xml:space="preserve">CURRENCY </t>
    </r>
    <r>
      <rPr>
        <sz val="10"/>
        <color rgb="FF808080"/>
        <rFont val="Courier New"/>
        <family val="3"/>
      </rPr>
      <t>AND</t>
    </r>
    <r>
      <rPr>
        <sz val="10"/>
        <color theme="1"/>
        <rFont val="Courier New"/>
        <family val="3"/>
      </rPr>
      <t xml:space="preserve"> </t>
    </r>
  </si>
  <si>
    <r>
      <t>#Remove_MFF</t>
    </r>
    <r>
      <rPr>
        <sz val="10"/>
        <color rgb="FF808080"/>
        <rFont val="Courier New"/>
        <family val="3"/>
      </rPr>
      <t>.</t>
    </r>
    <r>
      <rPr>
        <sz val="10"/>
        <color theme="1"/>
        <rFont val="Courier New"/>
        <family val="3"/>
      </rPr>
      <t xml:space="preserve">DEPARTMENT </t>
    </r>
    <r>
      <rPr>
        <sz val="10"/>
        <color rgb="FF808080"/>
        <rFont val="Courier New"/>
        <family val="3"/>
      </rPr>
      <t>=</t>
    </r>
    <r>
      <rPr>
        <sz val="10"/>
        <color theme="1"/>
        <rFont val="Courier New"/>
        <family val="3"/>
      </rPr>
      <t xml:space="preserve"> #National_Average</t>
    </r>
    <r>
      <rPr>
        <sz val="10"/>
        <color rgb="FF808080"/>
        <rFont val="Courier New"/>
        <family val="3"/>
      </rPr>
      <t>.</t>
    </r>
    <r>
      <rPr>
        <sz val="10"/>
        <color theme="1"/>
        <rFont val="Courier New"/>
        <family val="3"/>
      </rPr>
      <t xml:space="preserve">DEPARTMENT </t>
    </r>
    <r>
      <rPr>
        <sz val="10"/>
        <color rgb="FF808080"/>
        <rFont val="Courier New"/>
        <family val="3"/>
      </rPr>
      <t>AND</t>
    </r>
  </si>
  <si>
    <r>
      <t>#Remove_MFF</t>
    </r>
    <r>
      <rPr>
        <sz val="10"/>
        <color rgb="FF808080"/>
        <rFont val="Courier New"/>
        <family val="3"/>
      </rPr>
      <t>.</t>
    </r>
    <r>
      <rPr>
        <sz val="10"/>
        <color theme="1"/>
        <rFont val="Courier New"/>
        <family val="3"/>
      </rPr>
      <t xml:space="preserve">[Service] </t>
    </r>
    <r>
      <rPr>
        <sz val="10"/>
        <color rgb="FF808080"/>
        <rFont val="Courier New"/>
        <family val="3"/>
      </rPr>
      <t>=</t>
    </r>
    <r>
      <rPr>
        <sz val="10"/>
        <color theme="1"/>
        <rFont val="Courier New"/>
        <family val="3"/>
      </rPr>
      <t xml:space="preserve"> #National_Average</t>
    </r>
    <r>
      <rPr>
        <sz val="10"/>
        <color rgb="FF808080"/>
        <rFont val="Courier New"/>
        <family val="3"/>
      </rPr>
      <t>.</t>
    </r>
    <r>
      <rPr>
        <sz val="10"/>
        <color theme="1"/>
        <rFont val="Courier New"/>
        <family val="3"/>
      </rPr>
      <t>[Service]</t>
    </r>
  </si>
  <si>
    <r>
      <t>(</t>
    </r>
    <r>
      <rPr>
        <sz val="10"/>
        <color rgb="FF0000FF"/>
        <rFont val="Courier New"/>
        <family val="3"/>
      </rPr>
      <t>CASE</t>
    </r>
    <r>
      <rPr>
        <sz val="10"/>
        <color theme="1"/>
        <rFont val="Courier New"/>
        <family val="3"/>
      </rPr>
      <t xml:space="preserve"> </t>
    </r>
    <r>
      <rPr>
        <sz val="10"/>
        <color rgb="FF0000FF"/>
        <rFont val="Courier New"/>
        <family val="3"/>
      </rPr>
      <t>WHEN</t>
    </r>
    <r>
      <rPr>
        <sz val="10"/>
        <color theme="1"/>
        <rFont val="Courier New"/>
        <family val="3"/>
      </rPr>
      <t xml:space="preserve">  [UC (Target MFF)]</t>
    </r>
    <r>
      <rPr>
        <sz val="10"/>
        <color rgb="FF808080"/>
        <rFont val="Courier New"/>
        <family val="3"/>
      </rPr>
      <t>/</t>
    </r>
    <r>
      <rPr>
        <sz val="10"/>
        <color theme="1"/>
        <rFont val="Courier New"/>
        <family val="3"/>
      </rPr>
      <t>[NA]</t>
    </r>
    <r>
      <rPr>
        <sz val="10"/>
        <color rgb="FF808080"/>
        <rFont val="Courier New"/>
        <family val="3"/>
      </rPr>
      <t>&lt;</t>
    </r>
    <r>
      <rPr>
        <sz val="10"/>
        <color theme="1"/>
        <rFont val="Courier New"/>
        <family val="3"/>
      </rPr>
      <t xml:space="preserve">0.05 </t>
    </r>
    <r>
      <rPr>
        <sz val="10"/>
        <color rgb="FF808080"/>
        <rFont val="Courier New"/>
        <family val="3"/>
      </rPr>
      <t>OR</t>
    </r>
    <r>
      <rPr>
        <sz val="10"/>
        <color theme="1"/>
        <rFont val="Courier New"/>
        <family val="3"/>
      </rPr>
      <t xml:space="preserve"> [UC (Target MFF)]</t>
    </r>
    <r>
      <rPr>
        <sz val="10"/>
        <color rgb="FF808080"/>
        <rFont val="Courier New"/>
        <family val="3"/>
      </rPr>
      <t>/</t>
    </r>
    <r>
      <rPr>
        <sz val="10"/>
        <color theme="1"/>
        <rFont val="Courier New"/>
        <family val="3"/>
      </rPr>
      <t>[NA]</t>
    </r>
    <r>
      <rPr>
        <sz val="10"/>
        <color rgb="FF808080"/>
        <rFont val="Courier New"/>
        <family val="3"/>
      </rPr>
      <t>&gt;</t>
    </r>
    <r>
      <rPr>
        <sz val="10"/>
        <color theme="1"/>
        <rFont val="Courier New"/>
        <family val="3"/>
      </rPr>
      <t>20</t>
    </r>
  </si>
  <si>
    <r>
      <t xml:space="preserve"> </t>
    </r>
    <r>
      <rPr>
        <sz val="10"/>
        <color rgb="FF0000FF"/>
        <rFont val="Courier New"/>
        <family val="3"/>
      </rPr>
      <t>THEN</t>
    </r>
    <r>
      <rPr>
        <sz val="10"/>
        <color theme="1"/>
        <rFont val="Courier New"/>
        <family val="3"/>
      </rPr>
      <t xml:space="preserve"> 1 </t>
    </r>
    <r>
      <rPr>
        <sz val="10"/>
        <color rgb="FF0000FF"/>
        <rFont val="Courier New"/>
        <family val="3"/>
      </rPr>
      <t>ELSE</t>
    </r>
    <r>
      <rPr>
        <sz val="10"/>
        <color theme="1"/>
        <rFont val="Courier New"/>
        <family val="3"/>
      </rPr>
      <t xml:space="preserve"> 0 </t>
    </r>
    <r>
      <rPr>
        <sz val="10"/>
        <color rgb="FF0000FF"/>
        <rFont val="Courier New"/>
        <family val="3"/>
      </rPr>
      <t>END</t>
    </r>
    <r>
      <rPr>
        <sz val="10"/>
        <color rgb="FF808080"/>
        <rFont val="Courier New"/>
        <family val="3"/>
      </rPr>
      <t>)</t>
    </r>
    <r>
      <rPr>
        <sz val="10"/>
        <color theme="1"/>
        <rFont val="Courier New"/>
        <family val="3"/>
      </rPr>
      <t xml:space="preserve"> </t>
    </r>
    <r>
      <rPr>
        <sz val="10"/>
        <color rgb="FF808080"/>
        <rFont val="Courier New"/>
        <family val="3"/>
      </rPr>
      <t>=</t>
    </r>
    <r>
      <rPr>
        <sz val="10"/>
        <color theme="1"/>
        <rFont val="Courier New"/>
        <family val="3"/>
      </rPr>
      <t xml:space="preserve"> 0</t>
    </r>
  </si>
  <si>
    <r>
      <t>CREATE</t>
    </r>
    <r>
      <rPr>
        <sz val="10"/>
        <color theme="1"/>
        <rFont val="Courier New"/>
        <family val="3"/>
      </rPr>
      <t xml:space="preserve"> </t>
    </r>
    <r>
      <rPr>
        <sz val="10"/>
        <color rgb="FF0000FF"/>
        <rFont val="Courier New"/>
        <family val="3"/>
      </rPr>
      <t>TABLE</t>
    </r>
    <r>
      <rPr>
        <sz val="10"/>
        <color theme="1"/>
        <rFont val="Courier New"/>
        <family val="3"/>
      </rPr>
      <t xml:space="preserve"> #NATIONAL_DATA_CLEAN</t>
    </r>
    <r>
      <rPr>
        <sz val="10"/>
        <color rgb="FF0000FF"/>
        <rFont val="Courier New"/>
        <family val="3"/>
      </rPr>
      <t xml:space="preserve"> </t>
    </r>
    <r>
      <rPr>
        <sz val="10"/>
        <color rgb="FF808080"/>
        <rFont val="Courier New"/>
        <family val="3"/>
      </rPr>
      <t>(</t>
    </r>
    <r>
      <rPr>
        <sz val="10"/>
        <color theme="1"/>
        <rFont val="Courier New"/>
        <family val="3"/>
      </rPr>
      <t xml:space="preserve">[DEPARTMENT]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[Service]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[CURRENCY] </t>
    </r>
    <r>
      <rPr>
        <sz val="10"/>
        <color rgb="FF0000FF"/>
        <rFont val="Courier New"/>
        <family val="3"/>
      </rPr>
      <t xml:space="preserve">varchar </t>
    </r>
    <r>
      <rPr>
        <sz val="10"/>
        <color rgb="FF808080"/>
        <rFont val="Courier New"/>
        <family val="3"/>
      </rPr>
      <t>(</t>
    </r>
    <r>
      <rPr>
        <sz val="10"/>
        <color theme="1"/>
        <rFont val="Courier New"/>
        <family val="3"/>
      </rPr>
      <t>100</t>
    </r>
    <r>
      <rPr>
        <sz val="10"/>
        <color rgb="FF808080"/>
        <rFont val="Courier New"/>
        <family val="3"/>
      </rPr>
      <t>),</t>
    </r>
  </si>
  <si>
    <r>
      <t xml:space="preserve">[TOTAL_ACTIVITY] </t>
    </r>
    <r>
      <rPr>
        <sz val="10"/>
        <color rgb="FF0000FF"/>
        <rFont val="Courier New"/>
        <family val="3"/>
      </rPr>
      <t>float</t>
    </r>
    <r>
      <rPr>
        <sz val="10"/>
        <color rgb="FF808080"/>
        <rFont val="Courier New"/>
        <family val="3"/>
      </rPr>
      <t>,</t>
    </r>
    <r>
      <rPr>
        <sz val="10"/>
        <color theme="1"/>
        <rFont val="Courier New"/>
        <family val="3"/>
      </rPr>
      <t xml:space="preserve"> [TOTAL_COST] </t>
    </r>
    <r>
      <rPr>
        <sz val="10"/>
        <color rgb="FF0000FF"/>
        <rFont val="Courier New"/>
        <family val="3"/>
      </rPr>
      <t>float</t>
    </r>
    <r>
      <rPr>
        <sz val="10"/>
        <color rgb="FF808080"/>
        <rFont val="Courier New"/>
        <family val="3"/>
      </rPr>
      <t>,</t>
    </r>
    <r>
      <rPr>
        <sz val="10"/>
        <color theme="1"/>
        <rFont val="Courier New"/>
        <family val="3"/>
      </rPr>
      <t xml:space="preserve"> [HRG UC (Target MFF)] </t>
    </r>
    <r>
      <rPr>
        <sz val="10"/>
        <color rgb="FF0000FF"/>
        <rFont val="Courier New"/>
        <family val="3"/>
      </rPr>
      <t>float</t>
    </r>
    <r>
      <rPr>
        <sz val="10"/>
        <color rgb="FF808080"/>
        <rFont val="Courier New"/>
        <family val="3"/>
      </rPr>
      <t>)</t>
    </r>
  </si>
  <si>
    <r>
      <t>INSERT</t>
    </r>
    <r>
      <rPr>
        <sz val="10"/>
        <color theme="1"/>
        <rFont val="Courier New"/>
        <family val="3"/>
      </rPr>
      <t xml:space="preserve"> </t>
    </r>
    <r>
      <rPr>
        <sz val="10"/>
        <color rgb="FF0000FF"/>
        <rFont val="Courier New"/>
        <family val="3"/>
      </rPr>
      <t>INTO</t>
    </r>
    <r>
      <rPr>
        <sz val="10"/>
        <color theme="1"/>
        <rFont val="Courier New"/>
        <family val="3"/>
      </rPr>
      <t xml:space="preserve"> #NATIONAL_DATA_CLEAN</t>
    </r>
  </si>
  <si>
    <r>
      <t>DEPARTMENT</t>
    </r>
    <r>
      <rPr>
        <sz val="10"/>
        <color rgb="FF808080"/>
        <rFont val="Courier New"/>
        <family val="3"/>
      </rPr>
      <t>,</t>
    </r>
    <r>
      <rPr>
        <sz val="10"/>
        <color theme="1"/>
        <rFont val="Courier New"/>
        <family val="3"/>
      </rPr>
      <t xml:space="preserve"> </t>
    </r>
  </si>
  <si>
    <r>
      <t>FROM</t>
    </r>
    <r>
      <rPr>
        <sz val="10"/>
        <color theme="1"/>
        <rFont val="Courier New"/>
        <family val="3"/>
      </rPr>
      <t xml:space="preserve"> #Clean_Data</t>
    </r>
  </si>
  <si>
    <r>
      <t>(</t>
    </r>
    <r>
      <rPr>
        <sz val="10"/>
        <color rgb="FF0000FF"/>
        <rFont val="Courier New"/>
        <family val="3"/>
      </rPr>
      <t>CASE</t>
    </r>
    <r>
      <rPr>
        <sz val="10"/>
        <color theme="1"/>
        <rFont val="Courier New"/>
        <family val="3"/>
      </rPr>
      <t xml:space="preserve"> </t>
    </r>
    <r>
      <rPr>
        <sz val="10"/>
        <color rgb="FF0000FF"/>
        <rFont val="Courier New"/>
        <family val="3"/>
      </rPr>
      <t>WHEN</t>
    </r>
    <r>
      <rPr>
        <sz val="10"/>
        <color theme="1"/>
        <rFont val="Courier New"/>
        <family val="3"/>
      </rPr>
      <t xml:space="preserve"> [Service] </t>
    </r>
    <r>
      <rPr>
        <sz val="10"/>
        <color rgb="FF808080"/>
        <rFont val="Courier New"/>
        <family val="3"/>
      </rPr>
      <t>Like</t>
    </r>
    <r>
      <rPr>
        <sz val="10"/>
        <color theme="1"/>
        <rFont val="Courier New"/>
        <family val="3"/>
      </rPr>
      <t xml:space="preserve"> </t>
    </r>
    <r>
      <rPr>
        <sz val="10"/>
        <color rgb="FFFF0000"/>
        <rFont val="Courier New"/>
        <family val="3"/>
      </rPr>
      <t>'DA'</t>
    </r>
    <r>
      <rPr>
        <sz val="10"/>
        <color theme="1"/>
        <rFont val="Courier New"/>
        <family val="3"/>
      </rPr>
      <t xml:space="preserve"> </t>
    </r>
    <r>
      <rPr>
        <sz val="10"/>
        <color rgb="FF0000FF"/>
        <rFont val="Courier New"/>
        <family val="3"/>
      </rPr>
      <t>then</t>
    </r>
    <r>
      <rPr>
        <sz val="10"/>
        <color theme="1"/>
        <rFont val="Courier New"/>
        <family val="3"/>
      </rPr>
      <t xml:space="preserve"> </t>
    </r>
    <r>
      <rPr>
        <sz val="10"/>
        <color rgb="FFFF0000"/>
        <rFont val="Courier New"/>
        <family val="3"/>
      </rPr>
      <t>'OP/DA'</t>
    </r>
    <r>
      <rPr>
        <sz val="10"/>
        <color theme="1"/>
        <rFont val="Courier New"/>
        <family val="3"/>
      </rPr>
      <t xml:space="preserve"> </t>
    </r>
    <r>
      <rPr>
        <sz val="10"/>
        <color rgb="FF0000FF"/>
        <rFont val="Courier New"/>
        <family val="3"/>
      </rPr>
      <t>ELSE</t>
    </r>
    <r>
      <rPr>
        <sz val="10"/>
        <color theme="1"/>
        <rFont val="Courier New"/>
        <family val="3"/>
      </rPr>
      <t xml:space="preserve"> </t>
    </r>
    <r>
      <rPr>
        <sz val="10"/>
        <color rgb="FFFF0000"/>
        <rFont val="Courier New"/>
        <family val="3"/>
      </rPr>
      <t>'OP/DA'</t>
    </r>
    <r>
      <rPr>
        <sz val="10"/>
        <color theme="1"/>
        <rFont val="Courier New"/>
        <family val="3"/>
      </rPr>
      <t xml:space="preserve"> </t>
    </r>
    <r>
      <rPr>
        <sz val="10"/>
        <color rgb="FF0000FF"/>
        <rFont val="Courier New"/>
        <family val="3"/>
      </rPr>
      <t>END</t>
    </r>
    <r>
      <rPr>
        <sz val="10"/>
        <color rgb="FF808080"/>
        <rFont val="Courier New"/>
        <family val="3"/>
      </rPr>
      <t>),</t>
    </r>
    <r>
      <rPr>
        <sz val="10"/>
        <color theme="1"/>
        <rFont val="Courier New"/>
        <family val="3"/>
      </rPr>
      <t xml:space="preserve"> </t>
    </r>
  </si>
  <si>
    <r>
      <t>INSERT</t>
    </r>
    <r>
      <rPr>
        <sz val="10"/>
        <color theme="1"/>
        <rFont val="Courier New"/>
        <family val="3"/>
      </rPr>
      <t xml:space="preserve"> </t>
    </r>
    <r>
      <rPr>
        <sz val="10"/>
        <color rgb="FF0000FF"/>
        <rFont val="Courier New"/>
        <family val="3"/>
      </rPr>
      <t>INTO</t>
    </r>
    <r>
      <rPr>
        <sz val="10"/>
        <color theme="1"/>
        <rFont val="Courier New"/>
        <family val="3"/>
      </rPr>
      <t xml:space="preserve"> #MFF_IMPACT</t>
    </r>
  </si>
  <si>
    <r>
      <t>SELECT</t>
    </r>
    <r>
      <rPr>
        <sz val="10"/>
        <color theme="1"/>
        <rFont val="Courier New"/>
        <family val="3"/>
      </rP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color theme="1"/>
        <rFont val="Courier New"/>
        <family val="3"/>
      </rPr>
      <t>[TOTAL_COST]</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[INC MFF]</t>
    </r>
    <r>
      <rPr>
        <sz val="10"/>
        <color rgb="FF808080"/>
        <rFont val="Courier New"/>
        <family val="3"/>
      </rPr>
      <t>,</t>
    </r>
    <r>
      <rPr>
        <sz val="10"/>
        <color theme="1"/>
        <rFont val="Courier New"/>
        <family val="3"/>
      </rP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color theme="1"/>
        <rFont val="Courier New"/>
        <family val="3"/>
      </rPr>
      <t>[TC (Target MFF)]</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[EXEC MFF]</t>
    </r>
    <r>
      <rPr>
        <sz val="10"/>
        <color rgb="FF808080"/>
        <rFont val="Courier New"/>
        <family val="3"/>
      </rPr>
      <t>,</t>
    </r>
    <r>
      <rPr>
        <sz val="10"/>
        <color theme="1"/>
        <rFont val="Courier New"/>
        <family val="3"/>
      </rP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color theme="1"/>
        <rFont val="Courier New"/>
        <family val="3"/>
      </rPr>
      <t>[TOTAL_COST]</t>
    </r>
    <r>
      <rPr>
        <sz val="10"/>
        <color rgb="FF808080"/>
        <rFont val="Courier New"/>
        <family val="3"/>
      </rPr>
      <t>)</t>
    </r>
    <r>
      <rPr>
        <sz val="10"/>
        <color theme="1"/>
        <rFont val="Courier New"/>
        <family val="3"/>
      </rPr>
      <t xml:space="preserve"> </t>
    </r>
    <r>
      <rPr>
        <sz val="10"/>
        <color rgb="FF808080"/>
        <rFont val="Courier New"/>
        <family val="3"/>
      </rPr>
      <t>/</t>
    </r>
    <r>
      <rPr>
        <sz val="10"/>
        <color theme="1"/>
        <rFont val="Courier New"/>
        <family val="3"/>
      </rP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color theme="1"/>
        <rFont val="Courier New"/>
        <family val="3"/>
      </rPr>
      <t>[TC (Target MFF)]</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[NA MFF ADJ]</t>
    </r>
  </si>
  <si>
    <r>
      <t>FROM</t>
    </r>
    <r>
      <rPr>
        <sz val="10"/>
        <color theme="1"/>
        <rFont val="Courier New"/>
        <family val="3"/>
      </rPr>
      <t xml:space="preserve"> #Remove_MFF</t>
    </r>
  </si>
  <si>
    <r>
      <t>CREATE</t>
    </r>
    <r>
      <rPr>
        <sz val="10"/>
        <color theme="1"/>
        <rFont val="Courier New"/>
        <family val="3"/>
      </rPr>
      <t xml:space="preserve"> </t>
    </r>
    <r>
      <rPr>
        <sz val="10"/>
        <color rgb="FF0000FF"/>
        <rFont val="Courier New"/>
        <family val="3"/>
      </rPr>
      <t>TABLE</t>
    </r>
    <r>
      <rPr>
        <sz val="10"/>
        <color theme="1"/>
        <rFont val="Courier New"/>
        <family val="3"/>
      </rPr>
      <t xml:space="preserve"> #MFF_RESCALE</t>
    </r>
    <r>
      <rPr>
        <sz val="10"/>
        <color rgb="FF0000FF"/>
        <rFont val="Courier New"/>
        <family val="3"/>
      </rPr>
      <t xml:space="preserve"> </t>
    </r>
    <r>
      <rPr>
        <sz val="10"/>
        <color rgb="FF808080"/>
        <rFont val="Courier New"/>
        <family val="3"/>
      </rPr>
      <t>(</t>
    </r>
    <r>
      <rPr>
        <sz val="10"/>
        <color theme="1"/>
        <rFont val="Courier New"/>
        <family val="3"/>
      </rPr>
      <t xml:space="preserve">[EXEC MFF] </t>
    </r>
    <r>
      <rPr>
        <sz val="10"/>
        <color rgb="FF0000FF"/>
        <rFont val="Courier New"/>
        <family val="3"/>
      </rPr>
      <t>float</t>
    </r>
    <r>
      <rPr>
        <sz val="10"/>
        <color rgb="FF808080"/>
        <rFont val="Courier New"/>
        <family val="3"/>
      </rPr>
      <t>,</t>
    </r>
    <r>
      <rPr>
        <sz val="10"/>
        <color theme="1"/>
        <rFont val="Courier New"/>
        <family val="3"/>
      </rPr>
      <t xml:space="preserve"> ['EXEC MFF CAPPED] </t>
    </r>
    <r>
      <rPr>
        <sz val="10"/>
        <color rgb="FF0000FF"/>
        <rFont val="Courier New"/>
        <family val="3"/>
      </rPr>
      <t>float</t>
    </r>
    <r>
      <rPr>
        <sz val="10"/>
        <color rgb="FF808080"/>
        <rFont val="Courier New"/>
        <family val="3"/>
      </rPr>
      <t>,</t>
    </r>
    <r>
      <rPr>
        <sz val="10"/>
        <color theme="1"/>
        <rFont val="Courier New"/>
        <family val="3"/>
      </rPr>
      <t xml:space="preserve"> [MFF RESCALE] </t>
    </r>
    <r>
      <rPr>
        <sz val="10"/>
        <color rgb="FF0000FF"/>
        <rFont val="Courier New"/>
        <family val="3"/>
      </rPr>
      <t>float</t>
    </r>
    <r>
      <rPr>
        <sz val="10"/>
        <color rgb="FF808080"/>
        <rFont val="Courier New"/>
        <family val="3"/>
      </rPr>
      <t>)</t>
    </r>
  </si>
  <si>
    <r>
      <t>INSERT</t>
    </r>
    <r>
      <rPr>
        <sz val="10"/>
        <color theme="1"/>
        <rFont val="Courier New"/>
        <family val="3"/>
      </rPr>
      <t xml:space="preserve"> </t>
    </r>
    <r>
      <rPr>
        <sz val="10"/>
        <color rgb="FF0000FF"/>
        <rFont val="Courier New"/>
        <family val="3"/>
      </rPr>
      <t>INTO</t>
    </r>
    <r>
      <rPr>
        <sz val="10"/>
        <color theme="1"/>
        <rFont val="Courier New"/>
        <family val="3"/>
      </rPr>
      <t xml:space="preserve"> #MFF_RESCALE</t>
    </r>
  </si>
  <si>
    <r>
      <t>SELECT</t>
    </r>
    <r>
      <rPr>
        <sz val="10"/>
        <color theme="1"/>
        <rFont val="Courier New"/>
        <family val="3"/>
      </rP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color theme="1"/>
        <rFont val="Courier New"/>
        <family val="3"/>
      </rPr>
      <t>[TC (Target MFF)]</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[EXEC MFF]</t>
    </r>
    <r>
      <rPr>
        <sz val="10"/>
        <color rgb="FF808080"/>
        <rFont val="Courier New"/>
        <family val="3"/>
      </rPr>
      <t>,</t>
    </r>
    <r>
      <rPr>
        <sz val="10"/>
        <color theme="1"/>
        <rFont val="Courier New"/>
        <family val="3"/>
      </rP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color theme="1"/>
        <rFont val="Courier New"/>
        <family val="3"/>
      </rPr>
      <t>[TC (Payment MFF)]</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[EXEC MFF CAPPED]</t>
    </r>
    <r>
      <rPr>
        <sz val="10"/>
        <color rgb="FF808080"/>
        <rFont val="Courier New"/>
        <family val="3"/>
      </rPr>
      <t>,</t>
    </r>
  </si>
  <si>
    <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color theme="1"/>
        <rFont val="Courier New"/>
        <family val="3"/>
      </rPr>
      <t>[TC (Payment MFF)]</t>
    </r>
    <r>
      <rPr>
        <sz val="10"/>
        <color rgb="FF808080"/>
        <rFont val="Courier New"/>
        <family val="3"/>
      </rPr>
      <t>)</t>
    </r>
    <r>
      <rPr>
        <sz val="10"/>
        <color theme="1"/>
        <rFont val="Courier New"/>
        <family val="3"/>
      </rPr>
      <t xml:space="preserve"> </t>
    </r>
    <r>
      <rPr>
        <sz val="10"/>
        <color rgb="FF808080"/>
        <rFont val="Courier New"/>
        <family val="3"/>
      </rPr>
      <t>/</t>
    </r>
    <r>
      <rPr>
        <sz val="10"/>
        <color theme="1"/>
        <rFont val="Courier New"/>
        <family val="3"/>
      </rP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color theme="1"/>
        <rFont val="Courier New"/>
        <family val="3"/>
      </rPr>
      <t>[TC (Target MFF)]</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[MFF RESCALE]</t>
    </r>
  </si>
  <si>
    <r>
      <t>CREATE</t>
    </r>
    <r>
      <rPr>
        <sz val="10"/>
        <color theme="1"/>
        <rFont val="Courier New"/>
        <family val="3"/>
      </rPr>
      <t xml:space="preserve"> </t>
    </r>
    <r>
      <rPr>
        <sz val="10"/>
        <color rgb="FF0000FF"/>
        <rFont val="Courier New"/>
        <family val="3"/>
      </rPr>
      <t>TABLE</t>
    </r>
    <r>
      <rPr>
        <sz val="10"/>
        <color theme="1"/>
        <rFont val="Courier New"/>
        <family val="3"/>
      </rPr>
      <t xml:space="preserve"> #NATIONAL_TARIFF_D_I</t>
    </r>
    <r>
      <rPr>
        <sz val="10"/>
        <color rgb="FF0000FF"/>
        <rFont val="Courier New"/>
        <family val="3"/>
      </rPr>
      <t xml:space="preserve"> </t>
    </r>
    <r>
      <rPr>
        <sz val="10"/>
        <color rgb="FF808080"/>
        <rFont val="Courier New"/>
        <family val="3"/>
      </rPr>
      <t>(</t>
    </r>
    <r>
      <rPr>
        <sz val="10"/>
        <color theme="1"/>
        <rFont val="Courier New"/>
        <family val="3"/>
      </rPr>
      <t xml:space="preserve">[DEPARTMENT]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[Service]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[CURRENCY] </t>
    </r>
    <r>
      <rPr>
        <sz val="10"/>
        <color rgb="FF0000FF"/>
        <rFont val="Courier New"/>
        <family val="3"/>
      </rPr>
      <t xml:space="preserve">varchar </t>
    </r>
    <r>
      <rPr>
        <sz val="10"/>
        <color rgb="FF808080"/>
        <rFont val="Courier New"/>
        <family val="3"/>
      </rPr>
      <t>(</t>
    </r>
    <r>
      <rPr>
        <sz val="10"/>
        <color theme="1"/>
        <rFont val="Courier New"/>
        <family val="3"/>
      </rPr>
      <t>100</t>
    </r>
    <r>
      <rPr>
        <sz val="10"/>
        <color rgb="FF808080"/>
        <rFont val="Courier New"/>
        <family val="3"/>
      </rPr>
      <t>),</t>
    </r>
  </si>
  <si>
    <r>
      <t xml:space="preserve">[TOTAL_ACTIVITY] </t>
    </r>
    <r>
      <rPr>
        <sz val="10"/>
        <color rgb="FF0000FF"/>
        <rFont val="Courier New"/>
        <family val="3"/>
      </rPr>
      <t>float</t>
    </r>
    <r>
      <rPr>
        <sz val="10"/>
        <color rgb="FF808080"/>
        <rFont val="Courier New"/>
        <family val="3"/>
      </rPr>
      <t>,</t>
    </r>
    <r>
      <rPr>
        <sz val="10"/>
        <color theme="1"/>
        <rFont val="Courier New"/>
        <family val="3"/>
      </rPr>
      <t xml:space="preserve"> [TOTAL_COST] </t>
    </r>
    <r>
      <rPr>
        <sz val="10"/>
        <color rgb="FF0000FF"/>
        <rFont val="Courier New"/>
        <family val="3"/>
      </rPr>
      <t>float</t>
    </r>
    <r>
      <rPr>
        <sz val="10"/>
        <color rgb="FF808080"/>
        <rFont val="Courier New"/>
        <family val="3"/>
      </rPr>
      <t>,</t>
    </r>
    <r>
      <rPr>
        <sz val="10"/>
        <color theme="1"/>
        <rFont val="Courier New"/>
        <family val="3"/>
      </rPr>
      <t xml:space="preserve"> [HRG UC] </t>
    </r>
    <r>
      <rPr>
        <sz val="10"/>
        <color rgb="FF0000FF"/>
        <rFont val="Courier New"/>
        <family val="3"/>
      </rPr>
      <t>float</t>
    </r>
    <r>
      <rPr>
        <sz val="10"/>
        <color rgb="FF808080"/>
        <rFont val="Courier New"/>
        <family val="3"/>
      </rPr>
      <t>,</t>
    </r>
    <r>
      <rPr>
        <sz val="10"/>
        <color theme="1"/>
        <rFont val="Courier New"/>
        <family val="3"/>
      </rPr>
      <t xml:space="preserve"> [Tariff] </t>
    </r>
    <r>
      <rPr>
        <sz val="10"/>
        <color rgb="FF0000FF"/>
        <rFont val="Courier New"/>
        <family val="3"/>
      </rPr>
      <t>float</t>
    </r>
    <r>
      <rPr>
        <sz val="10"/>
        <color rgb="FF808080"/>
        <rFont val="Courier New"/>
        <family val="3"/>
      </rPr>
      <t>)</t>
    </r>
  </si>
  <si>
    <r>
      <t>INSERT</t>
    </r>
    <r>
      <rPr>
        <sz val="10"/>
        <color theme="1"/>
        <rFont val="Courier New"/>
        <family val="3"/>
      </rPr>
      <t xml:space="preserve"> </t>
    </r>
    <r>
      <rPr>
        <sz val="10"/>
        <color rgb="FF0000FF"/>
        <rFont val="Courier New"/>
        <family val="3"/>
      </rPr>
      <t>INTO</t>
    </r>
    <r>
      <rPr>
        <sz val="10"/>
        <color theme="1"/>
        <rFont val="Courier New"/>
        <family val="3"/>
      </rPr>
      <t xml:space="preserve"> #NATIONAL_TARIFF_D_I </t>
    </r>
  </si>
  <si>
    <r>
      <t>ROUND</t>
    </r>
    <r>
      <rPr>
        <sz val="10"/>
        <color rgb="FF808080"/>
        <rFont val="Courier New"/>
        <family val="3"/>
      </rPr>
      <t>(</t>
    </r>
    <r>
      <rPr>
        <sz val="10"/>
        <color theme="1"/>
        <rFont val="Courier New"/>
        <family val="3"/>
      </rPr>
      <t>nt</t>
    </r>
    <r>
      <rPr>
        <sz val="10"/>
        <color rgb="FF808080"/>
        <rFont val="Courier New"/>
        <family val="3"/>
      </rPr>
      <t>.</t>
    </r>
    <r>
      <rPr>
        <sz val="10"/>
        <color theme="1"/>
        <rFont val="Courier New"/>
        <family val="3"/>
      </rPr>
      <t>[HRG UC (Target MFF)]</t>
    </r>
    <r>
      <rPr>
        <sz val="10"/>
        <color rgb="FF808080"/>
        <rFont val="Courier New"/>
        <family val="3"/>
      </rPr>
      <t>,</t>
    </r>
    <r>
      <rPr>
        <sz val="10"/>
        <color theme="1"/>
        <rFont val="Courier New"/>
        <family val="3"/>
      </rPr>
      <t>4</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[HRG UC]</t>
    </r>
    <r>
      <rPr>
        <sz val="10"/>
        <color rgb="FF808080"/>
        <rFont val="Courier New"/>
        <family val="3"/>
      </rPr>
      <t>,</t>
    </r>
  </si>
  <si>
    <r>
      <t>ROUND</t>
    </r>
    <r>
      <rPr>
        <sz val="10"/>
        <color rgb="FF808080"/>
        <rFont val="Courier New"/>
        <family val="3"/>
      </rPr>
      <t>(</t>
    </r>
    <r>
      <rPr>
        <sz val="10"/>
        <color theme="1"/>
        <rFont val="Courier New"/>
        <family val="3"/>
      </rPr>
      <t xml:space="preserve">[HRG UC (Target MFF)] </t>
    </r>
    <r>
      <rPr>
        <sz val="10"/>
        <color rgb="FF808080"/>
        <rFont val="Courier New"/>
        <family val="3"/>
      </rPr>
      <t>*</t>
    </r>
    <r>
      <rPr>
        <sz val="10"/>
        <color theme="1"/>
        <rFont val="Courier New"/>
        <family val="3"/>
      </rPr>
      <t xml:space="preserve"> [MFF RESCALE]</t>
    </r>
    <r>
      <rPr>
        <sz val="10"/>
        <color rgb="FF808080"/>
        <rFont val="Courier New"/>
        <family val="3"/>
      </rPr>
      <t>,</t>
    </r>
    <r>
      <rPr>
        <sz val="10"/>
        <color theme="1"/>
        <rFont val="Courier New"/>
        <family val="3"/>
      </rPr>
      <t>0</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[TARIFF]</t>
    </r>
  </si>
  <si>
    <r>
      <t>SELECT</t>
    </r>
    <r>
      <rPr>
        <sz val="10"/>
        <color theme="1"/>
        <rFont val="Courier New"/>
        <family val="3"/>
      </rPr>
      <t xml:space="preserve"> </t>
    </r>
    <r>
      <rPr>
        <sz val="10"/>
        <color rgb="FF808080"/>
        <rFont val="Courier New"/>
        <family val="3"/>
      </rPr>
      <t>*</t>
    </r>
    <r>
      <rPr>
        <sz val="10"/>
        <color theme="1"/>
        <rFont val="Courier New"/>
        <family val="3"/>
      </rPr>
      <t xml:space="preserve"> </t>
    </r>
    <r>
      <rPr>
        <sz val="10"/>
        <color rgb="FF0000FF"/>
        <rFont val="Courier New"/>
        <family val="3"/>
      </rPr>
      <t>FROM</t>
    </r>
    <r>
      <rPr>
        <sz val="10"/>
        <color theme="1"/>
        <rFont val="Courier New"/>
        <family val="3"/>
      </rPr>
      <t xml:space="preserve"> #NATIONAL_TARIFF_D_I </t>
    </r>
    <r>
      <rPr>
        <sz val="10"/>
        <color rgb="FF0000FF"/>
        <rFont val="Courier New"/>
        <family val="3"/>
      </rPr>
      <t>ORDER</t>
    </r>
    <r>
      <rPr>
        <sz val="10"/>
        <color theme="1"/>
        <rFont val="Courier New"/>
        <family val="3"/>
      </rPr>
      <t xml:space="preserve"> </t>
    </r>
    <r>
      <rPr>
        <sz val="10"/>
        <color rgb="FF0000FF"/>
        <rFont val="Courier New"/>
        <family val="3"/>
      </rPr>
      <t>BY</t>
    </r>
    <r>
      <rPr>
        <sz val="10"/>
        <color theme="1"/>
        <rFont val="Courier New"/>
        <family val="3"/>
      </rPr>
      <t xml:space="preserve"> [CURRENCY]</t>
    </r>
  </si>
  <si>
    <r>
      <t>CREATE</t>
    </r>
    <r>
      <rPr>
        <sz val="10"/>
        <color theme="1"/>
        <rFont val="Courier New"/>
        <family val="3"/>
      </rPr>
      <t xml:space="preserve"> </t>
    </r>
    <r>
      <rPr>
        <sz val="10"/>
        <color rgb="FF0000FF"/>
        <rFont val="Courier New"/>
        <family val="3"/>
      </rPr>
      <t>TABLE</t>
    </r>
    <r>
      <rPr>
        <sz val="10"/>
        <color theme="1"/>
        <rFont val="Courier New"/>
        <family val="3"/>
      </rPr>
      <t xml:space="preserve"> #MFF_IMPACT</t>
    </r>
    <r>
      <rPr>
        <sz val="10"/>
        <color rgb="FF0000FF"/>
        <rFont val="Courier New"/>
        <family val="3"/>
      </rPr>
      <t xml:space="preserve"> </t>
    </r>
    <r>
      <rPr>
        <sz val="10"/>
        <color rgb="FF808080"/>
        <rFont val="Courier New"/>
        <family val="3"/>
      </rPr>
      <t>(</t>
    </r>
    <r>
      <rPr>
        <sz val="10"/>
        <color theme="1"/>
        <rFont val="Courier New"/>
        <family val="3"/>
      </rPr>
      <t xml:space="preserve">[INC MFF] </t>
    </r>
    <r>
      <rPr>
        <sz val="10"/>
        <color rgb="FF0000FF"/>
        <rFont val="Courier New"/>
        <family val="3"/>
      </rPr>
      <t>float</t>
    </r>
    <r>
      <rPr>
        <sz val="10"/>
        <color rgb="FF808080"/>
        <rFont val="Courier New"/>
        <family val="3"/>
      </rPr>
      <t>,</t>
    </r>
    <r>
      <rPr>
        <sz val="10"/>
        <color theme="1"/>
        <rFont val="Courier New"/>
        <family val="3"/>
      </rPr>
      <t xml:space="preserve"> [EXEC MFF] </t>
    </r>
    <r>
      <rPr>
        <sz val="10"/>
        <color rgb="FF0000FF"/>
        <rFont val="Courier New"/>
        <family val="3"/>
      </rPr>
      <t>float</t>
    </r>
    <r>
      <rPr>
        <sz val="10"/>
        <color rgb="FF808080"/>
        <rFont val="Courier New"/>
        <family val="3"/>
      </rPr>
      <t>,</t>
    </r>
    <r>
      <rPr>
        <sz val="10"/>
        <color theme="1"/>
        <rFont val="Courier New"/>
        <family val="3"/>
      </rPr>
      <t xml:space="preserve"> [NA MFF ADJ] </t>
    </r>
    <r>
      <rPr>
        <sz val="10"/>
        <color rgb="FF0000FF"/>
        <rFont val="Courier New"/>
        <family val="3"/>
      </rPr>
      <t>float</t>
    </r>
    <r>
      <rPr>
        <sz val="10"/>
        <color rgb="FF808080"/>
        <rFont val="Courier New"/>
        <family val="3"/>
      </rPr>
      <t>)</t>
    </r>
  </si>
  <si>
    <r>
      <t>CREATE</t>
    </r>
    <r>
      <rPr>
        <sz val="10"/>
        <color theme="1"/>
        <rFont val="Courier New"/>
        <family val="3"/>
      </rPr>
      <t xml:space="preserve"> </t>
    </r>
    <r>
      <rPr>
        <sz val="10"/>
        <color rgb="FF0000FF"/>
        <rFont val="Courier New"/>
        <family val="3"/>
      </rPr>
      <t>TABLE</t>
    </r>
    <r>
      <rPr>
        <sz val="10"/>
        <color theme="1"/>
        <rFont val="Courier New"/>
        <family val="3"/>
      </rPr>
      <t xml:space="preserve"> #National_Average</t>
    </r>
    <r>
      <rPr>
        <sz val="10"/>
        <color rgb="FF0000FF"/>
        <rFont val="Courier New"/>
        <family val="3"/>
      </rPr>
      <t xml:space="preserve"> </t>
    </r>
    <r>
      <rPr>
        <sz val="10"/>
        <color rgb="FF808080"/>
        <rFont val="Courier New"/>
        <family val="3"/>
      </rPr>
      <t>(</t>
    </r>
    <r>
      <rPr>
        <sz val="10"/>
        <color theme="1"/>
        <rFont val="Courier New"/>
        <family val="3"/>
      </rPr>
      <t xml:space="preserve">[DEPARTMENT]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[Service]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[CURRENCY] </t>
    </r>
    <r>
      <rPr>
        <sz val="10"/>
        <color rgb="FF0000FF"/>
        <rFont val="Courier New"/>
        <family val="3"/>
      </rPr>
      <t xml:space="preserve">varchar </t>
    </r>
    <r>
      <rPr>
        <sz val="10"/>
        <color rgb="FF808080"/>
        <rFont val="Courier New"/>
        <family val="3"/>
      </rPr>
      <t>(</t>
    </r>
    <r>
      <rPr>
        <sz val="10"/>
        <color theme="1"/>
        <rFont val="Courier New"/>
        <family val="3"/>
      </rPr>
      <t>100</t>
    </r>
    <r>
      <rPr>
        <sz val="10"/>
        <color rgb="FF808080"/>
        <rFont val="Courier New"/>
        <family val="3"/>
      </rPr>
      <t>),</t>
    </r>
  </si>
  <si>
    <r>
      <t>DEPARTMENT</t>
    </r>
    <r>
      <rPr>
        <sz val="10"/>
        <color rgb="FF808080"/>
        <rFont val="Courier New"/>
        <family val="3"/>
      </rPr>
      <t>,</t>
    </r>
  </si>
  <si>
    <r>
      <t xml:space="preserve">[comb_service] </t>
    </r>
    <r>
      <rPr>
        <sz val="10"/>
        <color rgb="FF808080"/>
        <rFont val="Courier New"/>
        <family val="3"/>
      </rPr>
      <t>=</t>
    </r>
    <r>
      <rPr>
        <sz val="10"/>
        <color theme="1"/>
        <rFont val="Courier New"/>
        <family val="3"/>
      </rPr>
      <t xml:space="preserve"> </t>
    </r>
    <r>
      <rPr>
        <sz val="10"/>
        <color rgb="FF0000FF"/>
        <rFont val="Courier New"/>
        <family val="3"/>
      </rPr>
      <t>CASE</t>
    </r>
    <r>
      <rPr>
        <sz val="10"/>
        <color theme="1"/>
        <rFont val="Courier New"/>
        <family val="3"/>
      </rPr>
      <t xml:space="preserve"> </t>
    </r>
    <r>
      <rPr>
        <sz val="10"/>
        <color rgb="FF0000FF"/>
        <rFont val="Courier New"/>
        <family val="3"/>
      </rPr>
      <t>WHEN</t>
    </r>
    <r>
      <rPr>
        <sz val="10"/>
        <color theme="1"/>
        <rFont val="Courier New"/>
        <family val="3"/>
      </rPr>
      <t xml:space="preserve"> [Service] </t>
    </r>
    <r>
      <rPr>
        <sz val="10"/>
        <color rgb="FF808080"/>
        <rFont val="Courier New"/>
        <family val="3"/>
      </rPr>
      <t>Like</t>
    </r>
    <r>
      <rPr>
        <sz val="10"/>
        <color theme="1"/>
        <rFont val="Courier New"/>
        <family val="3"/>
      </rPr>
      <t xml:space="preserve"> </t>
    </r>
    <r>
      <rPr>
        <sz val="10"/>
        <color rgb="FFFF0000"/>
        <rFont val="Courier New"/>
        <family val="3"/>
      </rPr>
      <t>'DA'</t>
    </r>
    <r>
      <rPr>
        <sz val="10"/>
        <color theme="1"/>
        <rFont val="Courier New"/>
        <family val="3"/>
      </rPr>
      <t xml:space="preserve"> </t>
    </r>
    <r>
      <rPr>
        <sz val="10"/>
        <color rgb="FF0000FF"/>
        <rFont val="Courier New"/>
        <family val="3"/>
      </rPr>
      <t>then</t>
    </r>
    <r>
      <rPr>
        <sz val="10"/>
        <color theme="1"/>
        <rFont val="Courier New"/>
        <family val="3"/>
      </rPr>
      <t xml:space="preserve"> </t>
    </r>
    <r>
      <rPr>
        <sz val="10"/>
        <color rgb="FFFF0000"/>
        <rFont val="Courier New"/>
        <family val="3"/>
      </rPr>
      <t>'OP/DA'</t>
    </r>
    <r>
      <rPr>
        <sz val="10"/>
        <color theme="1"/>
        <rFont val="Courier New"/>
        <family val="3"/>
      </rPr>
      <t xml:space="preserve"> </t>
    </r>
    <r>
      <rPr>
        <sz val="10"/>
        <color rgb="FF0000FF"/>
        <rFont val="Courier New"/>
        <family val="3"/>
      </rPr>
      <t>ELSE</t>
    </r>
    <r>
      <rPr>
        <sz val="10"/>
        <color theme="1"/>
        <rFont val="Courier New"/>
        <family val="3"/>
      </rPr>
      <t xml:space="preserve"> </t>
    </r>
    <r>
      <rPr>
        <sz val="10"/>
        <color rgb="FFFF0000"/>
        <rFont val="Courier New"/>
        <family val="3"/>
      </rPr>
      <t>'OP/DA'</t>
    </r>
    <r>
      <rPr>
        <sz val="10"/>
        <color theme="1"/>
        <rFont val="Courier New"/>
        <family val="3"/>
      </rPr>
      <t xml:space="preserve"> </t>
    </r>
    <r>
      <rPr>
        <sz val="10"/>
        <color rgb="FF0000FF"/>
        <rFont val="Courier New"/>
        <family val="3"/>
      </rPr>
      <t>END</t>
    </r>
    <r>
      <rPr>
        <sz val="10"/>
        <color rgb="FF808080"/>
        <rFont val="Courier New"/>
        <family val="3"/>
      </rPr>
      <t>,</t>
    </r>
    <r>
      <rPr>
        <sz val="10"/>
        <color theme="1"/>
        <rFont val="Courier New"/>
        <family val="3"/>
      </rPr>
      <t xml:space="preserve">  CURRENCY</t>
    </r>
    <r>
      <rPr>
        <sz val="10"/>
        <color rgb="FF808080"/>
        <rFont val="Courier New"/>
        <family val="3"/>
      </rPr>
      <t>,</t>
    </r>
  </si>
  <si>
    <r>
      <t>SUM</t>
    </r>
    <r>
      <rPr>
        <sz val="10"/>
        <color rgb="FF808080"/>
        <rFont val="Courier New"/>
        <family val="3"/>
      </rPr>
      <t>(</t>
    </r>
    <r>
      <rPr>
        <sz val="10"/>
        <color theme="1"/>
        <rFont val="Courier New"/>
        <family val="3"/>
      </rPr>
      <t>[ACTIVITY]</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t>
    </r>
    <r>
      <rPr>
        <sz val="10"/>
        <color rgb="FFFF0000"/>
        <rFont val="Courier New"/>
        <family val="3"/>
      </rPr>
      <t>'Total Activity'</t>
    </r>
    <r>
      <rPr>
        <sz val="10"/>
        <color rgb="FF808080"/>
        <rFont val="Courier New"/>
        <family val="3"/>
      </rPr>
      <t>,</t>
    </r>
    <r>
      <rPr>
        <sz val="10"/>
        <color theme="1"/>
        <rFont val="Courier New"/>
        <family val="3"/>
      </rPr>
      <t xml:space="preserve"> </t>
    </r>
    <r>
      <rPr>
        <sz val="10"/>
        <color rgb="FFFF00FF"/>
        <rFont val="Courier New"/>
        <family val="3"/>
      </rPr>
      <t>Sum</t>
    </r>
    <r>
      <rPr>
        <sz val="10"/>
        <color rgb="FF808080"/>
        <rFont val="Courier New"/>
        <family val="3"/>
      </rPr>
      <t>(</t>
    </r>
    <r>
      <rPr>
        <sz val="10"/>
        <color theme="1"/>
        <rFont val="Courier New"/>
        <family val="3"/>
      </rPr>
      <t>[UC (Target MFF)]</t>
    </r>
    <r>
      <rPr>
        <sz val="10"/>
        <color rgb="FF808080"/>
        <rFont val="Courier New"/>
        <family val="3"/>
      </rPr>
      <t>*</t>
    </r>
    <r>
      <rPr>
        <sz val="10"/>
        <color theme="1"/>
        <rFont val="Courier New"/>
        <family val="3"/>
      </rPr>
      <t>[ACTIVITY]</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[TOTAL COST]</t>
    </r>
    <r>
      <rPr>
        <sz val="10"/>
        <color rgb="FF808080"/>
        <rFont val="Courier New"/>
        <family val="3"/>
      </rPr>
      <t>,</t>
    </r>
  </si>
  <si>
    <r>
      <t>SUM</t>
    </r>
    <r>
      <rPr>
        <sz val="10"/>
        <color rgb="FF808080"/>
        <rFont val="Courier New"/>
        <family val="3"/>
      </rPr>
      <t>(</t>
    </r>
    <r>
      <rPr>
        <sz val="10"/>
        <color theme="1"/>
        <rFont val="Courier New"/>
        <family val="3"/>
      </rPr>
      <t>[UC (Target MFF)]</t>
    </r>
    <r>
      <rPr>
        <sz val="10"/>
        <color rgb="FF808080"/>
        <rFont val="Courier New"/>
        <family val="3"/>
      </rPr>
      <t>*</t>
    </r>
    <r>
      <rPr>
        <sz val="10"/>
        <color theme="1"/>
        <rFont val="Courier New"/>
        <family val="3"/>
      </rPr>
      <t>[ACTIVITY]</t>
    </r>
    <r>
      <rPr>
        <sz val="10"/>
        <color rgb="FF808080"/>
        <rFont val="Courier New"/>
        <family val="3"/>
      </rPr>
      <t>)/</t>
    </r>
    <r>
      <rPr>
        <sz val="10"/>
        <color rgb="FFFF00FF"/>
        <rFont val="Courier New"/>
        <family val="3"/>
      </rPr>
      <t>Sum</t>
    </r>
    <r>
      <rPr>
        <sz val="10"/>
        <color rgb="FF808080"/>
        <rFont val="Courier New"/>
        <family val="3"/>
      </rPr>
      <t>(</t>
    </r>
    <r>
      <rPr>
        <sz val="10"/>
        <color theme="1"/>
        <rFont val="Courier New"/>
        <family val="3"/>
      </rPr>
      <t>[ACTIVITY]</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[HRG UC (Target MFF)]</t>
    </r>
  </si>
  <si>
    <r>
      <t>GROUP</t>
    </r>
    <r>
      <rPr>
        <sz val="10"/>
        <color theme="1"/>
        <rFont val="Courier New"/>
        <family val="3"/>
      </rPr>
      <t xml:space="preserve"> </t>
    </r>
    <r>
      <rPr>
        <sz val="10"/>
        <color rgb="FF0000FF"/>
        <rFont val="Courier New"/>
        <family val="3"/>
      </rPr>
      <t>BY</t>
    </r>
    <r>
      <rPr>
        <sz val="10"/>
        <color theme="1"/>
        <rFont val="Courier New"/>
        <family val="3"/>
      </rPr>
      <t xml:space="preserve"> </t>
    </r>
  </si>
  <si>
    <r>
      <t>SELECT</t>
    </r>
    <r>
      <rPr>
        <sz val="10"/>
        <color theme="1"/>
        <rFont val="Courier New"/>
        <family val="3"/>
      </rPr>
      <t xml:space="preserve"> nt</t>
    </r>
    <r>
      <rPr>
        <sz val="10"/>
        <color rgb="FF808080"/>
        <rFont val="Courier New"/>
        <family val="3"/>
      </rPr>
      <t>.</t>
    </r>
    <r>
      <rPr>
        <sz val="10"/>
        <color theme="1"/>
        <rFont val="Courier New"/>
        <family val="3"/>
      </rPr>
      <t>[DEPARTMENT]</t>
    </r>
    <r>
      <rPr>
        <sz val="10"/>
        <color rgb="FF808080"/>
        <rFont val="Courier New"/>
        <family val="3"/>
      </rPr>
      <t>,</t>
    </r>
    <r>
      <rPr>
        <sz val="10"/>
        <color theme="1"/>
        <rFont val="Courier New"/>
        <family val="3"/>
      </rPr>
      <t xml:space="preserve"> nt</t>
    </r>
    <r>
      <rPr>
        <sz val="10"/>
        <color rgb="FF808080"/>
        <rFont val="Courier New"/>
        <family val="3"/>
      </rPr>
      <t>.</t>
    </r>
    <r>
      <rPr>
        <sz val="10"/>
        <color theme="1"/>
        <rFont val="Courier New"/>
        <family val="3"/>
      </rPr>
      <t>[Service]</t>
    </r>
    <r>
      <rPr>
        <sz val="10"/>
        <color rgb="FF808080"/>
        <rFont val="Courier New"/>
        <family val="3"/>
      </rPr>
      <t>,</t>
    </r>
    <r>
      <rPr>
        <sz val="10"/>
        <color theme="1"/>
        <rFont val="Courier New"/>
        <family val="3"/>
      </rPr>
      <t xml:space="preserve"> nt</t>
    </r>
    <r>
      <rPr>
        <sz val="10"/>
        <color rgb="FF808080"/>
        <rFont val="Courier New"/>
        <family val="3"/>
      </rPr>
      <t>.</t>
    </r>
    <r>
      <rPr>
        <sz val="10"/>
        <color theme="1"/>
        <rFont val="Courier New"/>
        <family val="3"/>
      </rPr>
      <t>[CURRENCY]</t>
    </r>
    <r>
      <rPr>
        <sz val="10"/>
        <color rgb="FF808080"/>
        <rFont val="Courier New"/>
        <family val="3"/>
      </rPr>
      <t>,</t>
    </r>
    <r>
      <rPr>
        <sz val="10"/>
        <color theme="1"/>
        <rFont val="Courier New"/>
        <family val="3"/>
      </rPr>
      <t xml:space="preserve"> nt</t>
    </r>
    <r>
      <rPr>
        <sz val="10"/>
        <color rgb="FF808080"/>
        <rFont val="Courier New"/>
        <family val="3"/>
      </rPr>
      <t>.</t>
    </r>
    <r>
      <rPr>
        <sz val="10"/>
        <color theme="1"/>
        <rFont val="Courier New"/>
        <family val="3"/>
      </rPr>
      <t>[TOTAL_ACTIVITY]</t>
    </r>
    <r>
      <rPr>
        <sz val="10"/>
        <color rgb="FF808080"/>
        <rFont val="Courier New"/>
        <family val="3"/>
      </rPr>
      <t>,</t>
    </r>
    <r>
      <rPr>
        <sz val="10"/>
        <color theme="1"/>
        <rFont val="Courier New"/>
        <family val="3"/>
      </rPr>
      <t xml:space="preserve"> nt</t>
    </r>
    <r>
      <rPr>
        <sz val="10"/>
        <color rgb="FF808080"/>
        <rFont val="Courier New"/>
        <family val="3"/>
      </rPr>
      <t>.</t>
    </r>
    <r>
      <rPr>
        <sz val="10"/>
        <color theme="1"/>
        <rFont val="Courier New"/>
        <family val="3"/>
      </rPr>
      <t>[TOTAL_COST]</t>
    </r>
    <r>
      <rPr>
        <sz val="10"/>
        <color rgb="FF808080"/>
        <rFont val="Courier New"/>
        <family val="3"/>
      </rPr>
      <t>,</t>
    </r>
  </si>
  <si>
    <r>
      <t>ORDER</t>
    </r>
    <r>
      <rPr>
        <sz val="10"/>
        <color theme="1"/>
        <rFont val="Courier New"/>
        <family val="3"/>
      </rPr>
      <t xml:space="preserve"> </t>
    </r>
    <r>
      <rPr>
        <sz val="10"/>
        <color rgb="FF0000FF"/>
        <rFont val="Courier New"/>
        <family val="3"/>
      </rPr>
      <t>BY</t>
    </r>
    <r>
      <rPr>
        <sz val="10"/>
        <color theme="1"/>
        <rFont val="Courier New"/>
        <family val="3"/>
      </rPr>
      <t xml:space="preserve"> [DEPARTMENT]</t>
    </r>
    <r>
      <rPr>
        <sz val="10"/>
        <color rgb="FF808080"/>
        <rFont val="Courier New"/>
        <family val="3"/>
      </rPr>
      <t>,</t>
    </r>
    <r>
      <rPr>
        <sz val="10"/>
        <color theme="1"/>
        <rFont val="Courier New"/>
        <family val="3"/>
      </rPr>
      <t xml:space="preserve"> [SERVICE]</t>
    </r>
    <r>
      <rPr>
        <sz val="10"/>
        <color rgb="FF808080"/>
        <rFont val="Courier New"/>
        <family val="3"/>
      </rPr>
      <t>,</t>
    </r>
    <r>
      <rPr>
        <sz val="10"/>
        <color theme="1"/>
        <rFont val="Courier New"/>
        <family val="3"/>
      </rPr>
      <t xml:space="preserve"> [CURRENCY]</t>
    </r>
  </si>
  <si>
    <r>
      <t xml:space="preserve"> </t>
    </r>
    <r>
      <rPr>
        <sz val="10"/>
        <color rgb="FF0000FF"/>
        <rFont val="Courier New"/>
        <family val="3"/>
      </rPr>
      <t>CREATE</t>
    </r>
    <r>
      <rPr>
        <sz val="10"/>
        <color theme="1"/>
        <rFont val="Courier New"/>
        <family val="3"/>
      </rPr>
      <t xml:space="preserve"> </t>
    </r>
    <r>
      <rPr>
        <sz val="10"/>
        <color rgb="FF0000FF"/>
        <rFont val="Courier New"/>
        <family val="3"/>
      </rPr>
      <t>TABLE</t>
    </r>
    <r>
      <rPr>
        <sz val="10"/>
        <color theme="1"/>
        <rFont val="Courier New"/>
        <family val="3"/>
      </rPr>
      <t xml:space="preserve"> #Filter_for_Scope</t>
    </r>
    <r>
      <rPr>
        <sz val="10"/>
        <color rgb="FF0000FF"/>
        <rFont val="Courier New"/>
        <family val="3"/>
      </rPr>
      <t xml:space="preserve"> </t>
    </r>
    <r>
      <rPr>
        <sz val="10"/>
        <color rgb="FF808080"/>
        <rFont val="Courier New"/>
        <family val="3"/>
      </rPr>
      <t>(</t>
    </r>
    <r>
      <rPr>
        <sz val="10"/>
        <color theme="1"/>
        <rFont val="Courier New"/>
        <family val="3"/>
      </rPr>
      <t xml:space="preserve">[ORGCode]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[DEPARTMENT]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[CURRENCY] </t>
    </r>
    <r>
      <rPr>
        <sz val="10"/>
        <color rgb="FF0000FF"/>
        <rFont val="Courier New"/>
        <family val="3"/>
      </rPr>
      <t xml:space="preserve">varchar </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[UC] </t>
    </r>
    <r>
      <rPr>
        <sz val="10"/>
        <color rgb="FF0000FF"/>
        <rFont val="Courier New"/>
        <family val="3"/>
      </rPr>
      <t>float</t>
    </r>
    <r>
      <rPr>
        <sz val="10"/>
        <color rgb="FF808080"/>
        <rFont val="Courier New"/>
        <family val="3"/>
      </rPr>
      <t>,</t>
    </r>
    <r>
      <rPr>
        <sz val="10"/>
        <color theme="1"/>
        <rFont val="Courier New"/>
        <family val="3"/>
      </rPr>
      <t xml:space="preserve"> [ACTIVITY] </t>
    </r>
    <r>
      <rPr>
        <sz val="10"/>
        <color rgb="FF0000FF"/>
        <rFont val="Courier New"/>
        <family val="3"/>
      </rPr>
      <t>float</t>
    </r>
    <r>
      <rPr>
        <sz val="10"/>
        <color rgb="FF808080"/>
        <rFont val="Courier New"/>
        <family val="3"/>
      </rPr>
      <t>,</t>
    </r>
    <r>
      <rPr>
        <sz val="10"/>
        <color theme="1"/>
        <rFont val="Courier New"/>
        <family val="3"/>
      </rPr>
      <t xml:space="preserve"> [TOTAL_COST] </t>
    </r>
    <r>
      <rPr>
        <sz val="10"/>
        <color rgb="FF0000FF"/>
        <rFont val="Courier New"/>
        <family val="3"/>
      </rPr>
      <t>float</t>
    </r>
    <r>
      <rPr>
        <sz val="10"/>
        <color rgb="FF808080"/>
        <rFont val="Courier New"/>
        <family val="3"/>
      </rPr>
      <t>)</t>
    </r>
  </si>
  <si>
    <r>
      <t xml:space="preserve"> </t>
    </r>
    <r>
      <rPr>
        <sz val="10"/>
        <color rgb="FF0000FF"/>
        <rFont val="Courier New"/>
        <family val="3"/>
      </rPr>
      <t>INSERT</t>
    </r>
    <r>
      <rPr>
        <sz val="10"/>
        <color theme="1"/>
        <rFont val="Courier New"/>
        <family val="3"/>
      </rPr>
      <t xml:space="preserve"> </t>
    </r>
    <r>
      <rPr>
        <sz val="10"/>
        <color rgb="FF0000FF"/>
        <rFont val="Courier New"/>
        <family val="3"/>
      </rPr>
      <t>INTO</t>
    </r>
    <r>
      <rPr>
        <sz val="10"/>
        <color theme="1"/>
        <rFont val="Courier New"/>
        <family val="3"/>
      </rPr>
      <t xml:space="preserve"> #Filter_for_Scope</t>
    </r>
  </si>
  <si>
    <r>
      <t xml:space="preserve"> </t>
    </r>
    <r>
      <rPr>
        <sz val="10"/>
        <color rgb="FF0000FF"/>
        <rFont val="Courier New"/>
        <family val="3"/>
      </rPr>
      <t>SELECT</t>
    </r>
    <r>
      <rPr>
        <sz val="10"/>
        <color theme="1"/>
        <rFont val="Courier New"/>
        <family val="3"/>
      </rPr>
      <t xml:space="preserve"> FK_ORGS_PROV_ID</t>
    </r>
  </si>
  <si>
    <r>
      <t xml:space="preserve"> </t>
    </r>
    <r>
      <rPr>
        <sz val="10"/>
        <color rgb="FF808080"/>
        <rFont val="Courier New"/>
        <family val="3"/>
      </rPr>
      <t>,</t>
    </r>
    <r>
      <rPr>
        <sz val="10"/>
        <color theme="1"/>
        <rFont val="Courier New"/>
        <family val="3"/>
      </rPr>
      <t>[DEPARTMENT]</t>
    </r>
  </si>
  <si>
    <r>
      <t>WHERE</t>
    </r>
    <r>
      <rPr>
        <sz val="10"/>
        <color theme="1"/>
        <rFont val="Courier New"/>
        <family val="3"/>
      </rPr>
      <t xml:space="preserve"> rcna</t>
    </r>
    <r>
      <rPr>
        <sz val="10"/>
        <color rgb="FF808080"/>
        <rFont val="Courier New"/>
        <family val="3"/>
      </rPr>
      <t>.</t>
    </r>
    <r>
      <rPr>
        <sz val="10"/>
        <color theme="1"/>
        <rFont val="Courier New"/>
        <family val="3"/>
      </rPr>
      <t xml:space="preserve">[DEPARTMENT] </t>
    </r>
    <r>
      <rPr>
        <sz val="10"/>
        <color rgb="FF808080"/>
        <rFont val="Courier New"/>
        <family val="3"/>
      </rPr>
      <t>=</t>
    </r>
    <r>
      <rPr>
        <sz val="10"/>
        <color theme="1"/>
        <rFont val="Courier New"/>
        <family val="3"/>
      </rPr>
      <t xml:space="preserve"> </t>
    </r>
    <r>
      <rPr>
        <sz val="10"/>
        <color rgb="FFFF0000"/>
        <rFont val="Courier New"/>
        <family val="3"/>
      </rPr>
      <t>'RENALAKI'</t>
    </r>
  </si>
  <si>
    <r>
      <t>CREATE</t>
    </r>
    <r>
      <rPr>
        <sz val="10"/>
        <color theme="1"/>
        <rFont val="Courier New"/>
        <family val="3"/>
      </rPr>
      <t xml:space="preserve"> </t>
    </r>
    <r>
      <rPr>
        <sz val="10"/>
        <color rgb="FF0000FF"/>
        <rFont val="Courier New"/>
        <family val="3"/>
      </rPr>
      <t>TABLE</t>
    </r>
    <r>
      <rPr>
        <sz val="10"/>
        <color theme="1"/>
        <rFont val="Courier New"/>
        <family val="3"/>
      </rPr>
      <t xml:space="preserve"> #Remove_MFF </t>
    </r>
  </si>
  <si>
    <r>
      <t>(</t>
    </r>
    <r>
      <rPr>
        <sz val="10"/>
        <color theme="1"/>
        <rFont val="Courier New"/>
        <family val="3"/>
      </rPr>
      <t xml:space="preserve">[ORGCode]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t>
    </r>
  </si>
  <si>
    <r>
      <t xml:space="preserve">[DEPARTMENT]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t>
    </r>
  </si>
  <si>
    <r>
      <t xml:space="preserve">[CURRENCY] </t>
    </r>
    <r>
      <rPr>
        <sz val="10"/>
        <color rgb="FF0000FF"/>
        <rFont val="Courier New"/>
        <family val="3"/>
      </rPr>
      <t xml:space="preserve">varchar </t>
    </r>
    <r>
      <rPr>
        <sz val="10"/>
        <color rgb="FF808080"/>
        <rFont val="Courier New"/>
        <family val="3"/>
      </rPr>
      <t>(</t>
    </r>
    <r>
      <rPr>
        <sz val="10"/>
        <color theme="1"/>
        <rFont val="Courier New"/>
        <family val="3"/>
      </rPr>
      <t>100</t>
    </r>
    <r>
      <rPr>
        <sz val="10"/>
        <color rgb="FF808080"/>
        <rFont val="Courier New"/>
        <family val="3"/>
      </rPr>
      <t>),</t>
    </r>
  </si>
  <si>
    <r>
      <t xml:space="preserve">[UC] </t>
    </r>
    <r>
      <rPr>
        <sz val="10"/>
        <color rgb="FF0000FF"/>
        <rFont val="Courier New"/>
        <family val="3"/>
      </rPr>
      <t>float</t>
    </r>
    <r>
      <rPr>
        <sz val="10"/>
        <color rgb="FF808080"/>
        <rFont val="Courier New"/>
        <family val="3"/>
      </rPr>
      <t>,</t>
    </r>
    <r>
      <rPr>
        <sz val="10"/>
        <color theme="1"/>
        <rFont val="Courier New"/>
        <family val="3"/>
      </rPr>
      <t xml:space="preserve"> </t>
    </r>
  </si>
  <si>
    <r>
      <t xml:space="preserve">[ACTIVITY] </t>
    </r>
    <r>
      <rPr>
        <sz val="10"/>
        <color rgb="FF0000FF"/>
        <rFont val="Courier New"/>
        <family val="3"/>
      </rPr>
      <t>float</t>
    </r>
    <r>
      <rPr>
        <sz val="10"/>
        <color rgb="FF808080"/>
        <rFont val="Courier New"/>
        <family val="3"/>
      </rPr>
      <t>,</t>
    </r>
    <r>
      <rPr>
        <sz val="10"/>
        <color theme="1"/>
        <rFont val="Courier New"/>
        <family val="3"/>
      </rPr>
      <t xml:space="preserve"> </t>
    </r>
  </si>
  <si>
    <r>
      <t xml:space="preserve">[TOTAL_COST] </t>
    </r>
    <r>
      <rPr>
        <sz val="10"/>
        <color rgb="FF0000FF"/>
        <rFont val="Courier New"/>
        <family val="3"/>
      </rPr>
      <t>float</t>
    </r>
    <r>
      <rPr>
        <sz val="10"/>
        <color rgb="FF808080"/>
        <rFont val="Courier New"/>
        <family val="3"/>
      </rPr>
      <t>,</t>
    </r>
    <r>
      <rPr>
        <sz val="10"/>
        <color theme="1"/>
        <rFont val="Courier New"/>
        <family val="3"/>
      </rPr>
      <t xml:space="preserve"> </t>
    </r>
  </si>
  <si>
    <r>
      <t xml:space="preserve">  </t>
    </r>
    <r>
      <rPr>
        <sz val="10"/>
        <color rgb="FF0000FF"/>
        <rFont val="Courier New"/>
        <family val="3"/>
      </rPr>
      <t>INSERT</t>
    </r>
    <r>
      <rPr>
        <sz val="10"/>
        <color theme="1"/>
        <rFont val="Courier New"/>
        <family val="3"/>
      </rPr>
      <t xml:space="preserve"> </t>
    </r>
    <r>
      <rPr>
        <sz val="10"/>
        <color rgb="FF0000FF"/>
        <rFont val="Courier New"/>
        <family val="3"/>
      </rPr>
      <t>INTO</t>
    </r>
    <r>
      <rPr>
        <sz val="10"/>
        <color theme="1"/>
        <rFont val="Courier New"/>
        <family val="3"/>
      </rPr>
      <t xml:space="preserve"> #Remove_MFF</t>
    </r>
  </si>
  <si>
    <r>
      <t xml:space="preserve">  </t>
    </r>
    <r>
      <rPr>
        <sz val="10"/>
        <color rgb="FF0000FF"/>
        <rFont val="Courier New"/>
        <family val="3"/>
      </rPr>
      <t>SELECT</t>
    </r>
    <r>
      <rPr>
        <sz val="10"/>
        <color theme="1"/>
        <rFont val="Courier New"/>
        <family val="3"/>
      </rPr>
      <t xml:space="preserve"> #Filter_for_Scope</t>
    </r>
    <r>
      <rPr>
        <sz val="10"/>
        <color rgb="FF808080"/>
        <rFont val="Courier New"/>
        <family val="3"/>
      </rPr>
      <t>.*,</t>
    </r>
    <r>
      <rPr>
        <sz val="10"/>
        <color theme="1"/>
        <rFont val="Courier New"/>
        <family val="3"/>
      </rPr>
      <t xml:space="preserve"> [UC]</t>
    </r>
    <r>
      <rPr>
        <sz val="10"/>
        <color rgb="FF808080"/>
        <rFont val="Courier New"/>
        <family val="3"/>
      </rPr>
      <t>/</t>
    </r>
    <r>
      <rPr>
        <sz val="10"/>
        <color theme="1"/>
        <rFont val="Courier New"/>
        <family val="3"/>
      </rPr>
      <t xml:space="preserve"> p</t>
    </r>
    <r>
      <rPr>
        <sz val="10"/>
        <color rgb="FF808080"/>
        <rFont val="Courier New"/>
        <family val="3"/>
      </rPr>
      <t>.</t>
    </r>
    <r>
      <rPr>
        <sz val="10"/>
        <color theme="1"/>
        <rFont val="Courier New"/>
        <family val="3"/>
      </rPr>
      <t>[Target MFF]</t>
    </r>
    <r>
      <rPr>
        <sz val="10"/>
        <color rgb="FF808080"/>
        <rFont val="Courier New"/>
        <family val="3"/>
      </rPr>
      <t>,</t>
    </r>
    <r>
      <rPr>
        <sz val="10"/>
        <color theme="1"/>
        <rFont val="Courier New"/>
        <family val="3"/>
      </rPr>
      <t xml:space="preserve"> [TOTAL_COST] </t>
    </r>
    <r>
      <rPr>
        <sz val="10"/>
        <color rgb="FF808080"/>
        <rFont val="Courier New"/>
        <family val="3"/>
      </rPr>
      <t>/</t>
    </r>
    <r>
      <rPr>
        <sz val="10"/>
        <color theme="1"/>
        <rFont val="Courier New"/>
        <family val="3"/>
      </rPr>
      <t xml:space="preserve">  p</t>
    </r>
    <r>
      <rPr>
        <sz val="10"/>
        <color rgb="FF808080"/>
        <rFont val="Courier New"/>
        <family val="3"/>
      </rPr>
      <t>.</t>
    </r>
    <r>
      <rPr>
        <sz val="10"/>
        <color theme="1"/>
        <rFont val="Courier New"/>
        <family val="3"/>
      </rPr>
      <t>[Target MFF]</t>
    </r>
    <r>
      <rPr>
        <sz val="10"/>
        <color rgb="FF808080"/>
        <rFont val="Courier New"/>
        <family val="3"/>
      </rPr>
      <t>,</t>
    </r>
    <r>
      <rPr>
        <sz val="10"/>
        <color theme="1"/>
        <rFont val="Courier New"/>
        <family val="3"/>
      </rPr>
      <t xml:space="preserve"> [TOTAL_COST] </t>
    </r>
    <r>
      <rPr>
        <sz val="10"/>
        <color rgb="FF808080"/>
        <rFont val="Courier New"/>
        <family val="3"/>
      </rPr>
      <t>/</t>
    </r>
    <r>
      <rPr>
        <sz val="10"/>
        <color theme="1"/>
        <rFont val="Courier New"/>
        <family val="3"/>
      </rPr>
      <t xml:space="preserve">  p</t>
    </r>
    <r>
      <rPr>
        <sz val="10"/>
        <color rgb="FF808080"/>
        <rFont val="Courier New"/>
        <family val="3"/>
      </rPr>
      <t>.</t>
    </r>
    <r>
      <rPr>
        <sz val="10"/>
        <color theme="1"/>
        <rFont val="Courier New"/>
        <family val="3"/>
      </rPr>
      <t>[Capped MFF 2013/14]</t>
    </r>
  </si>
  <si>
    <r>
      <t>#Filter_for_Scope</t>
    </r>
    <r>
      <rPr>
        <sz val="10"/>
        <color rgb="FF808080"/>
        <rFont val="Courier New"/>
        <family val="3"/>
      </rPr>
      <t>.</t>
    </r>
    <r>
      <rPr>
        <sz val="10"/>
        <color theme="1"/>
        <rFont val="Courier New"/>
        <family val="3"/>
      </rPr>
      <t xml:space="preserve">ORGCode </t>
    </r>
    <r>
      <rPr>
        <sz val="10"/>
        <color rgb="FF808080"/>
        <rFont val="Courier New"/>
        <family val="3"/>
      </rPr>
      <t>=</t>
    </r>
    <r>
      <rPr>
        <sz val="10"/>
        <color theme="1"/>
        <rFont val="Courier New"/>
        <family val="3"/>
      </rPr>
      <t xml:space="preserve"> p</t>
    </r>
    <r>
      <rPr>
        <sz val="10"/>
        <color rgb="FF808080"/>
        <rFont val="Courier New"/>
        <family val="3"/>
      </rPr>
      <t>.</t>
    </r>
    <r>
      <rPr>
        <sz val="10"/>
        <color theme="1"/>
        <rFont val="Courier New"/>
        <family val="3"/>
      </rPr>
      <t>[RC Code]</t>
    </r>
  </si>
  <si>
    <r>
      <t xml:space="preserve"> </t>
    </r>
    <r>
      <rPr>
        <sz val="10"/>
        <color rgb="FF0000FF"/>
        <rFont val="Courier New"/>
        <family val="3"/>
      </rPr>
      <t>CREATE</t>
    </r>
    <r>
      <rPr>
        <sz val="10"/>
        <color theme="1"/>
        <rFont val="Courier New"/>
        <family val="3"/>
      </rPr>
      <t xml:space="preserve"> </t>
    </r>
    <r>
      <rPr>
        <sz val="10"/>
        <color rgb="FF0000FF"/>
        <rFont val="Courier New"/>
        <family val="3"/>
      </rPr>
      <t>TABLE</t>
    </r>
    <r>
      <rPr>
        <sz val="10"/>
        <color theme="1"/>
        <rFont val="Courier New"/>
        <family val="3"/>
      </rPr>
      <t xml:space="preserve"> #National_Average</t>
    </r>
    <r>
      <rPr>
        <sz val="10"/>
        <color rgb="FF0000FF"/>
        <rFont val="Courier New"/>
        <family val="3"/>
      </rPr>
      <t xml:space="preserve"> </t>
    </r>
    <r>
      <rPr>
        <sz val="10"/>
        <color rgb="FF808080"/>
        <rFont val="Courier New"/>
        <family val="3"/>
      </rPr>
      <t>(</t>
    </r>
    <r>
      <rPr>
        <sz val="10"/>
        <color theme="1"/>
        <rFont val="Courier New"/>
        <family val="3"/>
      </rPr>
      <t xml:space="preserve">[DEPARTMENT]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[CURRENCY] </t>
    </r>
    <r>
      <rPr>
        <sz val="10"/>
        <color rgb="FF0000FF"/>
        <rFont val="Courier New"/>
        <family val="3"/>
      </rPr>
      <t xml:space="preserve">varchar </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[NA] </t>
    </r>
    <r>
      <rPr>
        <sz val="10"/>
        <color rgb="FF0000FF"/>
        <rFont val="Courier New"/>
        <family val="3"/>
      </rPr>
      <t>float</t>
    </r>
    <r>
      <rPr>
        <sz val="10"/>
        <color rgb="FF808080"/>
        <rFont val="Courier New"/>
        <family val="3"/>
      </rPr>
      <t>)</t>
    </r>
  </si>
  <si>
    <r>
      <t xml:space="preserve">  </t>
    </r>
    <r>
      <rPr>
        <sz val="10"/>
        <color rgb="FF0000FF"/>
        <rFont val="Courier New"/>
        <family val="3"/>
      </rPr>
      <t>INSERT</t>
    </r>
    <r>
      <rPr>
        <sz val="10"/>
        <color theme="1"/>
        <rFont val="Courier New"/>
        <family val="3"/>
      </rPr>
      <t xml:space="preserve"> </t>
    </r>
    <r>
      <rPr>
        <sz val="10"/>
        <color rgb="FF0000FF"/>
        <rFont val="Courier New"/>
        <family val="3"/>
      </rPr>
      <t>INTO</t>
    </r>
    <r>
      <rPr>
        <sz val="10"/>
        <color theme="1"/>
        <rFont val="Courier New"/>
        <family val="3"/>
      </rPr>
      <t xml:space="preserve"> #National_Average</t>
    </r>
  </si>
  <si>
    <r>
      <t xml:space="preserve">  </t>
    </r>
    <r>
      <rPr>
        <sz val="10"/>
        <color rgb="FF0000FF"/>
        <rFont val="Courier New"/>
        <family val="3"/>
      </rPr>
      <t>SELECT</t>
    </r>
    <r>
      <rPr>
        <sz val="10"/>
        <color theme="1"/>
        <rFont val="Courier New"/>
        <family val="3"/>
      </rPr>
      <t xml:space="preserve"> [DEPARTMENT]</t>
    </r>
    <r>
      <rPr>
        <sz val="10"/>
        <color rgb="FF808080"/>
        <rFont val="Courier New"/>
        <family val="3"/>
      </rPr>
      <t>,</t>
    </r>
    <r>
      <rPr>
        <sz val="10"/>
        <color theme="1"/>
        <rFont val="Courier New"/>
        <family val="3"/>
      </rPr>
      <t xml:space="preserve"> [CURRENCY]</t>
    </r>
    <r>
      <rPr>
        <sz val="10"/>
        <color rgb="FF808080"/>
        <rFont val="Courier New"/>
        <family val="3"/>
      </rPr>
      <t>,</t>
    </r>
    <r>
      <rPr>
        <sz val="10"/>
        <color theme="1"/>
        <rFont val="Courier New"/>
        <family val="3"/>
      </rPr>
      <t xml:space="preserve">  </t>
    </r>
    <r>
      <rPr>
        <sz val="10"/>
        <color rgb="FFFF00FF"/>
        <rFont val="Courier New"/>
        <family val="3"/>
      </rPr>
      <t>SUM</t>
    </r>
    <r>
      <rPr>
        <sz val="10"/>
        <color rgb="FF808080"/>
        <rFont val="Courier New"/>
        <family val="3"/>
      </rPr>
      <t>(</t>
    </r>
    <r>
      <rPr>
        <sz val="10"/>
        <color theme="1"/>
        <rFont val="Courier New"/>
        <family val="3"/>
      </rPr>
      <t>[UC (Target MFF)]</t>
    </r>
    <r>
      <rPr>
        <sz val="10"/>
        <color rgb="FF808080"/>
        <rFont val="Courier New"/>
        <family val="3"/>
      </rPr>
      <t>*</t>
    </r>
    <r>
      <rPr>
        <sz val="10"/>
        <color theme="1"/>
        <rFont val="Courier New"/>
        <family val="3"/>
      </rPr>
      <t>[ACTIVITY]</t>
    </r>
    <r>
      <rPr>
        <sz val="10"/>
        <color rgb="FF808080"/>
        <rFont val="Courier New"/>
        <family val="3"/>
      </rPr>
      <t>)/</t>
    </r>
    <r>
      <rPr>
        <sz val="10"/>
        <color rgb="FFFF00FF"/>
        <rFont val="Courier New"/>
        <family val="3"/>
      </rPr>
      <t>SUM</t>
    </r>
    <r>
      <rPr>
        <sz val="10"/>
        <color rgb="FF808080"/>
        <rFont val="Courier New"/>
        <family val="3"/>
      </rPr>
      <t>(</t>
    </r>
    <r>
      <rPr>
        <sz val="10"/>
        <color theme="1"/>
        <rFont val="Courier New"/>
        <family val="3"/>
      </rPr>
      <t>[ACTIVITY]</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NA</t>
    </r>
  </si>
  <si>
    <r>
      <t xml:space="preserve">  </t>
    </r>
    <r>
      <rPr>
        <sz val="10"/>
        <color rgb="FF0000FF"/>
        <rFont val="Courier New"/>
        <family val="3"/>
      </rPr>
      <t>FROM</t>
    </r>
    <r>
      <rPr>
        <sz val="10"/>
        <color theme="1"/>
        <rFont val="Courier New"/>
        <family val="3"/>
      </rPr>
      <t xml:space="preserve"> #Remove_MFF</t>
    </r>
  </si>
  <si>
    <r>
      <t xml:space="preserve">  </t>
    </r>
    <r>
      <rPr>
        <sz val="10"/>
        <color rgb="FF0000FF"/>
        <rFont val="Courier New"/>
        <family val="3"/>
      </rPr>
      <t>GROUP</t>
    </r>
    <r>
      <rPr>
        <sz val="10"/>
        <color theme="1"/>
        <rFont val="Courier New"/>
        <family val="3"/>
      </rPr>
      <t xml:space="preserve"> </t>
    </r>
    <r>
      <rPr>
        <sz val="10"/>
        <color rgb="FF0000FF"/>
        <rFont val="Courier New"/>
        <family val="3"/>
      </rPr>
      <t>BY</t>
    </r>
    <r>
      <rPr>
        <sz val="10"/>
        <color theme="1"/>
        <rFont val="Courier New"/>
        <family val="3"/>
      </rPr>
      <t xml:space="preserve"> DEPARTMENT</t>
    </r>
    <r>
      <rPr>
        <sz val="10"/>
        <color rgb="FF808080"/>
        <rFont val="Courier New"/>
        <family val="3"/>
      </rPr>
      <t>,</t>
    </r>
    <r>
      <rPr>
        <sz val="10"/>
        <color theme="1"/>
        <rFont val="Courier New"/>
        <family val="3"/>
      </rPr>
      <t xml:space="preserve"> CURRENCY</t>
    </r>
  </si>
  <si>
    <r>
      <t>CREATE</t>
    </r>
    <r>
      <rPr>
        <sz val="10"/>
        <color theme="1"/>
        <rFont val="Courier New"/>
        <family val="3"/>
      </rPr>
      <t xml:space="preserve"> </t>
    </r>
    <r>
      <rPr>
        <sz val="10"/>
        <color rgb="FF0000FF"/>
        <rFont val="Courier New"/>
        <family val="3"/>
      </rPr>
      <t>TABLE</t>
    </r>
    <r>
      <rPr>
        <sz val="10"/>
        <color theme="1"/>
        <rFont val="Courier New"/>
        <family val="3"/>
      </rPr>
      <t xml:space="preserve"> #Clean_Data</t>
    </r>
    <r>
      <rPr>
        <sz val="10"/>
        <color rgb="FF0000FF"/>
        <rFont val="Courier New"/>
        <family val="3"/>
      </rPr>
      <t xml:space="preserve"> </t>
    </r>
    <r>
      <rPr>
        <sz val="10"/>
        <color rgb="FF808080"/>
        <rFont val="Courier New"/>
        <family val="3"/>
      </rPr>
      <t>(</t>
    </r>
    <r>
      <rPr>
        <sz val="10"/>
        <color theme="1"/>
        <rFont val="Courier New"/>
        <family val="3"/>
      </rPr>
      <t xml:space="preserve">[ORGCode]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[DEPARTMENT]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[CURRENCY] </t>
    </r>
    <r>
      <rPr>
        <sz val="10"/>
        <color rgb="FF0000FF"/>
        <rFont val="Courier New"/>
        <family val="3"/>
      </rPr>
      <t xml:space="preserve">varchar </t>
    </r>
    <r>
      <rPr>
        <sz val="10"/>
        <color rgb="FF808080"/>
        <rFont val="Courier New"/>
        <family val="3"/>
      </rPr>
      <t>(</t>
    </r>
    <r>
      <rPr>
        <sz val="10"/>
        <color theme="1"/>
        <rFont val="Courier New"/>
        <family val="3"/>
      </rPr>
      <t>100</t>
    </r>
    <r>
      <rPr>
        <sz val="10"/>
        <color rgb="FF808080"/>
        <rFont val="Courier New"/>
        <family val="3"/>
      </rPr>
      <t>),</t>
    </r>
  </si>
  <si>
    <r>
      <t>#Remove_MFF</t>
    </r>
    <r>
      <rPr>
        <sz val="10"/>
        <color rgb="FF808080"/>
        <rFont val="Courier New"/>
        <family val="3"/>
      </rPr>
      <t>.</t>
    </r>
    <r>
      <rPr>
        <sz val="10"/>
        <color theme="1"/>
        <rFont val="Courier New"/>
        <family val="3"/>
      </rPr>
      <t xml:space="preserve">DEPARTMENT </t>
    </r>
    <r>
      <rPr>
        <sz val="10"/>
        <color rgb="FF808080"/>
        <rFont val="Courier New"/>
        <family val="3"/>
      </rPr>
      <t>=</t>
    </r>
    <r>
      <rPr>
        <sz val="10"/>
        <color theme="1"/>
        <rFont val="Courier New"/>
        <family val="3"/>
      </rPr>
      <t xml:space="preserve"> #National_Average</t>
    </r>
    <r>
      <rPr>
        <sz val="10"/>
        <color rgb="FF808080"/>
        <rFont val="Courier New"/>
        <family val="3"/>
      </rPr>
      <t>.</t>
    </r>
    <r>
      <rPr>
        <sz val="10"/>
        <color theme="1"/>
        <rFont val="Courier New"/>
        <family val="3"/>
      </rPr>
      <t>DEPARTMENT</t>
    </r>
  </si>
  <si>
    <r>
      <t>CREATE</t>
    </r>
    <r>
      <rPr>
        <sz val="10"/>
        <color theme="1"/>
        <rFont val="Courier New"/>
        <family val="3"/>
      </rPr>
      <t xml:space="preserve"> </t>
    </r>
    <r>
      <rPr>
        <sz val="10"/>
        <color rgb="FF0000FF"/>
        <rFont val="Courier New"/>
        <family val="3"/>
      </rPr>
      <t>TABLE</t>
    </r>
    <r>
      <rPr>
        <sz val="10"/>
        <color theme="1"/>
        <rFont val="Courier New"/>
        <family val="3"/>
      </rPr>
      <t xml:space="preserve"> #NATIONAL_DATA_CLEAN</t>
    </r>
    <r>
      <rPr>
        <sz val="10"/>
        <color rgb="FF0000FF"/>
        <rFont val="Courier New"/>
        <family val="3"/>
      </rPr>
      <t xml:space="preserve"> </t>
    </r>
    <r>
      <rPr>
        <sz val="10"/>
        <color rgb="FF808080"/>
        <rFont val="Courier New"/>
        <family val="3"/>
      </rPr>
      <t>(</t>
    </r>
    <r>
      <rPr>
        <sz val="10"/>
        <color theme="1"/>
        <rFont val="Courier New"/>
        <family val="3"/>
      </rPr>
      <t xml:space="preserve">[DEPARTMENT]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[CURRENCY] </t>
    </r>
    <r>
      <rPr>
        <sz val="10"/>
        <color rgb="FF0000FF"/>
        <rFont val="Courier New"/>
        <family val="3"/>
      </rPr>
      <t xml:space="preserve">varchar </t>
    </r>
    <r>
      <rPr>
        <sz val="10"/>
        <color rgb="FF808080"/>
        <rFont val="Courier New"/>
        <family val="3"/>
      </rPr>
      <t>(</t>
    </r>
    <r>
      <rPr>
        <sz val="10"/>
        <color theme="1"/>
        <rFont val="Courier New"/>
        <family val="3"/>
      </rPr>
      <t>100</t>
    </r>
    <r>
      <rPr>
        <sz val="10"/>
        <color rgb="FF808080"/>
        <rFont val="Courier New"/>
        <family val="3"/>
      </rPr>
      <t>),</t>
    </r>
  </si>
  <si>
    <r>
      <t xml:space="preserve">    </t>
    </r>
    <r>
      <rPr>
        <sz val="10"/>
        <color rgb="FFFF00FF"/>
        <rFont val="Courier New"/>
        <family val="3"/>
      </rPr>
      <t>SUM</t>
    </r>
    <r>
      <rPr>
        <sz val="10"/>
        <color rgb="FF808080"/>
        <rFont val="Courier New"/>
        <family val="3"/>
      </rPr>
      <t>(</t>
    </r>
    <r>
      <rPr>
        <sz val="10"/>
        <color theme="1"/>
        <rFont val="Courier New"/>
        <family val="3"/>
      </rPr>
      <t>[ACTIVITY]</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t>
    </r>
    <r>
      <rPr>
        <sz val="10"/>
        <color rgb="FFFF0000"/>
        <rFont val="Courier New"/>
        <family val="3"/>
      </rPr>
      <t>'Total Activity'</t>
    </r>
    <r>
      <rPr>
        <sz val="10"/>
        <color rgb="FF808080"/>
        <rFont val="Courier New"/>
        <family val="3"/>
      </rPr>
      <t>,</t>
    </r>
    <r>
      <rPr>
        <sz val="10"/>
        <color theme="1"/>
        <rFont val="Courier New"/>
        <family val="3"/>
      </rPr>
      <t xml:space="preserve"> </t>
    </r>
    <r>
      <rPr>
        <sz val="10"/>
        <color rgb="FFFF00FF"/>
        <rFont val="Courier New"/>
        <family val="3"/>
      </rPr>
      <t>SUM</t>
    </r>
    <r>
      <rPr>
        <sz val="10"/>
        <color rgb="FF808080"/>
        <rFont val="Courier New"/>
        <family val="3"/>
      </rPr>
      <t>(</t>
    </r>
    <r>
      <rPr>
        <sz val="10"/>
        <color theme="1"/>
        <rFont val="Courier New"/>
        <family val="3"/>
      </rPr>
      <t>[UC (Target MFF)]</t>
    </r>
    <r>
      <rPr>
        <sz val="10"/>
        <color rgb="FF808080"/>
        <rFont val="Courier New"/>
        <family val="3"/>
      </rPr>
      <t>*</t>
    </r>
    <r>
      <rPr>
        <sz val="10"/>
        <color theme="1"/>
        <rFont val="Courier New"/>
        <family val="3"/>
      </rPr>
      <t>[ACTIVITY]</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[TOTAL COST]</t>
    </r>
    <r>
      <rPr>
        <sz val="10"/>
        <color rgb="FF808080"/>
        <rFont val="Courier New"/>
        <family val="3"/>
      </rPr>
      <t>,</t>
    </r>
  </si>
  <si>
    <r>
      <t xml:space="preserve">    </t>
    </r>
    <r>
      <rPr>
        <sz val="10"/>
        <color rgb="FFFF00FF"/>
        <rFont val="Courier New"/>
        <family val="3"/>
      </rPr>
      <t>SUM</t>
    </r>
    <r>
      <rPr>
        <sz val="10"/>
        <color rgb="FF808080"/>
        <rFont val="Courier New"/>
        <family val="3"/>
      </rPr>
      <t>(</t>
    </r>
    <r>
      <rPr>
        <sz val="10"/>
        <color theme="1"/>
        <rFont val="Courier New"/>
        <family val="3"/>
      </rPr>
      <t>[UC (Target MFF)]</t>
    </r>
    <r>
      <rPr>
        <sz val="10"/>
        <color rgb="FF808080"/>
        <rFont val="Courier New"/>
        <family val="3"/>
      </rPr>
      <t>*</t>
    </r>
    <r>
      <rPr>
        <sz val="10"/>
        <color theme="1"/>
        <rFont val="Courier New"/>
        <family val="3"/>
      </rPr>
      <t>[ACTIVITY]</t>
    </r>
    <r>
      <rPr>
        <sz val="10"/>
        <color rgb="FF808080"/>
        <rFont val="Courier New"/>
        <family val="3"/>
      </rPr>
      <t>)/</t>
    </r>
    <r>
      <rPr>
        <sz val="10"/>
        <color rgb="FFFF00FF"/>
        <rFont val="Courier New"/>
        <family val="3"/>
      </rPr>
      <t>SUM</t>
    </r>
    <r>
      <rPr>
        <sz val="10"/>
        <color rgb="FF808080"/>
        <rFont val="Courier New"/>
        <family val="3"/>
      </rPr>
      <t>(</t>
    </r>
    <r>
      <rPr>
        <sz val="10"/>
        <color theme="1"/>
        <rFont val="Courier New"/>
        <family val="3"/>
      </rPr>
      <t>[ACTIVITY]</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[HRG UC (Target MFF)]</t>
    </r>
  </si>
  <si>
    <r>
      <t>SELECT</t>
    </r>
    <r>
      <rPr>
        <sz val="10"/>
        <color theme="1"/>
        <rFont val="Courier New"/>
        <family val="3"/>
      </rP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color theme="1"/>
        <rFont val="Courier New"/>
        <family val="3"/>
      </rPr>
      <t>[TC (Target MFF)]</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[EXEC MFF]</t>
    </r>
    <r>
      <rPr>
        <sz val="10"/>
        <color rgb="FF808080"/>
        <rFont val="Courier New"/>
        <family val="3"/>
      </rPr>
      <t>,</t>
    </r>
    <r>
      <rPr>
        <sz val="10"/>
        <color theme="1"/>
        <rFont val="Courier New"/>
        <family val="3"/>
      </rP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color theme="1"/>
        <rFont val="Courier New"/>
        <family val="3"/>
      </rPr>
      <t>[TC (Payment MFF)]</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[EXEC MFF CAPPED]</t>
    </r>
    <r>
      <rPr>
        <sz val="10"/>
        <color rgb="FF808080"/>
        <rFont val="Courier New"/>
        <family val="3"/>
      </rPr>
      <t>,</t>
    </r>
  </si>
  <si>
    <r>
      <t>SUM</t>
    </r>
    <r>
      <rPr>
        <sz val="10"/>
        <color rgb="FF0000FF"/>
        <rFont val="Courier New"/>
        <family val="3"/>
      </rPr>
      <t xml:space="preserve"> </t>
    </r>
    <r>
      <rPr>
        <sz val="10"/>
        <color rgb="FF808080"/>
        <rFont val="Courier New"/>
        <family val="3"/>
      </rPr>
      <t>(</t>
    </r>
    <r>
      <rPr>
        <sz val="10"/>
        <color theme="1"/>
        <rFont val="Courier New"/>
        <family val="3"/>
      </rPr>
      <t>[TC (Payment MFF)]</t>
    </r>
    <r>
      <rPr>
        <sz val="10"/>
        <color rgb="FF808080"/>
        <rFont val="Courier New"/>
        <family val="3"/>
      </rPr>
      <t>)</t>
    </r>
    <r>
      <rPr>
        <sz val="10"/>
        <color theme="1"/>
        <rFont val="Courier New"/>
        <family val="3"/>
      </rPr>
      <t xml:space="preserve"> </t>
    </r>
    <r>
      <rPr>
        <sz val="10"/>
        <color rgb="FF808080"/>
        <rFont val="Courier New"/>
        <family val="3"/>
      </rPr>
      <t>/</t>
    </r>
    <r>
      <rPr>
        <sz val="10"/>
        <color theme="1"/>
        <rFont val="Courier New"/>
        <family val="3"/>
      </rPr>
      <t xml:space="preserve"> </t>
    </r>
    <r>
      <rPr>
        <sz val="10"/>
        <color rgb="FFFF00FF"/>
        <rFont val="Courier New"/>
        <family val="3"/>
      </rPr>
      <t>SUM</t>
    </r>
    <r>
      <rPr>
        <sz val="10"/>
        <color rgb="FF0000FF"/>
        <rFont val="Courier New"/>
        <family val="3"/>
      </rPr>
      <t xml:space="preserve"> </t>
    </r>
    <r>
      <rPr>
        <sz val="10"/>
        <color rgb="FF808080"/>
        <rFont val="Courier New"/>
        <family val="3"/>
      </rPr>
      <t>(</t>
    </r>
    <r>
      <rPr>
        <sz val="10"/>
        <color theme="1"/>
        <rFont val="Courier New"/>
        <family val="3"/>
      </rPr>
      <t>[TC (Target MFF)]</t>
    </r>
    <r>
      <rPr>
        <sz val="10"/>
        <color rgb="FF808080"/>
        <rFont val="Courier New"/>
        <family val="3"/>
      </rPr>
      <t>)</t>
    </r>
    <r>
      <rPr>
        <sz val="10"/>
        <color theme="1"/>
        <rFont val="Courier New"/>
        <family val="3"/>
      </rPr>
      <t xml:space="preserve"> </t>
    </r>
    <r>
      <rPr>
        <sz val="10"/>
        <color rgb="FF0000FF"/>
        <rFont val="Courier New"/>
        <family val="3"/>
      </rPr>
      <t>as</t>
    </r>
    <r>
      <rPr>
        <sz val="10"/>
        <color theme="1"/>
        <rFont val="Courier New"/>
        <family val="3"/>
      </rPr>
      <t xml:space="preserve"> [MFF RESCALE]</t>
    </r>
  </si>
  <si>
    <r>
      <t>CREATE</t>
    </r>
    <r>
      <rPr>
        <sz val="10"/>
        <color theme="1"/>
        <rFont val="Courier New"/>
        <family val="3"/>
      </rPr>
      <t xml:space="preserve"> </t>
    </r>
    <r>
      <rPr>
        <sz val="10"/>
        <color rgb="FF0000FF"/>
        <rFont val="Courier New"/>
        <family val="3"/>
      </rPr>
      <t>TABLE</t>
    </r>
    <r>
      <rPr>
        <sz val="10"/>
        <color theme="1"/>
        <rFont val="Courier New"/>
        <family val="3"/>
      </rPr>
      <t xml:space="preserve"> #NATIONAL_TARIFF_AKI</t>
    </r>
    <r>
      <rPr>
        <sz val="10"/>
        <color rgb="FF0000FF"/>
        <rFont val="Courier New"/>
        <family val="3"/>
      </rPr>
      <t xml:space="preserve"> </t>
    </r>
    <r>
      <rPr>
        <sz val="10"/>
        <color rgb="FF808080"/>
        <rFont val="Courier New"/>
        <family val="3"/>
      </rPr>
      <t>(</t>
    </r>
    <r>
      <rPr>
        <sz val="10"/>
        <color theme="1"/>
        <rFont val="Courier New"/>
        <family val="3"/>
      </rPr>
      <t xml:space="preserve">[DEPARTMENT] </t>
    </r>
    <r>
      <rPr>
        <sz val="10"/>
        <color rgb="FF0000FF"/>
        <rFont val="Courier New"/>
        <family val="3"/>
      </rPr>
      <t>varchar</t>
    </r>
    <r>
      <rPr>
        <sz val="10"/>
        <color rgb="FF808080"/>
        <rFont val="Courier New"/>
        <family val="3"/>
      </rPr>
      <t>(</t>
    </r>
    <r>
      <rPr>
        <sz val="10"/>
        <color theme="1"/>
        <rFont val="Courier New"/>
        <family val="3"/>
      </rPr>
      <t>100</t>
    </r>
    <r>
      <rPr>
        <sz val="10"/>
        <color rgb="FF808080"/>
        <rFont val="Courier New"/>
        <family val="3"/>
      </rPr>
      <t>),</t>
    </r>
    <r>
      <rPr>
        <sz val="10"/>
        <color theme="1"/>
        <rFont val="Courier New"/>
        <family val="3"/>
      </rPr>
      <t xml:space="preserve"> [CURRENCY] </t>
    </r>
    <r>
      <rPr>
        <sz val="10"/>
        <color rgb="FF0000FF"/>
        <rFont val="Courier New"/>
        <family val="3"/>
      </rPr>
      <t xml:space="preserve">varchar </t>
    </r>
    <r>
      <rPr>
        <sz val="10"/>
        <color rgb="FF808080"/>
        <rFont val="Courier New"/>
        <family val="3"/>
      </rPr>
      <t>(</t>
    </r>
    <r>
      <rPr>
        <sz val="10"/>
        <color theme="1"/>
        <rFont val="Courier New"/>
        <family val="3"/>
      </rPr>
      <t>100</t>
    </r>
    <r>
      <rPr>
        <sz val="10"/>
        <color rgb="FF808080"/>
        <rFont val="Courier New"/>
        <family val="3"/>
      </rPr>
      <t>),</t>
    </r>
  </si>
  <si>
    <r>
      <t>INSERT</t>
    </r>
    <r>
      <rPr>
        <sz val="10"/>
        <color theme="1"/>
        <rFont val="Courier New"/>
        <family val="3"/>
      </rPr>
      <t xml:space="preserve"> </t>
    </r>
    <r>
      <rPr>
        <sz val="10"/>
        <color rgb="FF0000FF"/>
        <rFont val="Courier New"/>
        <family val="3"/>
      </rPr>
      <t>INTO</t>
    </r>
    <r>
      <rPr>
        <sz val="10"/>
        <color theme="1"/>
        <rFont val="Courier New"/>
        <family val="3"/>
      </rPr>
      <t xml:space="preserve"> #NATIONAL_TARIFF_AKI </t>
    </r>
  </si>
  <si>
    <r>
      <t>SELECT</t>
    </r>
    <r>
      <rPr>
        <sz val="10"/>
        <color theme="1"/>
        <rFont val="Courier New"/>
        <family val="3"/>
      </rPr>
      <t xml:space="preserve"> nt</t>
    </r>
    <r>
      <rPr>
        <sz val="10"/>
        <color rgb="FF808080"/>
        <rFont val="Courier New"/>
        <family val="3"/>
      </rPr>
      <t>.</t>
    </r>
    <r>
      <rPr>
        <sz val="10"/>
        <color theme="1"/>
        <rFont val="Courier New"/>
        <family val="3"/>
      </rPr>
      <t>[DEPARTMENT]</t>
    </r>
    <r>
      <rPr>
        <sz val="10"/>
        <color rgb="FF808080"/>
        <rFont val="Courier New"/>
        <family val="3"/>
      </rPr>
      <t>,</t>
    </r>
    <r>
      <rPr>
        <sz val="10"/>
        <color theme="1"/>
        <rFont val="Courier New"/>
        <family val="3"/>
      </rPr>
      <t xml:space="preserve"> nt</t>
    </r>
    <r>
      <rPr>
        <sz val="10"/>
        <color rgb="FF808080"/>
        <rFont val="Courier New"/>
        <family val="3"/>
      </rPr>
      <t>.</t>
    </r>
    <r>
      <rPr>
        <sz val="10"/>
        <color theme="1"/>
        <rFont val="Courier New"/>
        <family val="3"/>
      </rPr>
      <t>[CURRENCY]</t>
    </r>
    <r>
      <rPr>
        <sz val="10"/>
        <color rgb="FF808080"/>
        <rFont val="Courier New"/>
        <family val="3"/>
      </rPr>
      <t>,</t>
    </r>
    <r>
      <rPr>
        <sz val="10"/>
        <color theme="1"/>
        <rFont val="Courier New"/>
        <family val="3"/>
      </rPr>
      <t xml:space="preserve"> nt</t>
    </r>
    <r>
      <rPr>
        <sz val="10"/>
        <color rgb="FF808080"/>
        <rFont val="Courier New"/>
        <family val="3"/>
      </rPr>
      <t>.</t>
    </r>
    <r>
      <rPr>
        <sz val="10"/>
        <color theme="1"/>
        <rFont val="Courier New"/>
        <family val="3"/>
      </rPr>
      <t>[TOTAL_ACTIVITY]</t>
    </r>
    <r>
      <rPr>
        <sz val="10"/>
        <color rgb="FF808080"/>
        <rFont val="Courier New"/>
        <family val="3"/>
      </rPr>
      <t>,</t>
    </r>
    <r>
      <rPr>
        <sz val="10"/>
        <color theme="1"/>
        <rFont val="Courier New"/>
        <family val="3"/>
      </rPr>
      <t xml:space="preserve"> nt</t>
    </r>
    <r>
      <rPr>
        <sz val="10"/>
        <color rgb="FF808080"/>
        <rFont val="Courier New"/>
        <family val="3"/>
      </rPr>
      <t>.</t>
    </r>
    <r>
      <rPr>
        <sz val="10"/>
        <color theme="1"/>
        <rFont val="Courier New"/>
        <family val="3"/>
      </rPr>
      <t>[TOTAL_COST]</t>
    </r>
    <r>
      <rPr>
        <sz val="10"/>
        <color rgb="FF808080"/>
        <rFont val="Courier New"/>
        <family val="3"/>
      </rPr>
      <t>,</t>
    </r>
  </si>
  <si>
    <r>
      <t>nt</t>
    </r>
    <r>
      <rPr>
        <sz val="10"/>
        <color rgb="FF808080"/>
        <rFont val="Courier New"/>
        <family val="3"/>
      </rPr>
      <t>.</t>
    </r>
    <r>
      <rPr>
        <sz val="10"/>
        <color theme="1"/>
        <rFont val="Courier New"/>
        <family val="3"/>
      </rPr>
      <t xml:space="preserve">[HRG UC (Target MFF)] </t>
    </r>
    <r>
      <rPr>
        <sz val="10"/>
        <color rgb="FF0000FF"/>
        <rFont val="Courier New"/>
        <family val="3"/>
      </rPr>
      <t>as</t>
    </r>
    <r>
      <rPr>
        <sz val="10"/>
        <color theme="1"/>
        <rFont val="Courier New"/>
        <family val="3"/>
      </rPr>
      <t xml:space="preserve"> [HRG UC]</t>
    </r>
    <r>
      <rPr>
        <sz val="10"/>
        <color rgb="FF808080"/>
        <rFont val="Courier New"/>
        <family val="3"/>
      </rPr>
      <t>,</t>
    </r>
  </si>
  <si>
    <r>
      <t xml:space="preserve">[HRG UC (Target MFF)] </t>
    </r>
    <r>
      <rPr>
        <sz val="10"/>
        <color rgb="FF808080"/>
        <rFont val="Courier New"/>
        <family val="3"/>
      </rPr>
      <t>*</t>
    </r>
    <r>
      <rPr>
        <sz val="10"/>
        <color theme="1"/>
        <rFont val="Courier New"/>
        <family val="3"/>
      </rPr>
      <t xml:space="preserve"> [MFF RESCALE] </t>
    </r>
    <r>
      <rPr>
        <sz val="10"/>
        <color rgb="FF0000FF"/>
        <rFont val="Courier New"/>
        <family val="3"/>
      </rPr>
      <t>as</t>
    </r>
    <r>
      <rPr>
        <sz val="10"/>
        <color theme="1"/>
        <rFont val="Courier New"/>
        <family val="3"/>
      </rPr>
      <t xml:space="preserve"> [TARIFF]</t>
    </r>
  </si>
  <si>
    <r>
      <t>ORDER</t>
    </r>
    <r>
      <rPr>
        <sz val="10"/>
        <color theme="1"/>
        <rFont val="Courier New"/>
        <family val="3"/>
      </rPr>
      <t xml:space="preserve"> </t>
    </r>
    <r>
      <rPr>
        <sz val="10"/>
        <color rgb="FF0000FF"/>
        <rFont val="Courier New"/>
        <family val="3"/>
      </rPr>
      <t>BY</t>
    </r>
    <r>
      <rPr>
        <sz val="10"/>
        <color theme="1"/>
        <rFont val="Courier New"/>
        <family val="3"/>
      </rPr>
      <t xml:space="preserve"> [DEPARTMENT]</t>
    </r>
    <r>
      <rPr>
        <sz val="10"/>
        <color rgb="FF808080"/>
        <rFont val="Courier New"/>
        <family val="3"/>
      </rPr>
      <t>,</t>
    </r>
    <r>
      <rPr>
        <sz val="10"/>
        <color theme="1"/>
        <rFont val="Courier New"/>
        <family val="3"/>
      </rPr>
      <t xml:space="preserve"> [CURRENCY]</t>
    </r>
  </si>
  <si>
    <r>
      <t>SELECT</t>
    </r>
    <r>
      <rPr>
        <sz val="10"/>
        <color theme="1"/>
        <rFont val="Courier New"/>
        <family val="3"/>
      </rPr>
      <t xml:space="preserve"> </t>
    </r>
    <r>
      <rPr>
        <sz val="10"/>
        <color rgb="FF808080"/>
        <rFont val="Courier New"/>
        <family val="3"/>
      </rPr>
      <t>*</t>
    </r>
    <r>
      <rPr>
        <sz val="10"/>
        <color theme="1"/>
        <rFont val="Courier New"/>
        <family val="3"/>
      </rPr>
      <t xml:space="preserve"> </t>
    </r>
    <r>
      <rPr>
        <sz val="10"/>
        <color rgb="FF0000FF"/>
        <rFont val="Courier New"/>
        <family val="3"/>
      </rPr>
      <t>FROM</t>
    </r>
    <r>
      <rPr>
        <sz val="10"/>
        <color theme="1"/>
        <rFont val="Courier New"/>
        <family val="3"/>
      </rPr>
      <t xml:space="preserve"> #NATIONAL_TARIFF_AKI </t>
    </r>
    <r>
      <rPr>
        <sz val="10"/>
        <color rgb="FF0000FF"/>
        <rFont val="Courier New"/>
        <family val="3"/>
      </rPr>
      <t>ORDER</t>
    </r>
    <r>
      <rPr>
        <sz val="10"/>
        <color theme="1"/>
        <rFont val="Courier New"/>
        <family val="3"/>
      </rPr>
      <t xml:space="preserve"> </t>
    </r>
    <r>
      <rPr>
        <sz val="10"/>
        <color rgb="FF0000FF"/>
        <rFont val="Courier New"/>
        <family val="3"/>
      </rPr>
      <t>BY</t>
    </r>
    <r>
      <rPr>
        <sz val="10"/>
        <color theme="1"/>
        <rFont val="Courier New"/>
        <family val="3"/>
      </rPr>
      <t xml:space="preserve"> [CURRENCY]</t>
    </r>
  </si>
  <si>
    <t xml:space="preserve">  FROM [PbR1617_Draft13].input.RefCostNonAcute rcna</t>
  </si>
  <si>
    <t xml:space="preserve">  FROM #Filter_for_Scope INNER JOIN [PbR1617_Draft13].[input].[ProviderTable] p ON #Filter_for_Scope.ORGCode = p.[RC Code]</t>
  </si>
  <si>
    <t>FROM      #MFF_RESCALE, [PbR1617_Draft13].[input].[Uplift], #NATIONAL_DATA_CLEAN nt</t>
  </si>
  <si>
    <t>"Radio_&amp;_Chemo_SQL" Tab, First Run - Draft 13</t>
  </si>
  <si>
    <t>FROM [PbR1617_Draft13].input.RefCostNonAcute rcna</t>
  </si>
  <si>
    <t>FROM #Filter_for_Scope INNER JOIN [PbR1617_Draft13].[input].[ProviderTable] p ON #Filter_for_Scope.ORGCode = p.[RC Code]</t>
  </si>
  <si>
    <t>FROM #MFF_RESCALE, [PbR1617_Draft13].[input].[Uplift], #NATIONAL_DATA_CLEAN nt</t>
  </si>
  <si>
    <t>"DI_SQL" Tab,  First Run - Draft 13</t>
  </si>
  <si>
    <t xml:space="preserve">  FROM #Filter_for_Scope INNER JOIN [PbR1617_Draft13].[input].[ProviderTable] p ON </t>
  </si>
  <si>
    <t>"AKI_SQL" Tab,  First Run - Draft 13</t>
  </si>
  <si>
    <t>Model Scaling</t>
  </si>
  <si>
    <t>Model scaling factor</t>
  </si>
  <si>
    <t>Cost of Reporting Price Decision</t>
  </si>
  <si>
    <t>Unbundled Services</t>
  </si>
  <si>
    <t>NHS England comments</t>
  </si>
  <si>
    <t>Summary of comments made by Experts (including NHSE comments)</t>
  </si>
  <si>
    <t>Monitor / NHSE assessment of comments made</t>
  </si>
  <si>
    <t>Precise implementation instructions for manual adjustments (if applicable)</t>
  </si>
  <si>
    <t>RA01C Children (0-5) is less expensive than adult (RA01A) or older children (RA01B).  Is this appropriate?</t>
  </si>
  <si>
    <t>RA02B Children (6-18) are less expensive than RA02A adults - is this appropriate?</t>
  </si>
  <si>
    <t>RA05Z is nearly the same price for a scan with contrast compared to a scan without (RA04Z).  Is this appropriate?</t>
  </si>
  <si>
    <t>Children's (RA08C) is less expensive than Adult (RA08A) or Children 6-18 (RA08B) .  Is this appropriate?</t>
  </si>
  <si>
    <t>Children (6-18) are less than Adults. Is this appropriate?</t>
  </si>
  <si>
    <t>Adjusted Activity (for QR2)</t>
  </si>
  <si>
    <t>Please note that for 2015/16 ETO, LE01A was a Non-Mandatory Tariff and LE02A was out of scope</t>
  </si>
  <si>
    <t>Input_DI_activity_mapping</t>
  </si>
  <si>
    <t>Manual adjustment requests</t>
  </si>
  <si>
    <t>DI Cost of reporting</t>
  </si>
  <si>
    <t>This worksheet displays the EWG changes to tariffs agreed by Monitor.</t>
  </si>
  <si>
    <t>2016-17 Proposed tariff - unbundled services</t>
  </si>
  <si>
    <t>Total Cost (£)</t>
  </si>
  <si>
    <t>Modelled Tariff with QR1 (£)</t>
  </si>
  <si>
    <t>Modelled Tariff (£)</t>
  </si>
  <si>
    <t>Revised Quantum (£)</t>
  </si>
  <si>
    <t>Neutral Quantum (£)</t>
  </si>
  <si>
    <t>Unit cost used in calculations (£)</t>
  </si>
  <si>
    <t>Unit Cost (£)</t>
  </si>
  <si>
    <t>Mapped Cost of Reporting from 2015/16 (£)</t>
  </si>
  <si>
    <t>Average
 Unit Cost (£)</t>
  </si>
  <si>
    <t>Price (weighted) (£)</t>
  </si>
  <si>
    <t>RC 1314 Total Cost mapped to RA69Z (£)</t>
  </si>
  <si>
    <t>RA69Z Unit Cost (£)</t>
  </si>
  <si>
    <t>RC 1314 Total Cost (£)</t>
  </si>
  <si>
    <t>RC 1314 HRG Unit Cost (£)</t>
  </si>
  <si>
    <t>Amended RC 1314 Total Cost mapped (£)</t>
  </si>
  <si>
    <t>RC 1314 mapped HRG Unit Cost (£)</t>
  </si>
  <si>
    <r>
      <t xml:space="preserve"> </t>
    </r>
    <r>
      <rPr>
        <sz val="10"/>
        <color rgb="FF008000"/>
        <rFont val="Courier New"/>
        <family val="3"/>
      </rPr>
      <t>-- Recreate National Average</t>
    </r>
  </si>
  <si>
    <t>Final (neutral) Prices (£)</t>
  </si>
  <si>
    <t>Zero price applies</t>
  </si>
  <si>
    <t>Zero price adjustments</t>
  </si>
  <si>
    <t>Quantum re-scaling following zero price adjustments</t>
  </si>
  <si>
    <t>2016/17 Tariff (£)</t>
  </si>
  <si>
    <t>Adjusted Price (£)</t>
  </si>
  <si>
    <t>Chosen Price (£)</t>
  </si>
  <si>
    <t>Chosen Price with QR2 (£)</t>
  </si>
  <si>
    <t>Final Tariff (£)</t>
  </si>
  <si>
    <t>2016/17 Tariff (including cost of reporting) (£)</t>
  </si>
  <si>
    <t>2016/17 Cost of reporting (£)</t>
  </si>
  <si>
    <t>Cost of Reporting Adjusted Price (£)</t>
  </si>
  <si>
    <t>Cost of Reporting Chosen Price (£)</t>
  </si>
  <si>
    <t>Final Cost of Reporting (£)</t>
  </si>
  <si>
    <t>DI Activity Mapping Calc</t>
  </si>
  <si>
    <t>Radio and Chemo therapy SQL Output for subsequent model runs</t>
  </si>
  <si>
    <t>Adjusted Cost Quantum (£)</t>
  </si>
  <si>
    <t xml:space="preserve"> Quantum (£) re-normalised to account for zero price adjustments</t>
  </si>
  <si>
    <t>Cost Quantum (£) 1516 ETO prices and RC1314 activity</t>
  </si>
  <si>
    <t>Cost Quantum (£) after QR2 (excludes LE02A and RA69Z)</t>
  </si>
  <si>
    <t>Cost Quantum (£) before manual adjustments</t>
  </si>
  <si>
    <t>Cost Quantum (£) after manual adjustments</t>
  </si>
  <si>
    <t>Unit cost (£)</t>
  </si>
  <si>
    <t>% change from RC 1314 Activity</t>
  </si>
  <si>
    <t>% change from RC 1314 Total Cost</t>
  </si>
  <si>
    <t>% change from RC 1314 HRG Unit Cost</t>
  </si>
  <si>
    <t>Weighted Total Activity</t>
  </si>
  <si>
    <t>This worksheet has the TED prices for unbundled services</t>
  </si>
  <si>
    <t>Gov.uk website: 
https://www.gov.uk/government/uploads/system/uploads/attachment_data/file/379578/Annex_5a.xlsx</t>
  </si>
  <si>
    <t>Published prices on the [04. Unbundled Services] and Acute Kidney Dialysis section of the [08. Non-mandatory prices] sheets in the 2015/16 s.118 consultation, Annex 5 spreadsheet.</t>
  </si>
  <si>
    <t>This worksheet shows the Diagnostic Imaging Activity Mapping SQL code.</t>
  </si>
  <si>
    <t>A variety of factors to adjust the prices, includes: inflation, efficiency, CNST and quantum adjustments.</t>
  </si>
  <si>
    <t>2015/16 s118 Tariff (including cost of reporting) (£)</t>
  </si>
  <si>
    <t>2015/16 s118 Cost of reporting (£)</t>
  </si>
  <si>
    <t>2015/16 s118 Tariff (£)</t>
  </si>
  <si>
    <t xml:space="preserve">Note: </t>
  </si>
  <si>
    <t>The 16/17 currency design for Nuclear Medicine (RA35Z - RA40Z ) is currently under review</t>
  </si>
  <si>
    <t>We use a chain linking the post adjustments for joining the efficiency and inflation adjustment together from 2015/16 onwards (this is a slight methodological change from the 13/14 DH method).</t>
  </si>
  <si>
    <t>This worksheet shows the Radiotherapy and Chemotherapy SQL code.</t>
  </si>
  <si>
    <t>Radiotherapy SQL Code. Multiple HRG Specific model runs utilizing different assumptions are executed by amending the 'WHERE' clause in 'Step 2' of the code.</t>
  </si>
  <si>
    <t>All Radiotherapy</t>
  </si>
  <si>
    <t xml:space="preserve">Clinical expert advise that there is greater resource required for RA01B than RA01A, therefore price should be 5% higher than RA01A, as CC increase as age decreases.  </t>
  </si>
  <si>
    <t>Adjust as suggested.</t>
  </si>
  <si>
    <t>Should be 5% higher than RA01A</t>
  </si>
  <si>
    <t xml:space="preserve">Clinical expert advise that there is greater resource required for RA01C than RA01A, therefore prices should be 15% higher than RA01A, as CC increase as age decreases.  </t>
  </si>
  <si>
    <t>Should be 15% higher than RA01A</t>
  </si>
  <si>
    <t>Clinical expert advise that there is greater resource required for RA02A than RA01A, therefore prices should be 20% + £27 higher than RA01A.</t>
  </si>
  <si>
    <t>Adjust as suggested, but this needs to be on the preliminary prices and numbers may change in final tariff.</t>
  </si>
  <si>
    <t>(20 + 100x27/(RC derived price))% higher than RA01A</t>
  </si>
  <si>
    <t>Clinical expert advise that there is greater resource required for RA02B than RA01B, therefore price should be 20% + £27 higher than RA01B.</t>
  </si>
  <si>
    <t>(20 + 100x27/(RC derived price))% higher than RA01B</t>
  </si>
  <si>
    <t>(20 + 100x27/(RC derived price))% higher than RA01C</t>
  </si>
  <si>
    <t>Should be equal to RA02A</t>
  </si>
  <si>
    <t>Clinical expert advise that there is greater resource required for RA04Z than RA01A, therefore price should be 20% higher than RA01A.</t>
  </si>
  <si>
    <t>Should be 20% higher than RA01A</t>
  </si>
  <si>
    <t>Clinical expert advise that there is greater resource required for RA05Z than RA01A, therefore price should be 20% + £27 higher than RA01A.</t>
  </si>
  <si>
    <t>Clinical expert advise that there is greater resource required for RA05Z than RA01A, therefore price should be 40% + £27 higher than RA01A.</t>
  </si>
  <si>
    <t>(40 + 100x27/(RC derived price))% higher than RA01A</t>
  </si>
  <si>
    <t>Clinical expert advise the price should not be below £230.</t>
  </si>
  <si>
    <t>Set at £230.</t>
  </si>
  <si>
    <t>Clinical expert advice the price is OK. Monitor to adjust to take into account activity that maps to RA69Z.</t>
  </si>
  <si>
    <t>Clinical expert advise that there is greater resource required for RA08B than RA08A, therefore price should be 5% higher than RA08A, as CC increase as age decreases.</t>
  </si>
  <si>
    <t>Should be 5% higher than RA08A</t>
  </si>
  <si>
    <t>Clinical expert advise that there is greater resource required for RA08C than RA08A, therefore price should be 15% higher than RA08A, as CC increase as age decreases.</t>
  </si>
  <si>
    <t>Should be 15% higher than RA08A</t>
  </si>
  <si>
    <t>Clinical expert advise that there is greater resource required for RA09A than RA08A, therefore price should be £15 higher than RA08A.</t>
  </si>
  <si>
    <t>(100x15/(RC derived price))% higher than RA08A.    Check formula prior to S118</t>
  </si>
  <si>
    <t>Clinical expert advise that there is greater resource required for RA09B than RA08A, therefore price should be 5% + £15 higher than RA08A.</t>
  </si>
  <si>
    <t>(5 + 100x15/(RC derived price))% higher than RA08A</t>
  </si>
  <si>
    <t>Clinical expert advise that there is greater resource required for RA09C than RA08A, therefore price should be 15% + £15 higher than RA08A.</t>
  </si>
  <si>
    <t>(15 + 100x15/(RC derived price))% higher than RA08A</t>
  </si>
  <si>
    <t>Clinical expert advise that there is greater resource required for RA10Z than RA08A, therefore price should be 20% + £15 higher than RA08A.</t>
  </si>
  <si>
    <t>(20 + 100x15/(RC derived price))% higher than RA08A</t>
  </si>
  <si>
    <t>Clinical expert advise that there is greater resource required for RA11Z than RA08A, therefore price should be 10% higher than RA08A.</t>
  </si>
  <si>
    <t>Should be 10% higher than RA08A</t>
  </si>
  <si>
    <t>Clinical expert advise that there is greater resource required for RA12Z than RA08A, therefore price should be 10% + £15 higher than RA08A.</t>
  </si>
  <si>
    <t>(10 + 100x15/(RC derived price))% higher than RA08A</t>
  </si>
  <si>
    <t>Clinical expert advise that there is greater resource required for RA12Z than RA08A, therefore price should be 20% + £15 higher than RA08A.</t>
  </si>
  <si>
    <t>Clinical expert advise that there is greater resource required for RA12Z than RA08A, therefore price should be 30% + £15 higher than RA08A.</t>
  </si>
  <si>
    <t>(30 + 100x15/(RC derived price))% higher than RA08A</t>
  </si>
  <si>
    <t>Clinical expert advise that there is greater resource required for RA12Z than RA08A, therefore price should be 20% higher than RA08A.</t>
  </si>
  <si>
    <t>Should be 20% higher than RA08A.  Check prior to S118</t>
  </si>
  <si>
    <t>Clinical expert advise the cost of reporting should be the maximum CT reporting price.  Map all costs and activity from RA68Z</t>
  </si>
  <si>
    <t>Unclear suggestion.  Should this be set at  RA68Z values?</t>
  </si>
  <si>
    <t>Clarification prior to S118</t>
  </si>
  <si>
    <t>Clinical expert advise the cost of reporting should be £10, and the Dexa scan should be £60 (same as 15/16).</t>
  </si>
  <si>
    <t>Reduce HRG price by 5%, reduce cost of reporting by 9%</t>
  </si>
  <si>
    <t>Clinical expert advise that there is greater resource required for RA17Z than RA16Z, therefore price should be 50% higher than RA16Z.</t>
  </si>
  <si>
    <t>Should be 50% higher than RA16Z</t>
  </si>
  <si>
    <t>Clinical expert advise that there is greater resource required for RA18Z than RA17Z, therefore price should be 35% higher than RA17Z.</t>
  </si>
  <si>
    <t>Should be 35% higher than RA17Z</t>
  </si>
  <si>
    <t>Clinical expert noted price irregularity, perhaps due to underlying reference costs. Monitor will further investigate.</t>
  </si>
  <si>
    <t>For further investigation in future tariff iterations</t>
  </si>
  <si>
    <t>Clinical expert noted price irregularity, perhaps due to underlying reference costs.</t>
  </si>
  <si>
    <t>Clinical experts suggested that greater granularity is required in nuclear medicine HRGs and perhaps to use the newer categories that are being proposed</t>
  </si>
  <si>
    <t>For further investigation in future tariff iterations. This is out of scope for the current EWG manual adjustment process.</t>
  </si>
  <si>
    <t>Clinical expert advise the price relativity between RA60A and RA60B seems to be correct.</t>
  </si>
  <si>
    <t xml:space="preserve">Clinical expert advise the price relativity between RA60A and RA60B seems to be correct. </t>
  </si>
  <si>
    <t>Clinical expert advise that there is greater resource required for RA60C than RA60B, therefore price should be 15% higher than RA60B.</t>
  </si>
  <si>
    <t>Should be 15% higher than RA60B</t>
  </si>
  <si>
    <t>Clinical expert advise the cost of reporting for RA65Z should be same as RA05Z.</t>
  </si>
  <si>
    <t/>
  </si>
  <si>
    <t>Clinical expert advise that there is greater resource required for RA66C than RA65Z, therefore price should be 30% higher than RA65Z.</t>
  </si>
  <si>
    <t>Should be 30% higher than RA65Z</t>
  </si>
  <si>
    <t>Monitor have applied the adjustment instruction to the unadjusted price. To be resolved in post TED/pres118 engagement.</t>
  </si>
  <si>
    <t>Should be 10% higher than RA66Z</t>
  </si>
  <si>
    <t xml:space="preserve">2016-17 National Tariff Proposals: Calculation model Unbundled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</si>
</sst>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0_ ;\-#,##0\ "/>
    <numFmt numFmtId="165" formatCode="#,##0.0_ ;\-#,##0.0\ "/>
    <numFmt numFmtId="166" formatCode="_-* #,##0_-;\-* #,##0_-;_-* &quot;-&quot;??_-;_-@_-"/>
    <numFmt numFmtId="167" formatCode="_-&quot;£&quot;* #,##0_-;\-&quot;£&quot;* #,##0_-;_-&quot;£&quot;* &quot;-&quot;??_-;_-@_-"/>
    <numFmt numFmtId="168" formatCode="0.0%"/>
    <numFmt numFmtId="169" formatCode="0.000"/>
    <numFmt numFmtId="170" formatCode="_(* #,##0.00_);_(* \(#,##0.00\);_(* &quot;-&quot;??_);_(@_)"/>
    <numFmt numFmtId="171" formatCode="_(&quot;$&quot;* #,##0.00_);_(&quot;$&quot;* \(#,##0.00\);_(&quot;$&quot;* &quot;-&quot;??_);_(@_)"/>
    <numFmt numFmtId="172" formatCode="#,##0.000000000_ ;\-#,##0.000000000\ ;&quot;-&quot;"/>
    <numFmt numFmtId="173" formatCode="#,##0_ ;\-#,##0;\-"/>
    <numFmt numFmtId="174" formatCode="_-* #,##0.00000000000_-;\-* #,##0.00000000000_-;_-* &quot;-&quot;??_-;_-@_-"/>
    <numFmt numFmtId="175" formatCode="0.00%_);[Red]\-0.00%_);&quot;-&quot;;[Blue]&quot;Error-&quot;@"/>
    <numFmt numFmtId="176" formatCode="0%;\-0%;"/>
  </numFmts>
  <fonts count="82" x14ac:knownFonts="1">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i/>
      <sz val="11"/>
      <color theme="1"/>
      <name val="Calibri"/>
      <family val="2"/>
      <scheme val="minor"/>
    </font>
    <font>
      <sz val="10"/>
      <color rgb="FF008000"/>
      <name val="Courier New"/>
      <family val="3"/>
    </font>
    <font>
      <sz val="8"/>
      <name val="Arial"/>
      <family val="2"/>
    </font>
    <font>
      <b/>
      <sz val="8"/>
      <name val="Arial"/>
      <family val="2"/>
    </font>
    <font>
      <u/>
      <sz val="10"/>
      <color indexed="12"/>
      <name val="Arial"/>
      <family val="2"/>
    </font>
    <font>
      <u/>
      <sz val="8"/>
      <color indexed="12"/>
      <name val="Arial"/>
      <family val="2"/>
    </font>
    <font>
      <b/>
      <u/>
      <sz val="10"/>
      <name val="Arial"/>
      <family val="2"/>
    </font>
    <font>
      <b/>
      <u/>
      <sz val="8"/>
      <color indexed="12"/>
      <name val="Arial"/>
      <family val="2"/>
    </font>
    <font>
      <sz val="11"/>
      <color theme="0"/>
      <name val="Calibri"/>
      <family val="2"/>
      <scheme val="minor"/>
    </font>
    <font>
      <sz val="10"/>
      <color theme="1"/>
      <name val="Courier New"/>
      <family val="3"/>
    </font>
    <font>
      <sz val="10"/>
      <color rgb="FF0000FF"/>
      <name val="Courier New"/>
      <family val="3"/>
    </font>
    <font>
      <sz val="10"/>
      <color rgb="FF808080"/>
      <name val="Courier New"/>
      <family val="3"/>
    </font>
    <font>
      <sz val="10"/>
      <color rgb="FFFF0000"/>
      <name val="Courier New"/>
      <family val="3"/>
    </font>
    <font>
      <sz val="10"/>
      <color rgb="FFFF00FF"/>
      <name val="Courier New"/>
      <family val="3"/>
    </font>
    <font>
      <i/>
      <u/>
      <sz val="10"/>
      <color indexed="12"/>
      <name val="Arial"/>
      <family val="2"/>
    </font>
    <font>
      <i/>
      <sz val="11"/>
      <color rgb="FF002060"/>
      <name val="Calibri"/>
      <family val="2"/>
      <scheme val="minor"/>
    </font>
    <font>
      <b/>
      <sz val="11"/>
      <color rgb="FF002060"/>
      <name val="Calibri"/>
      <family val="2"/>
      <scheme val="minor"/>
    </font>
    <font>
      <b/>
      <i/>
      <u/>
      <sz val="11"/>
      <color theme="1"/>
      <name val="Calibri"/>
      <family val="2"/>
      <scheme val="minor"/>
    </font>
    <font>
      <sz val="8"/>
      <color theme="1"/>
      <name val="Calibri"/>
      <family val="2"/>
      <scheme val="minor"/>
    </font>
    <font>
      <b/>
      <sz val="8"/>
      <color theme="1"/>
      <name val="Calibri"/>
      <family val="2"/>
      <scheme val="minor"/>
    </font>
    <font>
      <sz val="8"/>
      <name val="Calibri"/>
      <family val="2"/>
      <scheme val="minor"/>
    </font>
    <font>
      <b/>
      <sz val="8"/>
      <name val="Calibri"/>
      <family val="2"/>
      <scheme val="minor"/>
    </font>
    <font>
      <b/>
      <sz val="14"/>
      <color theme="0"/>
      <name val="Calibri"/>
      <family val="2"/>
      <scheme val="minor"/>
    </font>
    <font>
      <b/>
      <sz val="9"/>
      <color theme="0"/>
      <name val="Calibri"/>
      <family val="2"/>
      <scheme val="minor"/>
    </font>
    <font>
      <sz val="20"/>
      <color theme="0"/>
      <name val="Calibri"/>
      <family val="2"/>
      <scheme val="minor"/>
    </font>
    <font>
      <i/>
      <sz val="8"/>
      <color theme="3"/>
      <name val="Calibri"/>
      <family val="2"/>
      <scheme val="minor"/>
    </font>
    <font>
      <b/>
      <sz val="8"/>
      <color theme="0"/>
      <name val="Calibri"/>
      <family val="2"/>
      <scheme val="minor"/>
    </font>
    <font>
      <i/>
      <u/>
      <sz val="8"/>
      <color theme="3"/>
      <name val="Arial"/>
      <family val="2"/>
    </font>
    <font>
      <sz val="8"/>
      <color theme="0"/>
      <name val="Arial"/>
      <family val="2"/>
    </font>
    <font>
      <b/>
      <i/>
      <sz val="8"/>
      <color theme="1"/>
      <name val="Calibri"/>
      <family val="2"/>
      <scheme val="minor"/>
    </font>
    <font>
      <sz val="9"/>
      <name val="Calibri"/>
      <family val="2"/>
      <scheme val="minor"/>
    </font>
    <font>
      <sz val="9"/>
      <color theme="1"/>
      <name val="Calibri"/>
      <family val="2"/>
      <scheme val="minor"/>
    </font>
    <font>
      <i/>
      <sz val="20"/>
      <color rgb="FF002060"/>
      <name val="Calibri"/>
      <family val="2"/>
      <scheme val="minor"/>
    </font>
    <font>
      <b/>
      <i/>
      <sz val="10"/>
      <color theme="1"/>
      <name val="Calibri"/>
      <family val="2"/>
      <scheme val="minor"/>
    </font>
    <font>
      <sz val="10"/>
      <color theme="1"/>
      <name val="Calibri"/>
      <family val="2"/>
      <scheme val="minor"/>
    </font>
    <font>
      <b/>
      <sz val="10"/>
      <color theme="0"/>
      <name val="Calibri"/>
      <family val="2"/>
      <scheme val="minor"/>
    </font>
    <font>
      <b/>
      <i/>
      <sz val="10"/>
      <color theme="0"/>
      <name val="Calibri"/>
      <family val="2"/>
      <scheme val="minor"/>
    </font>
    <font>
      <b/>
      <sz val="8"/>
      <color rgb="FF002060"/>
      <name val="Calibri"/>
      <family val="2"/>
      <scheme val="minor"/>
    </font>
    <font>
      <b/>
      <i/>
      <sz val="11"/>
      <color rgb="FF002060"/>
      <name val="Calibri"/>
      <family val="2"/>
      <scheme val="minor"/>
    </font>
    <font>
      <sz val="8"/>
      <color rgb="FF002060"/>
      <name val="Calibri"/>
      <family val="2"/>
      <scheme val="minor"/>
    </font>
    <font>
      <b/>
      <sz val="12"/>
      <color rgb="FF7030A0"/>
      <name val="Arial"/>
      <family val="2"/>
    </font>
    <font>
      <b/>
      <sz val="10"/>
      <name val="Arial"/>
      <family val="2"/>
    </font>
    <font>
      <i/>
      <sz val="14"/>
      <color rgb="FF002060"/>
      <name val="Calibri"/>
      <family val="2"/>
      <scheme val="minor"/>
    </font>
    <font>
      <sz val="16"/>
      <color theme="3"/>
      <name val="Calibri"/>
      <family val="2"/>
      <scheme val="minor"/>
    </font>
    <font>
      <i/>
      <sz val="10"/>
      <color theme="1"/>
      <name val="Calibri"/>
      <family val="2"/>
      <scheme val="minor"/>
    </font>
    <font>
      <b/>
      <sz val="10"/>
      <name val="Calibri"/>
      <family val="2"/>
      <scheme val="minor"/>
    </font>
    <font>
      <sz val="10"/>
      <name val="Calibri"/>
      <family val="2"/>
      <scheme val="minor"/>
    </font>
    <font>
      <sz val="11"/>
      <color theme="1"/>
      <name val="Calibri"/>
      <family val="2"/>
      <scheme val="minor"/>
    </font>
    <font>
      <b/>
      <sz val="10"/>
      <color theme="1"/>
      <name val="Calibri"/>
      <family val="2"/>
      <scheme val="minor"/>
    </font>
    <font>
      <sz val="11"/>
      <name val="Calibri"/>
      <family val="2"/>
      <scheme val="minor"/>
    </font>
    <font>
      <u/>
      <sz val="11"/>
      <color theme="10"/>
      <name val="Calibri"/>
      <family val="2"/>
      <scheme val="minor"/>
    </font>
    <font>
      <u/>
      <sz val="8"/>
      <color theme="10"/>
      <name val="Arial"/>
      <family val="2"/>
    </font>
    <font>
      <u/>
      <sz val="10"/>
      <color theme="1"/>
      <name val="Calibri"/>
      <family val="2"/>
      <scheme val="minor"/>
    </font>
    <font>
      <sz val="14"/>
      <color theme="3"/>
      <name val="Calibri"/>
      <family val="2"/>
      <scheme val="minor"/>
    </font>
    <font>
      <i/>
      <sz val="11"/>
      <name val="Calibri"/>
      <family val="2"/>
      <scheme val="minor"/>
    </font>
    <font>
      <b/>
      <i/>
      <u/>
      <sz val="11"/>
      <name val="Calibri"/>
      <family val="2"/>
      <scheme val="minor"/>
    </font>
    <font>
      <sz val="10"/>
      <name val="Arial"/>
      <family val="2"/>
    </font>
    <font>
      <u/>
      <sz val="10"/>
      <color indexed="12"/>
      <name val="MS Sans Serif"/>
      <family val="2"/>
    </font>
    <font>
      <sz val="8"/>
      <color indexed="8"/>
      <name val="Arial"/>
      <family val="2"/>
    </font>
    <font>
      <u/>
      <sz val="10"/>
      <color theme="10"/>
      <name val="Arial"/>
      <family val="2"/>
    </font>
    <font>
      <i/>
      <sz val="8"/>
      <color theme="1"/>
      <name val="Calibri"/>
      <family val="2"/>
      <scheme val="minor"/>
    </font>
    <font>
      <b/>
      <sz val="12"/>
      <name val="Calibri"/>
      <family val="2"/>
      <scheme val="minor"/>
    </font>
    <font>
      <i/>
      <sz val="8"/>
      <name val="Calibri"/>
      <family val="2"/>
      <scheme val="minor"/>
    </font>
    <font>
      <sz val="6"/>
      <color theme="0" tint="-0.34998626667073579"/>
      <name val="Calibri"/>
      <family val="2"/>
      <scheme val="minor"/>
    </font>
    <font>
      <sz val="6"/>
      <color theme="0" tint="-0.34998626667073579"/>
      <name val="Arial"/>
      <family val="2"/>
    </font>
    <font>
      <b/>
      <sz val="10"/>
      <color rgb="FF3F3F3F"/>
      <name val="Arial"/>
      <family val="2"/>
    </font>
    <font>
      <sz val="8"/>
      <color theme="1"/>
      <name val="Arial"/>
      <family val="2"/>
    </font>
    <font>
      <b/>
      <sz val="8"/>
      <color rgb="FF7030A0"/>
      <name val="Arial"/>
      <family val="2"/>
    </font>
    <font>
      <b/>
      <sz val="8"/>
      <color theme="1"/>
      <name val="Arial"/>
      <family val="2"/>
    </font>
    <font>
      <b/>
      <sz val="9"/>
      <color theme="1"/>
      <name val="Arial"/>
      <family val="2"/>
    </font>
    <font>
      <b/>
      <i/>
      <sz val="9"/>
      <color rgb="FF002060"/>
      <name val="Calibri"/>
      <family val="2"/>
      <scheme val="minor"/>
    </font>
    <font>
      <sz val="10"/>
      <color rgb="FF000000"/>
      <name val="Courier New"/>
      <family val="3"/>
    </font>
    <font>
      <sz val="10"/>
      <name val="Courier New"/>
      <family val="3"/>
    </font>
    <font>
      <b/>
      <i/>
      <sz val="10"/>
      <name val="Arial"/>
      <family val="2"/>
    </font>
    <font>
      <b/>
      <sz val="9"/>
      <color theme="1"/>
      <name val="Calibri"/>
      <family val="2"/>
      <scheme val="minor"/>
    </font>
    <font>
      <b/>
      <sz val="14"/>
      <name val="Calibri"/>
      <family val="2"/>
      <scheme val="minor"/>
    </font>
    <font>
      <sz val="11"/>
      <color rgb="FF002060"/>
      <name val="Calibri"/>
      <family val="2"/>
      <scheme val="minor"/>
    </font>
    <font>
      <b/>
      <sz val="9"/>
      <name val="Arial"/>
      <family val="2"/>
    </font>
  </fonts>
  <fills count="2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B050"/>
        <bgColor indexed="64"/>
      </patternFill>
    </fill>
    <fill>
      <patternFill patternType="solid">
        <fgColor indexed="41"/>
        <bgColor indexed="64"/>
      </patternFill>
    </fill>
    <fill>
      <patternFill patternType="solid">
        <fgColor indexed="22"/>
        <bgColor indexed="64"/>
      </patternFill>
    </fill>
    <fill>
      <patternFill patternType="solid">
        <fgColor rgb="FFFFFF00"/>
        <bgColor indexed="64"/>
      </patternFill>
    </fill>
    <fill>
      <patternFill patternType="solid">
        <fgColor rgb="FF0070C0"/>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rgb="FFC00000"/>
        <bgColor indexed="64"/>
      </patternFill>
    </fill>
    <fill>
      <patternFill patternType="solid">
        <fgColor rgb="FF92D050"/>
        <bgColor indexed="64"/>
      </patternFill>
    </fill>
    <fill>
      <patternFill patternType="solid">
        <fgColor indexed="44"/>
        <bgColor indexed="64"/>
      </patternFill>
    </fill>
    <fill>
      <patternFill patternType="solid">
        <fgColor rgb="FFFFC00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2F2F2"/>
      </patternFill>
    </fill>
    <fill>
      <patternFill patternType="solid">
        <fgColor theme="0" tint="-0.249977111117893"/>
        <bgColor indexed="64"/>
      </patternFill>
    </fill>
    <fill>
      <patternFill patternType="solid">
        <fgColor rgb="FFFFFFFF"/>
        <bgColor indexed="64"/>
      </patternFill>
    </fill>
  </fills>
  <borders count="17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style="medium">
        <color indexed="64"/>
      </top>
      <bottom/>
      <diagonal/>
    </border>
    <border>
      <left style="hair">
        <color indexed="64"/>
      </left>
      <right/>
      <top style="hair">
        <color indexed="64"/>
      </top>
      <bottom style="medium">
        <color indexed="64"/>
      </bottom>
      <diagonal/>
    </border>
    <border>
      <left/>
      <right/>
      <top/>
      <bottom style="thin">
        <color indexed="64"/>
      </bottom>
      <diagonal/>
    </border>
    <border>
      <left/>
      <right style="thin">
        <color auto="1"/>
      </right>
      <top/>
      <bottom/>
      <diagonal/>
    </border>
    <border>
      <left/>
      <right style="thin">
        <color auto="1"/>
      </right>
      <top/>
      <bottom style="thin">
        <color auto="1"/>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rgb="FF002060"/>
      </left>
      <right style="thin">
        <color rgb="FF002060"/>
      </right>
      <top style="thin">
        <color rgb="FF002060"/>
      </top>
      <bottom style="thin">
        <color rgb="FF002060"/>
      </bottom>
      <diagonal/>
    </border>
    <border>
      <left style="thin">
        <color auto="1"/>
      </left>
      <right style="thin">
        <color rgb="FF002060"/>
      </right>
      <top style="thin">
        <color auto="1"/>
      </top>
      <bottom style="thin">
        <color rgb="FF002060"/>
      </bottom>
      <diagonal/>
    </border>
    <border>
      <left style="thin">
        <color rgb="FF002060"/>
      </left>
      <right style="thin">
        <color rgb="FF002060"/>
      </right>
      <top style="thin">
        <color auto="1"/>
      </top>
      <bottom style="thin">
        <color rgb="FF002060"/>
      </bottom>
      <diagonal/>
    </border>
    <border>
      <left style="thin">
        <color rgb="FF002060"/>
      </left>
      <right style="thin">
        <color auto="1"/>
      </right>
      <top style="thin">
        <color auto="1"/>
      </top>
      <bottom style="thin">
        <color rgb="FF002060"/>
      </bottom>
      <diagonal/>
    </border>
    <border>
      <left style="thin">
        <color auto="1"/>
      </left>
      <right style="thin">
        <color rgb="FF002060"/>
      </right>
      <top style="thin">
        <color rgb="FF002060"/>
      </top>
      <bottom style="thin">
        <color rgb="FF002060"/>
      </bottom>
      <diagonal/>
    </border>
    <border>
      <left style="thin">
        <color rgb="FF002060"/>
      </left>
      <right style="thin">
        <color auto="1"/>
      </right>
      <top style="thin">
        <color rgb="FF002060"/>
      </top>
      <bottom style="thin">
        <color rgb="FF002060"/>
      </bottom>
      <diagonal/>
    </border>
    <border>
      <left style="thin">
        <color auto="1"/>
      </left>
      <right style="thin">
        <color rgb="FF002060"/>
      </right>
      <top style="thin">
        <color rgb="FF002060"/>
      </top>
      <bottom style="thin">
        <color auto="1"/>
      </bottom>
      <diagonal/>
    </border>
    <border>
      <left style="thin">
        <color rgb="FF002060"/>
      </left>
      <right style="thin">
        <color rgb="FF002060"/>
      </right>
      <top style="thin">
        <color rgb="FF002060"/>
      </top>
      <bottom style="thin">
        <color auto="1"/>
      </bottom>
      <diagonal/>
    </border>
    <border>
      <left style="thin">
        <color rgb="FF002060"/>
      </left>
      <right style="thin">
        <color auto="1"/>
      </right>
      <top style="thin">
        <color rgb="FF002060"/>
      </top>
      <bottom style="thin">
        <color auto="1"/>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auto="1"/>
      </left>
      <right/>
      <top style="medium">
        <color auto="1"/>
      </top>
      <bottom/>
      <diagonal/>
    </border>
    <border>
      <left/>
      <right style="medium">
        <color auto="1"/>
      </right>
      <top style="medium">
        <color auto="1"/>
      </top>
      <bottom/>
      <diagonal/>
    </border>
    <border>
      <left/>
      <right style="medium">
        <color indexed="64"/>
      </right>
      <top style="hair">
        <color indexed="64"/>
      </top>
      <bottom style="medium">
        <color indexed="64"/>
      </bottom>
      <diagonal/>
    </border>
    <border>
      <left style="medium">
        <color indexed="64"/>
      </left>
      <right style="medium">
        <color indexed="64"/>
      </right>
      <top style="dotted">
        <color theme="4"/>
      </top>
      <bottom style="dotted">
        <color theme="4"/>
      </bottom>
      <diagonal/>
    </border>
    <border>
      <left/>
      <right style="dotted">
        <color theme="4"/>
      </right>
      <top style="dotted">
        <color theme="4"/>
      </top>
      <bottom style="dotted">
        <color theme="4"/>
      </bottom>
      <diagonal/>
    </border>
    <border>
      <left style="dotted">
        <color theme="4"/>
      </left>
      <right style="dotted">
        <color theme="4"/>
      </right>
      <top style="dotted">
        <color theme="4"/>
      </top>
      <bottom style="dotted">
        <color theme="4"/>
      </bottom>
      <diagonal/>
    </border>
    <border>
      <left style="dotted">
        <color theme="4"/>
      </left>
      <right style="dotted">
        <color theme="4"/>
      </right>
      <top/>
      <bottom style="dotted">
        <color theme="4"/>
      </bottom>
      <diagonal/>
    </border>
    <border>
      <left style="dotted">
        <color theme="4"/>
      </left>
      <right style="medium">
        <color indexed="64"/>
      </right>
      <top style="dotted">
        <color theme="4"/>
      </top>
      <bottom style="dotted">
        <color theme="4"/>
      </bottom>
      <diagonal/>
    </border>
    <border>
      <left style="medium">
        <color indexed="64"/>
      </left>
      <right style="medium">
        <color indexed="64"/>
      </right>
      <top style="dotted">
        <color theme="4"/>
      </top>
      <bottom style="medium">
        <color indexed="64"/>
      </bottom>
      <diagonal/>
    </border>
    <border>
      <left/>
      <right style="dotted">
        <color theme="4"/>
      </right>
      <top style="dotted">
        <color theme="4"/>
      </top>
      <bottom style="medium">
        <color indexed="64"/>
      </bottom>
      <diagonal/>
    </border>
    <border>
      <left style="dotted">
        <color theme="4"/>
      </left>
      <right style="dotted">
        <color theme="4"/>
      </right>
      <top style="dotted">
        <color theme="4"/>
      </top>
      <bottom style="medium">
        <color indexed="64"/>
      </bottom>
      <diagonal/>
    </border>
    <border>
      <left style="dotted">
        <color theme="4"/>
      </left>
      <right style="medium">
        <color indexed="64"/>
      </right>
      <top style="dotted">
        <color theme="4"/>
      </top>
      <bottom style="medium">
        <color indexed="64"/>
      </bottom>
      <diagonal/>
    </border>
    <border>
      <left style="medium">
        <color indexed="64"/>
      </left>
      <right style="dotted">
        <color theme="4"/>
      </right>
      <top style="dotted">
        <color theme="4"/>
      </top>
      <bottom style="dotted">
        <color theme="4"/>
      </bottom>
      <diagonal/>
    </border>
    <border>
      <left style="medium">
        <color indexed="64"/>
      </left>
      <right style="dotted">
        <color theme="4"/>
      </right>
      <top style="dotted">
        <color theme="4"/>
      </top>
      <bottom style="medium">
        <color indexed="64"/>
      </bottom>
      <diagonal/>
    </border>
    <border>
      <left style="medium">
        <color indexed="64"/>
      </left>
      <right/>
      <top style="dotted">
        <color theme="4"/>
      </top>
      <bottom style="medium">
        <color indexed="64"/>
      </bottom>
      <diagonal/>
    </border>
    <border>
      <left/>
      <right/>
      <top/>
      <bottom style="medium">
        <color auto="1"/>
      </bottom>
      <diagonal/>
    </border>
    <border>
      <left style="medium">
        <color auto="1"/>
      </left>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dotted">
        <color theme="4"/>
      </bottom>
      <diagonal/>
    </border>
    <border>
      <left style="medium">
        <color indexed="64"/>
      </left>
      <right/>
      <top style="dotted">
        <color theme="4"/>
      </top>
      <bottom style="dotted">
        <color theme="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auto="1"/>
      </left>
      <right style="hair">
        <color auto="1"/>
      </right>
      <top style="hair">
        <color auto="1"/>
      </top>
      <bottom/>
      <diagonal/>
    </border>
    <border>
      <left style="thin">
        <color auto="1"/>
      </left>
      <right style="thin">
        <color auto="1"/>
      </right>
      <top style="thin">
        <color auto="1"/>
      </top>
      <bottom style="thin">
        <color auto="1"/>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dotted">
        <color theme="4"/>
      </bottom>
      <diagonal/>
    </border>
    <border>
      <left style="thin">
        <color indexed="64"/>
      </left>
      <right style="medium">
        <color indexed="64"/>
      </right>
      <top style="medium">
        <color indexed="64"/>
      </top>
      <bottom style="dotted">
        <color theme="4"/>
      </bottom>
      <diagonal/>
    </border>
    <border>
      <left style="thin">
        <color indexed="64"/>
      </left>
      <right style="thin">
        <color indexed="64"/>
      </right>
      <top style="dotted">
        <color theme="4"/>
      </top>
      <bottom style="dotted">
        <color theme="4"/>
      </bottom>
      <diagonal/>
    </border>
    <border>
      <left style="thin">
        <color indexed="64"/>
      </left>
      <right style="medium">
        <color indexed="64"/>
      </right>
      <top style="dotted">
        <color theme="4"/>
      </top>
      <bottom style="dotted">
        <color theme="4"/>
      </bottom>
      <diagonal/>
    </border>
    <border>
      <left style="thin">
        <color indexed="64"/>
      </left>
      <right style="thin">
        <color indexed="64"/>
      </right>
      <top style="dotted">
        <color theme="4"/>
      </top>
      <bottom style="medium">
        <color indexed="64"/>
      </bottom>
      <diagonal/>
    </border>
    <border>
      <left style="thin">
        <color indexed="64"/>
      </left>
      <right style="medium">
        <color indexed="64"/>
      </right>
      <top style="dotted">
        <color theme="4"/>
      </top>
      <bottom style="medium">
        <color indexed="64"/>
      </bottom>
      <diagonal/>
    </border>
    <border>
      <left/>
      <right style="dotted">
        <color rgb="FF0070C0"/>
      </right>
      <top style="dotted">
        <color rgb="FF0070C0"/>
      </top>
      <bottom style="medium">
        <color indexed="64"/>
      </bottom>
      <diagonal/>
    </border>
    <border>
      <left/>
      <right/>
      <top style="dotted">
        <color theme="4"/>
      </top>
      <bottom style="dotted">
        <color theme="4"/>
      </bottom>
      <diagonal/>
    </border>
    <border>
      <left/>
      <right/>
      <top style="dotted">
        <color theme="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right style="medium">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3">
    <xf numFmtId="0" fontId="0" fillId="0" borderId="0"/>
    <xf numFmtId="43" fontId="51" fillId="0" borderId="0" applyFont="0" applyFill="0" applyBorder="0" applyAlignment="0" applyProtection="0"/>
    <xf numFmtId="9" fontId="51"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xf numFmtId="170" fontId="2"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54" fillId="0" borderId="0" applyNumberFormat="0" applyFill="0" applyBorder="0" applyAlignment="0" applyProtection="0"/>
    <xf numFmtId="0" fontId="51" fillId="0" borderId="0"/>
    <xf numFmtId="0" fontId="51" fillId="0" borderId="0"/>
    <xf numFmtId="0" fontId="60" fillId="0" borderId="0">
      <alignment wrapText="1"/>
    </xf>
    <xf numFmtId="0" fontId="2" fillId="0" borderId="0"/>
    <xf numFmtId="170" fontId="60" fillId="0" borderId="0" applyFont="0" applyFill="0" applyBorder="0" applyAlignment="0" applyProtection="0">
      <alignment wrapText="1"/>
    </xf>
    <xf numFmtId="0" fontId="61" fillId="0" borderId="0" applyNumberFormat="0" applyFill="0" applyBorder="0" applyAlignment="0" applyProtection="0"/>
    <xf numFmtId="44" fontId="51" fillId="0" borderId="0" applyFont="0" applyFill="0" applyBorder="0" applyAlignment="0" applyProtection="0"/>
    <xf numFmtId="0" fontId="63" fillId="0" borderId="0" applyNumberFormat="0" applyFill="0" applyBorder="0" applyAlignment="0" applyProtection="0"/>
    <xf numFmtId="170" fontId="2" fillId="0" borderId="0" applyFont="0" applyFill="0" applyBorder="0" applyAlignment="0" applyProtection="0">
      <alignment wrapText="1"/>
    </xf>
    <xf numFmtId="0" fontId="2" fillId="0" borderId="0"/>
    <xf numFmtId="0" fontId="2" fillId="0" borderId="0">
      <alignment wrapText="1"/>
    </xf>
    <xf numFmtId="0" fontId="51" fillId="0" borderId="0"/>
    <xf numFmtId="0" fontId="69" fillId="24" borderId="158" applyNumberFormat="0" applyAlignment="0" applyProtection="0"/>
  </cellStyleXfs>
  <cellXfs count="933">
    <xf numFmtId="0" fontId="0" fillId="0" borderId="0" xfId="0"/>
    <xf numFmtId="0" fontId="3" fillId="0" borderId="0" xfId="0" applyFont="1"/>
    <xf numFmtId="0" fontId="4" fillId="0" borderId="0" xfId="0" applyFont="1"/>
    <xf numFmtId="0" fontId="0" fillId="0" borderId="0" xfId="0" applyBorder="1"/>
    <xf numFmtId="0" fontId="0" fillId="0" borderId="0" xfId="0" applyBorder="1" applyAlignment="1">
      <alignment horizontal="center" vertical="center"/>
    </xf>
    <xf numFmtId="0" fontId="0" fillId="3" borderId="0" xfId="0" applyFill="1"/>
    <xf numFmtId="164" fontId="6" fillId="2" borderId="0" xfId="0" applyNumberFormat="1" applyFont="1" applyFill="1"/>
    <xf numFmtId="164" fontId="9" fillId="3" borderId="0" xfId="0" applyNumberFormat="1" applyFont="1" applyFill="1" applyBorder="1" applyAlignment="1" applyProtection="1">
      <alignment horizontal="center" vertical="center" wrapText="1"/>
    </xf>
    <xf numFmtId="164" fontId="11" fillId="3" borderId="0" xfId="0" applyNumberFormat="1" applyFont="1" applyFill="1" applyAlignment="1" applyProtection="1">
      <alignment vertical="top"/>
    </xf>
    <xf numFmtId="164" fontId="6" fillId="3" borderId="0" xfId="0" applyNumberFormat="1" applyFont="1" applyFill="1" applyAlignment="1" applyProtection="1">
      <alignment horizontal="center" vertical="top"/>
    </xf>
    <xf numFmtId="0" fontId="4" fillId="0" borderId="0" xfId="0" applyFont="1"/>
    <xf numFmtId="0" fontId="0" fillId="0" borderId="0" xfId="0"/>
    <xf numFmtId="0" fontId="1" fillId="0" borderId="0" xfId="0" applyFont="1"/>
    <xf numFmtId="164" fontId="6" fillId="3" borderId="0" xfId="0" applyNumberFormat="1" applyFont="1" applyFill="1"/>
    <xf numFmtId="0" fontId="0" fillId="0" borderId="0" xfId="0" applyFill="1"/>
    <xf numFmtId="0" fontId="0" fillId="0" borderId="0" xfId="0" applyFill="1" applyBorder="1"/>
    <xf numFmtId="0" fontId="0" fillId="0" borderId="52" xfId="0" applyFill="1" applyBorder="1"/>
    <xf numFmtId="0" fontId="13" fillId="0" borderId="0" xfId="0" applyFont="1" applyAlignment="1">
      <alignment vertical="center"/>
    </xf>
    <xf numFmtId="0" fontId="5"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8" fillId="0" borderId="0" xfId="0" applyFont="1" applyAlignment="1" applyProtection="1"/>
    <xf numFmtId="0" fontId="18" fillId="0" borderId="0" xfId="0" applyFont="1" applyAlignment="1" applyProtection="1"/>
    <xf numFmtId="0" fontId="19" fillId="0" borderId="0" xfId="0" applyFont="1"/>
    <xf numFmtId="0" fontId="20" fillId="0" borderId="0" xfId="0" applyFont="1"/>
    <xf numFmtId="0" fontId="21" fillId="0" borderId="0" xfId="0" applyFont="1"/>
    <xf numFmtId="0" fontId="12" fillId="8" borderId="0" xfId="0" applyFont="1" applyFill="1"/>
    <xf numFmtId="0" fontId="24" fillId="9" borderId="54" xfId="0" applyFont="1" applyFill="1" applyBorder="1" applyAlignment="1">
      <alignment vertical="center"/>
    </xf>
    <xf numFmtId="0" fontId="24" fillId="9" borderId="54" xfId="0" applyFont="1" applyFill="1" applyBorder="1" applyAlignment="1">
      <alignment vertical="center" wrapText="1"/>
    </xf>
    <xf numFmtId="0" fontId="26" fillId="8" borderId="0" xfId="0" applyFont="1" applyFill="1" applyAlignment="1">
      <alignment vertical="center"/>
    </xf>
    <xf numFmtId="164" fontId="32" fillId="8" borderId="0" xfId="0" applyNumberFormat="1" applyFont="1" applyFill="1" applyAlignment="1">
      <alignment vertical="center"/>
    </xf>
    <xf numFmtId="0" fontId="27" fillId="8" borderId="3" xfId="0" applyFont="1" applyFill="1" applyBorder="1" applyAlignment="1">
      <alignment vertical="center" wrapText="1"/>
    </xf>
    <xf numFmtId="0" fontId="27" fillId="8" borderId="3" xfId="0" applyFont="1" applyFill="1" applyBorder="1" applyAlignment="1">
      <alignment horizontal="center" vertical="center" wrapText="1"/>
    </xf>
    <xf numFmtId="0" fontId="27" fillId="8" borderId="7" xfId="0" applyFont="1" applyFill="1" applyBorder="1" applyAlignment="1">
      <alignment horizontal="center" vertical="center" wrapText="1"/>
    </xf>
    <xf numFmtId="164" fontId="34" fillId="3" borderId="0" xfId="0" applyNumberFormat="1" applyFont="1" applyFill="1" applyAlignment="1">
      <alignment vertical="center"/>
    </xf>
    <xf numFmtId="164" fontId="24" fillId="9" borderId="54" xfId="0" applyNumberFormat="1" applyFont="1" applyFill="1" applyBorder="1" applyAlignment="1">
      <alignment vertical="center"/>
    </xf>
    <xf numFmtId="0" fontId="22" fillId="9" borderId="16" xfId="0" applyFont="1" applyFill="1" applyBorder="1" applyAlignment="1">
      <alignment vertical="center"/>
    </xf>
    <xf numFmtId="0" fontId="22" fillId="9" borderId="18" xfId="0" applyFont="1" applyFill="1" applyBorder="1" applyAlignment="1">
      <alignment vertical="center"/>
    </xf>
    <xf numFmtId="0" fontId="22" fillId="9" borderId="21" xfId="0" applyFont="1" applyFill="1" applyBorder="1" applyAlignment="1">
      <alignment vertical="center"/>
    </xf>
    <xf numFmtId="0" fontId="24" fillId="0" borderId="0" xfId="0" applyFont="1" applyFill="1" applyBorder="1" applyAlignment="1">
      <alignment vertical="center"/>
    </xf>
    <xf numFmtId="164" fontId="6" fillId="3" borderId="0" xfId="0" applyNumberFormat="1" applyFont="1" applyFill="1" applyAlignment="1">
      <alignment vertical="top"/>
    </xf>
    <xf numFmtId="164" fontId="6" fillId="3" borderId="0" xfId="0" applyNumberFormat="1" applyFont="1" applyFill="1" applyAlignment="1">
      <alignment vertical="center"/>
    </xf>
    <xf numFmtId="0" fontId="6" fillId="3" borderId="0" xfId="0" applyFont="1" applyFill="1" applyAlignment="1">
      <alignment horizontal="center" vertical="center"/>
    </xf>
    <xf numFmtId="0" fontId="6" fillId="5" borderId="4" xfId="0" applyFont="1" applyFill="1" applyBorder="1" applyAlignment="1">
      <alignment horizontal="center" vertical="center" wrapText="1"/>
    </xf>
    <xf numFmtId="0" fontId="6" fillId="5" borderId="28" xfId="0" applyFont="1" applyFill="1" applyBorder="1" applyAlignment="1">
      <alignment horizontal="center" vertical="center"/>
    </xf>
    <xf numFmtId="0" fontId="6" fillId="5" borderId="6" xfId="0" applyFont="1" applyFill="1" applyBorder="1" applyAlignment="1">
      <alignment horizontal="center" vertical="center" wrapText="1"/>
    </xf>
    <xf numFmtId="0" fontId="6" fillId="0" borderId="30" xfId="0" applyFont="1" applyFill="1" applyBorder="1" applyAlignment="1">
      <alignment vertical="center"/>
    </xf>
    <xf numFmtId="0" fontId="6" fillId="0" borderId="41" xfId="0" applyFont="1" applyFill="1" applyBorder="1" applyAlignment="1">
      <alignment vertical="center"/>
    </xf>
    <xf numFmtId="0" fontId="6" fillId="0" borderId="42" xfId="0" applyFont="1" applyFill="1" applyBorder="1" applyAlignment="1">
      <alignment vertical="center" wrapText="1"/>
    </xf>
    <xf numFmtId="164" fontId="6" fillId="0" borderId="30" xfId="0" applyNumberFormat="1" applyFont="1" applyFill="1" applyBorder="1"/>
    <xf numFmtId="164" fontId="6" fillId="0" borderId="34" xfId="0" applyNumberFormat="1" applyFont="1" applyFill="1" applyBorder="1"/>
    <xf numFmtId="0" fontId="0" fillId="0" borderId="0" xfId="0" applyAlignment="1">
      <alignment horizontal="center"/>
    </xf>
    <xf numFmtId="164" fontId="10" fillId="3" borderId="0" xfId="0" applyNumberFormat="1" applyFont="1" applyFill="1" applyAlignment="1">
      <alignment vertical="top"/>
    </xf>
    <xf numFmtId="164" fontId="2" fillId="3" borderId="0" xfId="0" applyNumberFormat="1" applyFont="1" applyFill="1" applyAlignment="1">
      <alignment vertical="top"/>
    </xf>
    <xf numFmtId="0" fontId="2" fillId="3" borderId="0" xfId="0" applyFont="1" applyFill="1"/>
    <xf numFmtId="0" fontId="2" fillId="3" borderId="0" xfId="0" applyFont="1" applyFill="1" applyBorder="1"/>
    <xf numFmtId="0" fontId="6" fillId="3" borderId="0" xfId="0" applyFont="1" applyFill="1" applyAlignment="1">
      <alignment horizontal="left" vertical="center"/>
    </xf>
    <xf numFmtId="0" fontId="6" fillId="3" borderId="0" xfId="0" applyFont="1" applyFill="1" applyAlignment="1">
      <alignment vertical="center"/>
    </xf>
    <xf numFmtId="0" fontId="6" fillId="3" borderId="0" xfId="0" applyFont="1" applyFill="1" applyBorder="1" applyAlignment="1">
      <alignment vertical="center"/>
    </xf>
    <xf numFmtId="0" fontId="7" fillId="3" borderId="0" xfId="0" applyFont="1" applyFill="1" applyAlignment="1">
      <alignment vertical="center"/>
    </xf>
    <xf numFmtId="0" fontId="6" fillId="0" borderId="31" xfId="0" applyFont="1" applyFill="1" applyBorder="1" applyAlignment="1">
      <alignment vertical="center"/>
    </xf>
    <xf numFmtId="0" fontId="6" fillId="0" borderId="42" xfId="0" applyFont="1" applyFill="1" applyBorder="1" applyAlignment="1">
      <alignment vertical="center"/>
    </xf>
    <xf numFmtId="164" fontId="6" fillId="5" borderId="4" xfId="0" applyNumberFormat="1" applyFont="1" applyFill="1" applyBorder="1" applyAlignment="1">
      <alignment horizontal="center"/>
    </xf>
    <xf numFmtId="164" fontId="6" fillId="5" borderId="28" xfId="0" applyNumberFormat="1" applyFont="1" applyFill="1" applyBorder="1" applyAlignment="1">
      <alignment horizontal="center"/>
    </xf>
    <xf numFmtId="164" fontId="6" fillId="5" borderId="26" xfId="0" applyNumberFormat="1" applyFont="1" applyFill="1" applyBorder="1" applyAlignment="1">
      <alignment horizontal="center"/>
    </xf>
    <xf numFmtId="164" fontId="6" fillId="0" borderId="31" xfId="0" applyNumberFormat="1" applyFont="1" applyFill="1" applyBorder="1"/>
    <xf numFmtId="164" fontId="6" fillId="0" borderId="35" xfId="0" applyNumberFormat="1" applyFont="1" applyFill="1" applyBorder="1"/>
    <xf numFmtId="0" fontId="6" fillId="3" borderId="37" xfId="0" applyFont="1" applyFill="1" applyBorder="1" applyAlignment="1">
      <alignment horizontal="center" vertical="center"/>
    </xf>
    <xf numFmtId="0" fontId="6" fillId="3" borderId="37" xfId="0" applyFont="1" applyFill="1" applyBorder="1" applyAlignment="1">
      <alignment vertical="center"/>
    </xf>
    <xf numFmtId="164" fontId="40" fillId="8" borderId="26" xfId="0" applyNumberFormat="1" applyFont="1" applyFill="1" applyBorder="1" applyAlignment="1">
      <alignment horizontal="center" vertical="center" wrapText="1"/>
    </xf>
    <xf numFmtId="0" fontId="0" fillId="0" borderId="56" xfId="0" applyBorder="1"/>
    <xf numFmtId="0" fontId="0" fillId="0" borderId="61" xfId="0" applyBorder="1"/>
    <xf numFmtId="0" fontId="0" fillId="0" borderId="31" xfId="0" applyBorder="1"/>
    <xf numFmtId="0" fontId="0" fillId="0" borderId="68" xfId="0" applyBorder="1"/>
    <xf numFmtId="0" fontId="0" fillId="0" borderId="42" xfId="0" applyBorder="1"/>
    <xf numFmtId="0" fontId="0" fillId="0" borderId="67" xfId="0" applyBorder="1"/>
    <xf numFmtId="0" fontId="0" fillId="0" borderId="69" xfId="0" applyBorder="1"/>
    <xf numFmtId="164" fontId="39" fillId="8" borderId="3" xfId="0" applyNumberFormat="1" applyFont="1" applyFill="1" applyBorder="1" applyAlignment="1">
      <alignment horizontal="center" vertical="center" wrapText="1"/>
    </xf>
    <xf numFmtId="164" fontId="24" fillId="9" borderId="71" xfId="0" applyNumberFormat="1" applyFont="1" applyFill="1" applyBorder="1" applyAlignment="1">
      <alignment vertical="center"/>
    </xf>
    <xf numFmtId="0" fontId="30" fillId="8" borderId="4" xfId="0" applyFont="1" applyFill="1" applyBorder="1" applyAlignment="1">
      <alignment horizontal="center" vertical="center" wrapText="1"/>
    </xf>
    <xf numFmtId="0" fontId="30" fillId="8" borderId="26" xfId="0" applyFont="1" applyFill="1" applyBorder="1" applyAlignment="1">
      <alignment horizontal="center" vertical="center" wrapText="1"/>
    </xf>
    <xf numFmtId="169" fontId="0" fillId="0" borderId="0" xfId="0" applyNumberFormat="1"/>
    <xf numFmtId="0" fontId="0" fillId="8" borderId="0" xfId="0" applyFill="1" applyBorder="1"/>
    <xf numFmtId="0" fontId="26" fillId="8" borderId="0" xfId="0" applyFont="1" applyFill="1" applyBorder="1" applyAlignment="1">
      <alignment vertical="center"/>
    </xf>
    <xf numFmtId="0" fontId="28" fillId="8" borderId="0" xfId="0" applyFont="1" applyFill="1" applyBorder="1"/>
    <xf numFmtId="0" fontId="27" fillId="8" borderId="1" xfId="0" applyFont="1" applyFill="1" applyBorder="1" applyAlignment="1">
      <alignment vertical="center" wrapText="1"/>
    </xf>
    <xf numFmtId="0" fontId="22" fillId="9" borderId="62" xfId="0" applyFont="1" applyFill="1" applyBorder="1" applyAlignment="1">
      <alignment vertical="center"/>
    </xf>
    <xf numFmtId="0" fontId="22" fillId="9" borderId="63" xfId="0" applyFont="1" applyFill="1" applyBorder="1" applyAlignment="1">
      <alignment vertical="center"/>
    </xf>
    <xf numFmtId="0" fontId="22" fillId="9" borderId="64" xfId="0" applyFont="1" applyFill="1" applyBorder="1" applyAlignment="1">
      <alignment vertical="center"/>
    </xf>
    <xf numFmtId="0" fontId="6" fillId="9" borderId="73" xfId="0" applyFont="1" applyFill="1" applyBorder="1" applyAlignment="1">
      <alignment vertical="center"/>
    </xf>
    <xf numFmtId="0" fontId="6" fillId="9" borderId="54" xfId="0" applyFont="1" applyFill="1" applyBorder="1" applyAlignment="1">
      <alignment vertical="center"/>
    </xf>
    <xf numFmtId="0" fontId="6" fillId="9" borderId="74" xfId="0" applyFont="1" applyFill="1" applyBorder="1" applyAlignment="1">
      <alignment vertical="center"/>
    </xf>
    <xf numFmtId="164" fontId="24" fillId="9" borderId="91" xfId="0" applyNumberFormat="1" applyFont="1" applyFill="1" applyBorder="1" applyAlignment="1">
      <alignment vertical="center"/>
    </xf>
    <xf numFmtId="0" fontId="30" fillId="8" borderId="6" xfId="0" applyFont="1" applyFill="1" applyBorder="1" applyAlignment="1">
      <alignment horizontal="center" vertical="center" wrapText="1"/>
    </xf>
    <xf numFmtId="0" fontId="30" fillId="8" borderId="28" xfId="0" applyFont="1" applyFill="1" applyBorder="1" applyAlignment="1">
      <alignment vertical="center" wrapText="1"/>
    </xf>
    <xf numFmtId="164" fontId="39" fillId="11" borderId="4" xfId="0" applyNumberFormat="1" applyFont="1" applyFill="1" applyBorder="1" applyAlignment="1">
      <alignment horizontal="center" vertical="center" wrapText="1"/>
    </xf>
    <xf numFmtId="164" fontId="40" fillId="11" borderId="5" xfId="0" applyNumberFormat="1" applyFont="1" applyFill="1" applyBorder="1" applyAlignment="1">
      <alignment horizontal="center" vertical="center" wrapText="1"/>
    </xf>
    <xf numFmtId="164" fontId="40" fillId="11" borderId="6" xfId="0" applyNumberFormat="1" applyFont="1" applyFill="1" applyBorder="1" applyAlignment="1">
      <alignment horizontal="center" vertical="center" wrapText="1"/>
    </xf>
    <xf numFmtId="0" fontId="30" fillId="10" borderId="4" xfId="0" applyFont="1" applyFill="1" applyBorder="1" applyAlignment="1">
      <alignment horizontal="center" vertical="center" wrapText="1"/>
    </xf>
    <xf numFmtId="0" fontId="30" fillId="10" borderId="28" xfId="0" applyFont="1" applyFill="1" applyBorder="1" applyAlignment="1">
      <alignment vertical="center" wrapText="1"/>
    </xf>
    <xf numFmtId="0" fontId="24" fillId="9" borderId="91" xfId="0" applyFont="1" applyFill="1" applyBorder="1" applyAlignment="1">
      <alignment vertical="center"/>
    </xf>
    <xf numFmtId="0" fontId="24" fillId="9" borderId="86" xfId="0" applyFont="1" applyFill="1" applyBorder="1" applyAlignment="1">
      <alignment vertical="center"/>
    </xf>
    <xf numFmtId="164" fontId="24" fillId="9" borderId="90" xfId="0" applyNumberFormat="1" applyFont="1" applyFill="1" applyBorder="1" applyAlignment="1">
      <alignment vertical="center"/>
    </xf>
    <xf numFmtId="0" fontId="42" fillId="0" borderId="26" xfId="0" applyFont="1" applyBorder="1" applyAlignment="1">
      <alignment horizontal="center"/>
    </xf>
    <xf numFmtId="0" fontId="42" fillId="0" borderId="24" xfId="0" applyFont="1" applyBorder="1" applyAlignment="1">
      <alignment horizontal="left" indent="10"/>
    </xf>
    <xf numFmtId="0" fontId="23" fillId="0" borderId="25" xfId="0" applyFont="1" applyBorder="1" applyAlignment="1">
      <alignment horizontal="center"/>
    </xf>
    <xf numFmtId="0" fontId="0" fillId="0" borderId="0" xfId="0" applyFill="1" applyAlignment="1">
      <alignment wrapText="1"/>
    </xf>
    <xf numFmtId="0" fontId="7" fillId="3" borderId="0" xfId="0" applyFont="1" applyFill="1" applyBorder="1" applyAlignment="1">
      <alignment vertical="center"/>
    </xf>
    <xf numFmtId="164" fontId="6" fillId="3" borderId="99" xfId="0" applyNumberFormat="1" applyFont="1" applyFill="1" applyBorder="1" applyAlignment="1" applyProtection="1">
      <alignment horizontal="center" vertical="top"/>
    </xf>
    <xf numFmtId="164" fontId="6" fillId="3" borderId="44" xfId="0" applyNumberFormat="1" applyFont="1" applyFill="1" applyBorder="1" applyAlignment="1">
      <alignment vertical="top"/>
    </xf>
    <xf numFmtId="164" fontId="9" fillId="3" borderId="44" xfId="0" applyNumberFormat="1" applyFont="1" applyFill="1" applyBorder="1" applyAlignment="1" applyProtection="1">
      <alignment horizontal="center" vertical="center" wrapText="1"/>
    </xf>
    <xf numFmtId="0" fontId="7" fillId="3" borderId="44" xfId="0" applyFont="1" applyFill="1" applyBorder="1" applyAlignment="1">
      <alignment vertical="center"/>
    </xf>
    <xf numFmtId="0" fontId="2" fillId="3" borderId="100" xfId="0" applyFont="1" applyFill="1" applyBorder="1"/>
    <xf numFmtId="164" fontId="7" fillId="3" borderId="29" xfId="0" applyNumberFormat="1" applyFont="1" applyFill="1" applyBorder="1" applyAlignment="1" applyProtection="1">
      <alignment horizontal="center" vertical="top"/>
    </xf>
    <xf numFmtId="164" fontId="44" fillId="3" borderId="0" xfId="0" applyNumberFormat="1" applyFont="1" applyFill="1" applyBorder="1" applyAlignment="1">
      <alignment vertical="top"/>
    </xf>
    <xf numFmtId="0" fontId="2" fillId="3" borderId="47" xfId="0" applyFont="1" applyFill="1" applyBorder="1"/>
    <xf numFmtId="164" fontId="7" fillId="3" borderId="0" xfId="0" applyNumberFormat="1" applyFont="1" applyFill="1" applyBorder="1" applyAlignment="1">
      <alignment vertical="top"/>
    </xf>
    <xf numFmtId="0" fontId="6" fillId="0" borderId="50" xfId="0" applyFont="1" applyFill="1" applyBorder="1" applyAlignment="1">
      <alignment vertical="center"/>
    </xf>
    <xf numFmtId="0" fontId="7" fillId="3" borderId="29" xfId="0" applyFont="1" applyFill="1" applyBorder="1" applyAlignment="1">
      <alignment horizontal="center" vertical="center"/>
    </xf>
    <xf numFmtId="0" fontId="44" fillId="3" borderId="0" xfId="0" applyFont="1" applyFill="1" applyBorder="1" applyAlignment="1">
      <alignment vertical="center"/>
    </xf>
    <xf numFmtId="0" fontId="6" fillId="3" borderId="2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84" xfId="0" applyFont="1" applyFill="1" applyBorder="1" applyAlignment="1">
      <alignment horizontal="center" vertical="center"/>
    </xf>
    <xf numFmtId="0" fontId="2" fillId="0" borderId="0" xfId="0" applyFont="1"/>
    <xf numFmtId="0" fontId="2" fillId="0" borderId="3" xfId="0" applyFont="1" applyBorder="1"/>
    <xf numFmtId="0" fontId="46" fillId="0" borderId="0" xfId="0" applyFont="1"/>
    <xf numFmtId="0" fontId="0" fillId="0" borderId="0" xfId="0" applyAlignment="1">
      <alignment horizontal="left"/>
    </xf>
    <xf numFmtId="0" fontId="1" fillId="0" borderId="26" xfId="0" applyFont="1" applyFill="1" applyBorder="1" applyAlignment="1">
      <alignment horizontal="center" vertical="center"/>
    </xf>
    <xf numFmtId="0" fontId="1" fillId="0" borderId="25" xfId="0" applyFont="1" applyFill="1" applyBorder="1" applyAlignment="1">
      <alignment horizontal="center" vertical="center"/>
    </xf>
    <xf numFmtId="0" fontId="37" fillId="0" borderId="102" xfId="0" applyFont="1" applyBorder="1" applyAlignment="1">
      <alignment horizontal="left" indent="1"/>
    </xf>
    <xf numFmtId="10" fontId="38" fillId="15" borderId="104" xfId="0" applyNumberFormat="1" applyFont="1" applyFill="1" applyBorder="1" applyAlignment="1">
      <alignment horizontal="center" vertical="center"/>
    </xf>
    <xf numFmtId="9" fontId="37" fillId="0" borderId="106" xfId="0" applyNumberFormat="1" applyFont="1" applyFill="1" applyBorder="1" applyAlignment="1">
      <alignment horizontal="left"/>
    </xf>
    <xf numFmtId="0" fontId="38" fillId="0" borderId="109" xfId="0" applyFont="1" applyFill="1" applyBorder="1" applyAlignment="1">
      <alignment horizontal="center" vertical="center"/>
    </xf>
    <xf numFmtId="9" fontId="37" fillId="0" borderId="110" xfId="0" applyNumberFormat="1" applyFont="1" applyFill="1" applyBorder="1" applyAlignment="1">
      <alignment horizontal="left"/>
    </xf>
    <xf numFmtId="0" fontId="48" fillId="0" borderId="0" xfId="0" applyFont="1"/>
    <xf numFmtId="0" fontId="47" fillId="0" borderId="0" xfId="0" applyFont="1" applyAlignment="1">
      <alignment vertical="center"/>
    </xf>
    <xf numFmtId="0" fontId="1" fillId="0" borderId="6" xfId="0" applyFont="1" applyFill="1" applyBorder="1" applyAlignment="1">
      <alignment horizontal="center" vertical="center"/>
    </xf>
    <xf numFmtId="10" fontId="0" fillId="0" borderId="0" xfId="0" applyNumberFormat="1" applyAlignment="1">
      <alignment horizontal="left"/>
    </xf>
    <xf numFmtId="0" fontId="6" fillId="0" borderId="120" xfId="0" applyFont="1" applyFill="1" applyBorder="1" applyAlignment="1">
      <alignment vertical="center"/>
    </xf>
    <xf numFmtId="1" fontId="7" fillId="0" borderId="40" xfId="0" applyNumberFormat="1" applyFont="1" applyFill="1" applyBorder="1" applyAlignment="1">
      <alignment horizontal="center" vertical="center"/>
    </xf>
    <xf numFmtId="3" fontId="7" fillId="0" borderId="30" xfId="0" applyNumberFormat="1" applyFont="1" applyFill="1" applyBorder="1" applyAlignment="1">
      <alignment horizontal="center" vertical="center"/>
    </xf>
    <xf numFmtId="3" fontId="7" fillId="0" borderId="41" xfId="0" applyNumberFormat="1" applyFont="1" applyFill="1" applyBorder="1" applyAlignment="1">
      <alignment horizontal="center" vertical="center"/>
    </xf>
    <xf numFmtId="3" fontId="7" fillId="0" borderId="34" xfId="0" applyNumberFormat="1" applyFont="1" applyFill="1" applyBorder="1" applyAlignment="1">
      <alignment horizontal="center" vertical="center"/>
    </xf>
    <xf numFmtId="3" fontId="7" fillId="0" borderId="47" xfId="0" applyNumberFormat="1" applyFont="1" applyFill="1" applyBorder="1" applyAlignment="1">
      <alignment horizontal="center" vertical="center"/>
    </xf>
    <xf numFmtId="3" fontId="7" fillId="0" borderId="118" xfId="0" applyNumberFormat="1" applyFont="1" applyFill="1" applyBorder="1" applyAlignment="1">
      <alignment horizontal="center" vertical="center"/>
    </xf>
    <xf numFmtId="164" fontId="7" fillId="0" borderId="45" xfId="0" applyNumberFormat="1" applyFont="1" applyFill="1" applyBorder="1" applyAlignment="1">
      <alignment horizontal="right"/>
    </xf>
    <xf numFmtId="10" fontId="2" fillId="3" borderId="0" xfId="0" applyNumberFormat="1" applyFont="1" applyFill="1"/>
    <xf numFmtId="0" fontId="2" fillId="0" borderId="0" xfId="0" applyFont="1" applyFill="1" applyAlignment="1">
      <alignment wrapText="1"/>
    </xf>
    <xf numFmtId="164" fontId="6" fillId="0" borderId="0" xfId="0" applyNumberFormat="1" applyFont="1" applyFill="1"/>
    <xf numFmtId="0" fontId="12" fillId="8" borderId="0" xfId="0" applyFont="1" applyFill="1" applyBorder="1" applyAlignment="1">
      <alignment vertical="center"/>
    </xf>
    <xf numFmtId="0" fontId="27" fillId="8" borderId="121" xfId="0" applyFont="1" applyFill="1" applyBorder="1" applyAlignment="1">
      <alignment horizontal="left" vertical="center" wrapText="1"/>
    </xf>
    <xf numFmtId="0" fontId="27" fillId="8" borderId="122" xfId="0" applyFont="1" applyFill="1" applyBorder="1" applyAlignment="1">
      <alignment vertical="center" wrapText="1"/>
    </xf>
    <xf numFmtId="0" fontId="27" fillId="8" borderId="122" xfId="0" applyFont="1" applyFill="1" applyBorder="1" applyAlignment="1">
      <alignment horizontal="center" vertical="center" wrapText="1"/>
    </xf>
    <xf numFmtId="0" fontId="27" fillId="8" borderId="123" xfId="0" applyFont="1" applyFill="1" applyBorder="1" applyAlignment="1">
      <alignment horizontal="center" vertical="center" wrapText="1"/>
    </xf>
    <xf numFmtId="0" fontId="30" fillId="10" borderId="6" xfId="0" applyFont="1" applyFill="1" applyBorder="1" applyAlignment="1">
      <alignment horizontal="center" vertical="center" wrapText="1"/>
    </xf>
    <xf numFmtId="166" fontId="2" fillId="3" borderId="0" xfId="0" applyNumberFormat="1" applyFont="1" applyFill="1"/>
    <xf numFmtId="166" fontId="0" fillId="0" borderId="0" xfId="1" applyNumberFormat="1" applyFont="1"/>
    <xf numFmtId="10" fontId="38" fillId="0" borderId="111" xfId="2" applyNumberFormat="1" applyFont="1" applyFill="1" applyBorder="1" applyAlignment="1">
      <alignment horizontal="center" vertical="center"/>
    </xf>
    <xf numFmtId="10" fontId="38" fillId="0" borderId="104" xfId="2" applyNumberFormat="1" applyFont="1" applyFill="1" applyBorder="1" applyAlignment="1">
      <alignment horizontal="center" vertical="center"/>
    </xf>
    <xf numFmtId="10" fontId="38" fillId="0" borderId="103" xfId="2" applyNumberFormat="1" applyFont="1" applyFill="1" applyBorder="1" applyAlignment="1">
      <alignment horizontal="center" vertical="center"/>
    </xf>
    <xf numFmtId="10" fontId="38" fillId="0" borderId="106" xfId="2" applyNumberFormat="1" applyFont="1" applyFill="1" applyBorder="1" applyAlignment="1">
      <alignment horizontal="center" vertical="center"/>
    </xf>
    <xf numFmtId="10" fontId="38" fillId="0" borderId="112" xfId="2" applyNumberFormat="1" applyFont="1" applyFill="1" applyBorder="1" applyAlignment="1">
      <alignment horizontal="center" vertical="center"/>
    </xf>
    <xf numFmtId="10" fontId="38" fillId="0" borderId="109" xfId="2" applyNumberFormat="1" applyFont="1" applyFill="1" applyBorder="1" applyAlignment="1">
      <alignment horizontal="center" vertical="center"/>
    </xf>
    <xf numFmtId="10" fontId="38" fillId="0" borderId="108" xfId="2" applyNumberFormat="1" applyFont="1" applyFill="1" applyBorder="1" applyAlignment="1">
      <alignment horizontal="center" vertical="center"/>
    </xf>
    <xf numFmtId="10" fontId="38" fillId="0" borderId="110" xfId="2" applyNumberFormat="1" applyFont="1" applyFill="1" applyBorder="1" applyAlignment="1">
      <alignment horizontal="center" vertical="center"/>
    </xf>
    <xf numFmtId="0" fontId="54" fillId="0" borderId="0" xfId="9"/>
    <xf numFmtId="0" fontId="0" fillId="0" borderId="0" xfId="0"/>
    <xf numFmtId="0" fontId="45" fillId="0" borderId="24" xfId="4" applyFont="1" applyBorder="1" applyAlignment="1">
      <alignment horizontal="center"/>
    </xf>
    <xf numFmtId="0" fontId="45" fillId="0" borderId="132" xfId="4" applyFont="1" applyBorder="1" applyAlignment="1">
      <alignment horizontal="center"/>
    </xf>
    <xf numFmtId="0" fontId="45" fillId="0" borderId="133" xfId="4" applyFont="1" applyBorder="1" applyAlignment="1">
      <alignment horizontal="center"/>
    </xf>
    <xf numFmtId="0" fontId="45" fillId="0" borderId="134" xfId="4" applyFont="1" applyBorder="1" applyAlignment="1">
      <alignment horizontal="center" vertical="center"/>
    </xf>
    <xf numFmtId="0" fontId="49" fillId="14" borderId="131" xfId="0" applyFont="1" applyFill="1" applyBorder="1" applyAlignment="1">
      <alignment vertical="center"/>
    </xf>
    <xf numFmtId="164" fontId="55" fillId="3" borderId="0" xfId="9" applyNumberFormat="1" applyFont="1" applyFill="1" applyAlignment="1" applyProtection="1">
      <alignment vertical="top"/>
    </xf>
    <xf numFmtId="164" fontId="6" fillId="0" borderId="0" xfId="0" applyNumberFormat="1" applyFont="1" applyFill="1" applyAlignment="1">
      <alignment vertical="center"/>
    </xf>
    <xf numFmtId="0" fontId="35" fillId="0" borderId="0" xfId="0" applyFont="1"/>
    <xf numFmtId="172" fontId="0" fillId="0" borderId="0" xfId="0" applyNumberFormat="1"/>
    <xf numFmtId="3" fontId="0" fillId="0" borderId="0" xfId="0" applyNumberFormat="1"/>
    <xf numFmtId="0" fontId="0" fillId="0" borderId="0" xfId="0" applyFill="1" applyAlignment="1">
      <alignment horizontal="left"/>
    </xf>
    <xf numFmtId="3" fontId="7" fillId="0" borderId="40" xfId="0" applyNumberFormat="1" applyFont="1" applyFill="1" applyBorder="1" applyAlignment="1">
      <alignment horizontal="center" vertical="center"/>
    </xf>
    <xf numFmtId="1" fontId="7" fillId="0" borderId="47" xfId="0" applyNumberFormat="1" applyFont="1" applyFill="1" applyBorder="1" applyAlignment="1">
      <alignment horizontal="center" vertical="center"/>
    </xf>
    <xf numFmtId="1" fontId="7" fillId="0" borderId="119" xfId="0" applyNumberFormat="1" applyFont="1" applyFill="1" applyBorder="1" applyAlignment="1">
      <alignment horizontal="center" vertical="center"/>
    </xf>
    <xf numFmtId="0" fontId="6" fillId="0" borderId="136" xfId="0" applyFont="1" applyFill="1" applyBorder="1" applyAlignment="1">
      <alignment vertical="center"/>
    </xf>
    <xf numFmtId="3" fontId="7" fillId="0" borderId="126" xfId="0" applyNumberFormat="1" applyFont="1" applyFill="1" applyBorder="1" applyAlignment="1">
      <alignment horizontal="center" vertical="center"/>
    </xf>
    <xf numFmtId="1" fontId="7" fillId="0" borderId="127" xfId="0" applyNumberFormat="1" applyFont="1" applyFill="1" applyBorder="1" applyAlignment="1">
      <alignment horizontal="center" vertical="center"/>
    </xf>
    <xf numFmtId="0" fontId="24" fillId="9" borderId="94" xfId="0" applyFont="1" applyFill="1" applyBorder="1" applyAlignment="1">
      <alignment vertical="center"/>
    </xf>
    <xf numFmtId="0" fontId="24" fillId="9" borderId="71" xfId="0" applyFont="1" applyFill="1" applyBorder="1" applyAlignment="1">
      <alignment vertical="center"/>
    </xf>
    <xf numFmtId="10" fontId="38" fillId="0" borderId="0" xfId="0" applyNumberFormat="1" applyFont="1" applyFill="1" applyBorder="1" applyAlignment="1">
      <alignment horizontal="center" vertical="center"/>
    </xf>
    <xf numFmtId="0" fontId="1" fillId="0" borderId="34" xfId="10" applyFont="1" applyBorder="1" applyAlignment="1">
      <alignment horizontal="left" vertical="center" wrapText="1"/>
    </xf>
    <xf numFmtId="0" fontId="1" fillId="0" borderId="85" xfId="10" applyFont="1" applyBorder="1" applyAlignment="1">
      <alignment horizontal="center" vertical="center" wrapText="1"/>
    </xf>
    <xf numFmtId="0" fontId="1" fillId="0" borderId="46" xfId="10" applyFont="1" applyBorder="1" applyAlignment="1">
      <alignment horizontal="center" vertical="center" wrapText="1"/>
    </xf>
    <xf numFmtId="10" fontId="38" fillId="0" borderId="125" xfId="0" applyNumberFormat="1" applyFont="1" applyFill="1" applyBorder="1" applyAlignment="1">
      <alignment horizontal="left" vertical="center"/>
    </xf>
    <xf numFmtId="10" fontId="38" fillId="0" borderId="138" xfId="0" applyNumberFormat="1" applyFont="1" applyFill="1" applyBorder="1" applyAlignment="1">
      <alignment horizontal="center" vertical="center"/>
    </xf>
    <xf numFmtId="10" fontId="38" fillId="0" borderId="139" xfId="0" applyNumberFormat="1" applyFont="1" applyFill="1" applyBorder="1" applyAlignment="1">
      <alignment horizontal="center" vertical="center"/>
    </xf>
    <xf numFmtId="10" fontId="38" fillId="0" borderId="140" xfId="0" applyNumberFormat="1" applyFont="1" applyFill="1" applyBorder="1" applyAlignment="1">
      <alignment horizontal="center" vertical="center"/>
    </xf>
    <xf numFmtId="10" fontId="38" fillId="0" borderId="141" xfId="0" applyNumberFormat="1" applyFont="1" applyFill="1" applyBorder="1" applyAlignment="1">
      <alignment horizontal="center" vertical="center"/>
    </xf>
    <xf numFmtId="10" fontId="38" fillId="0" borderId="29" xfId="0" applyNumberFormat="1" applyFont="1" applyFill="1" applyBorder="1" applyAlignment="1">
      <alignment horizontal="left" vertical="center"/>
    </xf>
    <xf numFmtId="10" fontId="38" fillId="0" borderId="113" xfId="0" applyNumberFormat="1" applyFont="1" applyFill="1" applyBorder="1" applyAlignment="1">
      <alignment horizontal="left" vertical="center"/>
    </xf>
    <xf numFmtId="10" fontId="38" fillId="0" borderId="142" xfId="0" applyNumberFormat="1" applyFont="1" applyFill="1" applyBorder="1" applyAlignment="1">
      <alignment horizontal="center" vertical="center"/>
    </xf>
    <xf numFmtId="10" fontId="38" fillId="0" borderId="143" xfId="0" applyNumberFormat="1" applyFont="1" applyFill="1" applyBorder="1" applyAlignment="1">
      <alignment horizontal="center" vertical="center"/>
    </xf>
    <xf numFmtId="0" fontId="1" fillId="0" borderId="26" xfId="10" applyFont="1" applyBorder="1" applyAlignment="1">
      <alignment horizontal="center" vertical="center" wrapText="1"/>
    </xf>
    <xf numFmtId="168" fontId="50" fillId="0" borderId="41" xfId="0" applyNumberFormat="1" applyFont="1" applyFill="1" applyBorder="1" applyAlignment="1">
      <alignment horizontal="center" vertical="center"/>
    </xf>
    <xf numFmtId="10" fontId="50" fillId="0" borderId="7" xfId="0" applyNumberFormat="1" applyFont="1" applyFill="1" applyBorder="1" applyAlignment="1">
      <alignment horizontal="center" vertical="center"/>
    </xf>
    <xf numFmtId="10" fontId="50" fillId="0" borderId="42" xfId="0" applyNumberFormat="1" applyFont="1" applyFill="1" applyBorder="1" applyAlignment="1">
      <alignment horizontal="center" vertical="center"/>
    </xf>
    <xf numFmtId="10" fontId="50" fillId="0" borderId="8" xfId="0" applyNumberFormat="1" applyFont="1" applyFill="1" applyBorder="1" applyAlignment="1">
      <alignment horizontal="center" vertical="center"/>
    </xf>
    <xf numFmtId="10" fontId="50" fillId="0" borderId="41" xfId="0" applyNumberFormat="1" applyFont="1" applyFill="1" applyBorder="1" applyAlignment="1">
      <alignment horizontal="center" vertical="center"/>
    </xf>
    <xf numFmtId="10" fontId="50" fillId="0" borderId="11" xfId="0" applyNumberFormat="1" applyFont="1" applyFill="1" applyBorder="1" applyAlignment="1">
      <alignment horizontal="center" vertical="center"/>
    </xf>
    <xf numFmtId="10" fontId="50" fillId="0" borderId="12" xfId="0" applyNumberFormat="1" applyFont="1" applyFill="1" applyBorder="1" applyAlignment="1">
      <alignment horizontal="center" vertical="center"/>
    </xf>
    <xf numFmtId="10" fontId="50" fillId="0" borderId="43" xfId="0" applyNumberFormat="1" applyFont="1" applyFill="1" applyBorder="1" applyAlignment="1">
      <alignment horizontal="center" vertical="center"/>
    </xf>
    <xf numFmtId="10" fontId="50" fillId="0" borderId="13" xfId="0" applyNumberFormat="1" applyFont="1" applyFill="1" applyBorder="1" applyAlignment="1">
      <alignment horizontal="center" vertical="center"/>
    </xf>
    <xf numFmtId="0" fontId="37" fillId="0" borderId="107" xfId="0" applyFont="1" applyFill="1" applyBorder="1" applyAlignment="1">
      <alignment horizontal="left"/>
    </xf>
    <xf numFmtId="10" fontId="0" fillId="2" borderId="26" xfId="2" applyNumberFormat="1" applyFont="1" applyFill="1" applyBorder="1" applyAlignment="1">
      <alignment horizontal="center"/>
    </xf>
    <xf numFmtId="0" fontId="1" fillId="22" borderId="26" xfId="11" applyFont="1" applyFill="1" applyBorder="1" applyAlignment="1">
      <alignment horizontal="center"/>
    </xf>
    <xf numFmtId="10" fontId="38" fillId="0" borderId="145" xfId="2" applyNumberFormat="1" applyFont="1" applyFill="1" applyBorder="1" applyAlignment="1">
      <alignment horizontal="center" vertical="center"/>
    </xf>
    <xf numFmtId="10" fontId="38" fillId="0" borderId="146" xfId="2" applyNumberFormat="1" applyFont="1" applyFill="1" applyBorder="1" applyAlignment="1">
      <alignment horizontal="center" vertical="center"/>
    </xf>
    <xf numFmtId="10" fontId="38" fillId="0" borderId="104" xfId="0" applyNumberFormat="1" applyFont="1" applyFill="1" applyBorder="1" applyAlignment="1">
      <alignment horizontal="center" vertical="center"/>
    </xf>
    <xf numFmtId="10" fontId="38" fillId="0" borderId="104" xfId="0" applyNumberFormat="1" applyFont="1" applyFill="1" applyBorder="1" applyAlignment="1">
      <alignment horizontal="center"/>
    </xf>
    <xf numFmtId="10" fontId="38" fillId="0" borderId="105" xfId="0" applyNumberFormat="1" applyFont="1" applyFill="1" applyBorder="1" applyAlignment="1">
      <alignment horizontal="center"/>
    </xf>
    <xf numFmtId="10" fontId="37" fillId="0" borderId="105" xfId="0" applyNumberFormat="1" applyFont="1" applyFill="1" applyBorder="1" applyAlignment="1">
      <alignment horizontal="center"/>
    </xf>
    <xf numFmtId="10" fontId="38" fillId="0" borderId="144" xfId="0" applyNumberFormat="1" applyFont="1" applyFill="1" applyBorder="1" applyAlignment="1">
      <alignment horizontal="center" vertical="center"/>
    </xf>
    <xf numFmtId="10" fontId="38" fillId="0" borderId="114" xfId="0" applyNumberFormat="1" applyFont="1" applyFill="1" applyBorder="1" applyAlignment="1">
      <alignment horizontal="center" vertical="center"/>
    </xf>
    <xf numFmtId="10" fontId="52" fillId="0" borderId="109" xfId="0" applyNumberFormat="1" applyFont="1" applyFill="1" applyBorder="1" applyAlignment="1">
      <alignment horizontal="center" vertical="center"/>
    </xf>
    <xf numFmtId="0" fontId="1" fillId="0" borderId="26" xfId="0" applyFont="1" applyFill="1" applyBorder="1" applyAlignment="1">
      <alignment horizontal="center" vertical="center" wrapText="1"/>
    </xf>
    <xf numFmtId="4" fontId="0" fillId="0" borderId="0" xfId="0" applyNumberFormat="1"/>
    <xf numFmtId="0" fontId="6" fillId="5" borderId="26" xfId="13" applyFont="1" applyFill="1" applyBorder="1" applyAlignment="1">
      <alignment horizontal="center" vertical="center" wrapText="1"/>
    </xf>
    <xf numFmtId="0" fontId="6" fillId="5" borderId="27" xfId="13" applyFont="1" applyFill="1" applyBorder="1" applyAlignment="1">
      <alignment horizontal="center" vertical="center"/>
    </xf>
    <xf numFmtId="0" fontId="6" fillId="5" borderId="4" xfId="13" applyFont="1" applyFill="1" applyBorder="1" applyAlignment="1">
      <alignment horizontal="center" vertical="center" wrapText="1"/>
    </xf>
    <xf numFmtId="0" fontId="6" fillId="5" borderId="6" xfId="13" applyFont="1" applyFill="1" applyBorder="1" applyAlignment="1">
      <alignment horizontal="center" vertical="center" wrapText="1"/>
    </xf>
    <xf numFmtId="0" fontId="6" fillId="0" borderId="51" xfId="13" applyFont="1" applyFill="1" applyBorder="1" applyAlignment="1">
      <alignment vertical="center"/>
    </xf>
    <xf numFmtId="0" fontId="6" fillId="0" borderId="44" xfId="13" applyFont="1" applyFill="1" applyBorder="1" applyAlignment="1">
      <alignment vertical="center"/>
    </xf>
    <xf numFmtId="0" fontId="6" fillId="0" borderId="45" xfId="13" applyFont="1" applyFill="1" applyBorder="1" applyAlignment="1">
      <alignment vertical="center"/>
    </xf>
    <xf numFmtId="0" fontId="6" fillId="0" borderId="0" xfId="13" applyFont="1" applyFill="1" applyBorder="1" applyAlignment="1">
      <alignment vertical="center"/>
    </xf>
    <xf numFmtId="0" fontId="6" fillId="0" borderId="147" xfId="13" applyFont="1" applyFill="1" applyBorder="1" applyAlignment="1">
      <alignment vertical="center"/>
    </xf>
    <xf numFmtId="0" fontId="6" fillId="0" borderId="135" xfId="13" applyFont="1" applyFill="1" applyBorder="1" applyAlignment="1">
      <alignment vertical="center"/>
    </xf>
    <xf numFmtId="0" fontId="6" fillId="0" borderId="117" xfId="13" applyFont="1" applyFill="1" applyBorder="1" applyAlignment="1">
      <alignment vertical="center"/>
    </xf>
    <xf numFmtId="0" fontId="6" fillId="0" borderId="67" xfId="13" applyFont="1" applyFill="1" applyBorder="1" applyAlignment="1">
      <alignment vertical="center"/>
    </xf>
    <xf numFmtId="164" fontId="6" fillId="0" borderId="45" xfId="13" applyNumberFormat="1" applyFont="1" applyFill="1" applyBorder="1" applyAlignment="1">
      <alignment vertical="center"/>
    </xf>
    <xf numFmtId="164" fontId="6" fillId="0" borderId="117" xfId="13" applyNumberFormat="1" applyFont="1" applyFill="1" applyBorder="1" applyAlignment="1">
      <alignment vertical="center"/>
    </xf>
    <xf numFmtId="164" fontId="6" fillId="0" borderId="39" xfId="13" applyNumberFormat="1" applyFont="1" applyFill="1" applyBorder="1" applyAlignment="1">
      <alignment vertical="center"/>
    </xf>
    <xf numFmtId="0" fontId="6" fillId="0" borderId="114" xfId="13" applyFont="1" applyFill="1" applyBorder="1" applyAlignment="1">
      <alignment vertical="center"/>
    </xf>
    <xf numFmtId="0" fontId="6" fillId="3" borderId="0" xfId="13" applyFont="1" applyFill="1" applyAlignment="1">
      <alignment horizontal="center" vertical="center"/>
    </xf>
    <xf numFmtId="0" fontId="6" fillId="3" borderId="0" xfId="13" applyFont="1" applyFill="1" applyAlignment="1">
      <alignment vertical="center"/>
    </xf>
    <xf numFmtId="0" fontId="7" fillId="3" borderId="0" xfId="13" applyFont="1" applyFill="1" applyAlignment="1">
      <alignment horizontal="center" vertical="center"/>
    </xf>
    <xf numFmtId="0" fontId="7" fillId="3" borderId="0" xfId="13" applyFont="1" applyFill="1" applyAlignment="1">
      <alignment vertical="center"/>
    </xf>
    <xf numFmtId="164" fontId="6" fillId="5" borderId="49" xfId="13" applyNumberFormat="1" applyFont="1" applyFill="1" applyBorder="1" applyAlignment="1">
      <alignment horizontal="center"/>
    </xf>
    <xf numFmtId="164" fontId="6" fillId="5" borderId="50" xfId="13" applyNumberFormat="1" applyFont="1" applyFill="1" applyBorder="1" applyAlignment="1">
      <alignment horizontal="center"/>
    </xf>
    <xf numFmtId="164" fontId="6" fillId="5" borderId="51" xfId="13" applyNumberFormat="1" applyFont="1" applyFill="1" applyBorder="1" applyAlignment="1">
      <alignment horizontal="center"/>
    </xf>
    <xf numFmtId="0" fontId="6" fillId="3" borderId="0" xfId="13" applyFont="1" applyFill="1" applyBorder="1" applyAlignment="1">
      <alignment vertical="center"/>
    </xf>
    <xf numFmtId="164" fontId="6" fillId="0" borderId="51" xfId="13" applyNumberFormat="1" applyFont="1" applyFill="1" applyBorder="1"/>
    <xf numFmtId="164" fontId="6" fillId="0" borderId="45" xfId="13" applyNumberFormat="1" applyFont="1" applyFill="1" applyBorder="1"/>
    <xf numFmtId="164" fontId="6" fillId="0" borderId="39" xfId="13" applyNumberFormat="1" applyFont="1" applyFill="1" applyBorder="1"/>
    <xf numFmtId="173" fontId="6" fillId="3" borderId="0" xfId="13" applyNumberFormat="1" applyFont="1" applyFill="1" applyAlignment="1">
      <alignment vertical="center"/>
    </xf>
    <xf numFmtId="173" fontId="7" fillId="3" borderId="0" xfId="13" applyNumberFormat="1" applyFont="1" applyFill="1" applyAlignment="1">
      <alignment vertical="center"/>
    </xf>
    <xf numFmtId="164" fontId="6" fillId="5" borderId="26" xfId="13" applyNumberFormat="1" applyFont="1" applyFill="1" applyBorder="1" applyAlignment="1">
      <alignment horizontal="center"/>
    </xf>
    <xf numFmtId="164" fontId="6" fillId="5" borderId="27" xfId="13" applyNumberFormat="1" applyFont="1" applyFill="1" applyBorder="1" applyAlignment="1">
      <alignment horizontal="center"/>
    </xf>
    <xf numFmtId="173" fontId="6" fillId="5" borderId="26" xfId="13" applyNumberFormat="1" applyFont="1" applyFill="1" applyBorder="1" applyAlignment="1">
      <alignment horizontal="center"/>
    </xf>
    <xf numFmtId="10" fontId="0" fillId="0" borderId="0" xfId="0" applyNumberFormat="1"/>
    <xf numFmtId="43" fontId="0" fillId="0" borderId="0" xfId="1" applyFont="1"/>
    <xf numFmtId="164" fontId="10" fillId="3" borderId="0" xfId="13" applyNumberFormat="1" applyFont="1" applyFill="1" applyAlignment="1">
      <alignment vertical="top"/>
    </xf>
    <xf numFmtId="164" fontId="2" fillId="3" borderId="0" xfId="13" applyNumberFormat="1" applyFont="1" applyFill="1" applyAlignment="1">
      <alignment vertical="top"/>
    </xf>
    <xf numFmtId="0" fontId="2" fillId="3" borderId="0" xfId="13" applyFill="1"/>
    <xf numFmtId="164" fontId="6" fillId="3" borderId="0" xfId="13" applyNumberFormat="1" applyFont="1" applyFill="1" applyAlignment="1">
      <alignment vertical="top"/>
    </xf>
    <xf numFmtId="0" fontId="6" fillId="3" borderId="0" xfId="13" applyFont="1" applyFill="1" applyAlignment="1">
      <alignment horizontal="left" vertical="center"/>
    </xf>
    <xf numFmtId="164" fontId="6" fillId="3" borderId="0" xfId="13" applyNumberFormat="1" applyFont="1" applyFill="1" applyAlignment="1">
      <alignment vertical="center"/>
    </xf>
    <xf numFmtId="164" fontId="11" fillId="3" borderId="0" xfId="13" applyNumberFormat="1" applyFont="1" applyFill="1" applyAlignment="1" applyProtection="1">
      <alignment vertical="top"/>
    </xf>
    <xf numFmtId="164" fontId="9" fillId="3" borderId="0" xfId="13" applyNumberFormat="1" applyFont="1" applyFill="1" applyBorder="1" applyAlignment="1" applyProtection="1">
      <alignment horizontal="center" vertical="center" wrapText="1"/>
    </xf>
    <xf numFmtId="164" fontId="6" fillId="3" borderId="0" xfId="13" applyNumberFormat="1" applyFont="1" applyFill="1" applyAlignment="1" applyProtection="1">
      <alignment horizontal="center" vertical="top"/>
    </xf>
    <xf numFmtId="0" fontId="6" fillId="3" borderId="114" xfId="13" applyFont="1" applyFill="1" applyBorder="1" applyAlignment="1">
      <alignment horizontal="center" vertical="center"/>
    </xf>
    <xf numFmtId="164" fontId="62" fillId="3" borderId="114" xfId="13" applyNumberFormat="1" applyFont="1" applyFill="1" applyBorder="1" applyAlignment="1">
      <alignment horizontal="left" vertical="center" wrapText="1"/>
    </xf>
    <xf numFmtId="0" fontId="62" fillId="3" borderId="0" xfId="13" applyFont="1" applyFill="1" applyAlignment="1">
      <alignment vertical="center"/>
    </xf>
    <xf numFmtId="164" fontId="7" fillId="3" borderId="0" xfId="13" applyNumberFormat="1" applyFont="1" applyFill="1" applyAlignment="1" applyProtection="1">
      <alignment horizontal="center" vertical="top"/>
    </xf>
    <xf numFmtId="164" fontId="7" fillId="3" borderId="0" xfId="13" applyNumberFormat="1" applyFont="1" applyFill="1" applyAlignment="1">
      <alignment vertical="top"/>
    </xf>
    <xf numFmtId="166" fontId="6" fillId="0" borderId="49" xfId="8" applyNumberFormat="1" applyFont="1" applyFill="1" applyBorder="1" applyAlignment="1">
      <alignment vertical="center"/>
    </xf>
    <xf numFmtId="166" fontId="6" fillId="0" borderId="65" xfId="8" applyNumberFormat="1" applyFont="1" applyFill="1" applyBorder="1" applyAlignment="1">
      <alignment vertical="center"/>
    </xf>
    <xf numFmtId="166" fontId="6" fillId="0" borderId="30" xfId="8" applyNumberFormat="1" applyFont="1" applyFill="1" applyBorder="1" applyAlignment="1">
      <alignment vertical="center"/>
    </xf>
    <xf numFmtId="166" fontId="6" fillId="0" borderId="40" xfId="8" applyNumberFormat="1" applyFont="1" applyFill="1" applyBorder="1" applyAlignment="1">
      <alignment vertical="center"/>
    </xf>
    <xf numFmtId="166" fontId="6" fillId="0" borderId="148" xfId="8" applyNumberFormat="1" applyFont="1" applyFill="1" applyBorder="1" applyAlignment="1">
      <alignment vertical="center"/>
    </xf>
    <xf numFmtId="166" fontId="6" fillId="0" borderId="149" xfId="8" applyNumberFormat="1" applyFont="1" applyFill="1" applyBorder="1" applyAlignment="1">
      <alignment vertical="center"/>
    </xf>
    <xf numFmtId="166" fontId="6" fillId="0" borderId="41" xfId="8" applyNumberFormat="1" applyFont="1" applyFill="1" applyBorder="1" applyAlignment="1">
      <alignment vertical="center"/>
    </xf>
    <xf numFmtId="166" fontId="6" fillId="0" borderId="8" xfId="8" applyNumberFormat="1" applyFont="1" applyFill="1" applyBorder="1" applyAlignment="1">
      <alignment vertical="center"/>
    </xf>
    <xf numFmtId="166" fontId="6" fillId="0" borderId="126" xfId="8" applyNumberFormat="1" applyFont="1" applyFill="1" applyBorder="1" applyAlignment="1">
      <alignment vertical="center"/>
    </xf>
    <xf numFmtId="166" fontId="6" fillId="0" borderId="127" xfId="8" applyNumberFormat="1" applyFont="1" applyFill="1" applyBorder="1" applyAlignment="1">
      <alignment vertical="center"/>
    </xf>
    <xf numFmtId="166" fontId="6" fillId="0" borderId="150" xfId="8" applyNumberFormat="1" applyFont="1" applyFill="1" applyBorder="1" applyAlignment="1">
      <alignment vertical="center"/>
    </xf>
    <xf numFmtId="166" fontId="6" fillId="0" borderId="29" xfId="8" applyNumberFormat="1" applyFont="1" applyFill="1" applyBorder="1" applyAlignment="1">
      <alignment vertical="center"/>
    </xf>
    <xf numFmtId="166" fontId="6" fillId="0" borderId="115" xfId="8" applyNumberFormat="1" applyFont="1" applyFill="1" applyBorder="1" applyAlignment="1">
      <alignment vertical="center"/>
    </xf>
    <xf numFmtId="166" fontId="6" fillId="0" borderId="46" xfId="8" applyNumberFormat="1" applyFont="1" applyFill="1" applyBorder="1" applyAlignment="1">
      <alignment vertical="center"/>
    </xf>
    <xf numFmtId="164" fontId="6" fillId="0" borderId="114" xfId="13" applyNumberFormat="1" applyFont="1" applyFill="1" applyBorder="1" applyAlignment="1">
      <alignment vertical="center"/>
    </xf>
    <xf numFmtId="0" fontId="2" fillId="3" borderId="114" xfId="13" applyFill="1" applyBorder="1"/>
    <xf numFmtId="164" fontId="55" fillId="3" borderId="0" xfId="17" applyNumberFormat="1" applyFont="1" applyFill="1" applyBorder="1" applyAlignment="1" applyProtection="1">
      <alignment horizontal="center" vertical="center" wrapText="1"/>
    </xf>
    <xf numFmtId="166" fontId="6" fillId="0" borderId="51" xfId="8" applyNumberFormat="1" applyFont="1" applyFill="1" applyBorder="1" applyAlignment="1">
      <alignment horizontal="right" vertical="center"/>
    </xf>
    <xf numFmtId="166" fontId="6" fillId="0" borderId="45" xfId="8" applyNumberFormat="1" applyFont="1" applyFill="1" applyBorder="1" applyAlignment="1">
      <alignment horizontal="right" vertical="center"/>
    </xf>
    <xf numFmtId="166" fontId="6" fillId="0" borderId="39" xfId="8" applyNumberFormat="1" applyFont="1" applyFill="1" applyBorder="1" applyAlignment="1">
      <alignment horizontal="right" vertical="center"/>
    </xf>
    <xf numFmtId="164" fontId="6" fillId="0" borderId="114" xfId="13" applyNumberFormat="1" applyFont="1" applyFill="1" applyBorder="1"/>
    <xf numFmtId="173" fontId="6" fillId="0" borderId="114" xfId="13" applyNumberFormat="1" applyFont="1" applyFill="1" applyBorder="1" applyAlignment="1">
      <alignment horizontal="center" vertical="center"/>
    </xf>
    <xf numFmtId="0" fontId="6" fillId="3" borderId="114" xfId="13" applyFont="1" applyFill="1" applyBorder="1" applyAlignment="1">
      <alignment vertical="center"/>
    </xf>
    <xf numFmtId="164" fontId="6" fillId="3" borderId="0" xfId="9" applyNumberFormat="1" applyFont="1" applyFill="1" applyAlignment="1" applyProtection="1">
      <alignment vertical="top"/>
    </xf>
    <xf numFmtId="164" fontId="55" fillId="3" borderId="0" xfId="9" applyNumberFormat="1" applyFont="1" applyFill="1" applyAlignment="1">
      <alignment vertical="top"/>
    </xf>
    <xf numFmtId="164" fontId="6" fillId="3" borderId="0" xfId="13" applyNumberFormat="1" applyFont="1" applyFill="1" applyAlignment="1">
      <alignment horizontal="center" vertical="top"/>
    </xf>
    <xf numFmtId="164" fontId="6" fillId="3" borderId="0" xfId="13" applyNumberFormat="1" applyFont="1" applyFill="1" applyBorder="1" applyAlignment="1" applyProtection="1">
      <alignment horizontal="center" vertical="center" wrapText="1"/>
    </xf>
    <xf numFmtId="0" fontId="45" fillId="6" borderId="3" xfId="0" applyFont="1" applyFill="1" applyBorder="1" applyAlignment="1">
      <alignment horizontal="center" wrapText="1"/>
    </xf>
    <xf numFmtId="0" fontId="45" fillId="13" borderId="3" xfId="0" applyFont="1" applyFill="1" applyBorder="1" applyAlignment="1">
      <alignment horizontal="center" wrapText="1"/>
    </xf>
    <xf numFmtId="0" fontId="2" fillId="0" borderId="131" xfId="0" applyFont="1" applyBorder="1"/>
    <xf numFmtId="0" fontId="45" fillId="13" borderId="131" xfId="0" applyFont="1" applyFill="1" applyBorder="1" applyAlignment="1">
      <alignment horizontal="center" wrapText="1"/>
    </xf>
    <xf numFmtId="10" fontId="38" fillId="15" borderId="104" xfId="2" applyNumberFormat="1" applyFont="1" applyFill="1" applyBorder="1" applyAlignment="1">
      <alignment horizontal="center" vertical="center"/>
    </xf>
    <xf numFmtId="10" fontId="38" fillId="15" borderId="106" xfId="2" applyNumberFormat="1" applyFont="1" applyFill="1" applyBorder="1" applyAlignment="1">
      <alignment horizontal="center" vertical="center"/>
    </xf>
    <xf numFmtId="0" fontId="6" fillId="9" borderId="153" xfId="0" applyFont="1" applyFill="1" applyBorder="1" applyAlignment="1">
      <alignment vertical="center"/>
    </xf>
    <xf numFmtId="0" fontId="4" fillId="0" borderId="67" xfId="0" applyFont="1" applyBorder="1" applyAlignment="1">
      <alignment horizontal="right"/>
    </xf>
    <xf numFmtId="166" fontId="4" fillId="0" borderId="67" xfId="0" applyNumberFormat="1" applyFont="1" applyBorder="1"/>
    <xf numFmtId="174" fontId="4" fillId="0" borderId="67" xfId="1" applyNumberFormat="1" applyFont="1" applyBorder="1"/>
    <xf numFmtId="10" fontId="38" fillId="15" borderId="106" xfId="0" applyNumberFormat="1" applyFont="1" applyFill="1" applyBorder="1" applyAlignment="1">
      <alignment horizontal="center" vertical="center"/>
    </xf>
    <xf numFmtId="0" fontId="27" fillId="8" borderId="121" xfId="0" applyFont="1" applyFill="1" applyBorder="1" applyAlignment="1">
      <alignment horizontal="center" vertical="center" wrapText="1"/>
    </xf>
    <xf numFmtId="165" fontId="24" fillId="9" borderId="94" xfId="0" applyNumberFormat="1" applyFont="1" applyFill="1" applyBorder="1" applyAlignment="1">
      <alignment horizontal="center" vertical="center"/>
    </xf>
    <xf numFmtId="165" fontId="24" fillId="9" borderId="91" xfId="0" applyNumberFormat="1" applyFont="1" applyFill="1" applyBorder="1" applyAlignment="1">
      <alignment horizontal="center" vertical="center"/>
    </xf>
    <xf numFmtId="165" fontId="24" fillId="9" borderId="92" xfId="0" applyNumberFormat="1" applyFont="1" applyFill="1" applyBorder="1" applyAlignment="1">
      <alignment horizontal="center" vertical="center"/>
    </xf>
    <xf numFmtId="10" fontId="38" fillId="15" borderId="111" xfId="0" applyNumberFormat="1" applyFont="1" applyFill="1" applyBorder="1" applyAlignment="1">
      <alignment horizontal="center" vertical="center"/>
    </xf>
    <xf numFmtId="0" fontId="38" fillId="0" borderId="112" xfId="0" applyFont="1" applyFill="1" applyBorder="1" applyAlignment="1">
      <alignment horizontal="center" vertical="center"/>
    </xf>
    <xf numFmtId="164" fontId="24" fillId="9" borderId="92" xfId="0" applyNumberFormat="1" applyFont="1" applyFill="1" applyBorder="1" applyAlignment="1">
      <alignment vertical="center"/>
    </xf>
    <xf numFmtId="0" fontId="21" fillId="0" borderId="0" xfId="0" applyFont="1" applyFill="1"/>
    <xf numFmtId="0" fontId="19" fillId="0" borderId="0" xfId="0" applyFont="1" applyFill="1"/>
    <xf numFmtId="0" fontId="36" fillId="0" borderId="0" xfId="0" applyFont="1" applyFill="1" applyAlignment="1"/>
    <xf numFmtId="0" fontId="22" fillId="0" borderId="14" xfId="0" applyFont="1" applyFill="1" applyBorder="1" applyAlignment="1">
      <alignment vertical="center"/>
    </xf>
    <xf numFmtId="0" fontId="6" fillId="0" borderId="14" xfId="0" applyFont="1" applyFill="1" applyBorder="1" applyAlignment="1">
      <alignment vertical="center"/>
    </xf>
    <xf numFmtId="0" fontId="2" fillId="0" borderId="0" xfId="0" applyFont="1" applyFill="1"/>
    <xf numFmtId="164" fontId="55" fillId="0" borderId="0" xfId="9" applyNumberFormat="1" applyFont="1" applyFill="1" applyAlignment="1" applyProtection="1">
      <alignment vertical="top"/>
    </xf>
    <xf numFmtId="164" fontId="59" fillId="0" borderId="0" xfId="0" applyNumberFormat="1" applyFont="1" applyFill="1"/>
    <xf numFmtId="164" fontId="58" fillId="0" borderId="0" xfId="0" applyNumberFormat="1" applyFont="1" applyFill="1"/>
    <xf numFmtId="0" fontId="0" fillId="0" borderId="0" xfId="0" applyFill="1" applyBorder="1" applyAlignment="1">
      <alignment horizontal="center"/>
    </xf>
    <xf numFmtId="44" fontId="2" fillId="0" borderId="3" xfId="16" applyFont="1" applyBorder="1"/>
    <xf numFmtId="44" fontId="2" fillId="0" borderId="131" xfId="16" applyFont="1" applyBorder="1"/>
    <xf numFmtId="0" fontId="67" fillId="0" borderId="0" xfId="0" applyFont="1" applyFill="1" applyAlignment="1">
      <alignment horizontal="center" vertical="center"/>
    </xf>
    <xf numFmtId="164" fontId="68" fillId="0" borderId="0" xfId="0" applyNumberFormat="1" applyFont="1" applyFill="1" applyAlignment="1">
      <alignment horizontal="center" vertical="center"/>
    </xf>
    <xf numFmtId="164" fontId="39" fillId="8" borderId="26" xfId="0" applyNumberFormat="1" applyFont="1" applyFill="1" applyBorder="1" applyAlignment="1">
      <alignment horizontal="center" vertical="center" wrapText="1"/>
    </xf>
    <xf numFmtId="0" fontId="67" fillId="0" borderId="0" xfId="0" applyFont="1" applyFill="1" applyAlignment="1">
      <alignment horizontal="center" vertical="center" wrapText="1"/>
    </xf>
    <xf numFmtId="44" fontId="6" fillId="3" borderId="0" xfId="16" applyFont="1" applyFill="1" applyBorder="1" applyAlignment="1">
      <alignment vertical="center"/>
    </xf>
    <xf numFmtId="0" fontId="70" fillId="0" borderId="0" xfId="0" applyFont="1"/>
    <xf numFmtId="0" fontId="71" fillId="3" borderId="0" xfId="0" applyFont="1" applyFill="1" applyBorder="1" applyAlignment="1">
      <alignment vertical="center"/>
    </xf>
    <xf numFmtId="0" fontId="6" fillId="5" borderId="49" xfId="0" applyFont="1" applyFill="1" applyBorder="1" applyAlignment="1">
      <alignment horizontal="center" vertical="center" wrapText="1"/>
    </xf>
    <xf numFmtId="0" fontId="6" fillId="5" borderId="50" xfId="0" applyFont="1" applyFill="1" applyBorder="1" applyAlignment="1">
      <alignment horizontal="center" vertical="center"/>
    </xf>
    <xf numFmtId="0" fontId="6" fillId="5" borderId="50" xfId="0" applyFont="1" applyFill="1" applyBorder="1" applyAlignment="1">
      <alignment horizontal="center" vertical="center" wrapText="1"/>
    </xf>
    <xf numFmtId="0" fontId="6" fillId="0" borderId="90" xfId="0" applyFont="1" applyFill="1" applyBorder="1" applyAlignment="1">
      <alignment vertical="center"/>
    </xf>
    <xf numFmtId="0" fontId="6" fillId="0" borderId="91" xfId="0" applyFont="1" applyFill="1" applyBorder="1" applyAlignment="1">
      <alignment vertical="center"/>
    </xf>
    <xf numFmtId="0" fontId="2" fillId="3" borderId="44" xfId="0" applyFont="1" applyFill="1" applyBorder="1"/>
    <xf numFmtId="0" fontId="6" fillId="5" borderId="31" xfId="0" applyFont="1" applyFill="1" applyBorder="1" applyAlignment="1">
      <alignment horizontal="center" vertical="center" wrapText="1"/>
    </xf>
    <xf numFmtId="0" fontId="0" fillId="2" borderId="44" xfId="0" applyFill="1" applyBorder="1"/>
    <xf numFmtId="0" fontId="0" fillId="2" borderId="100" xfId="0" applyFill="1" applyBorder="1"/>
    <xf numFmtId="0" fontId="0" fillId="2" borderId="0" xfId="0" applyFill="1" applyBorder="1"/>
    <xf numFmtId="0" fontId="0" fillId="2" borderId="47" xfId="0" applyFill="1" applyBorder="1"/>
    <xf numFmtId="0" fontId="0" fillId="2" borderId="114" xfId="0" applyFill="1" applyBorder="1"/>
    <xf numFmtId="0" fontId="6" fillId="5" borderId="29" xfId="0" applyFont="1" applyFill="1" applyBorder="1" applyAlignment="1">
      <alignment horizontal="center" vertical="center" wrapText="1"/>
    </xf>
    <xf numFmtId="0" fontId="6" fillId="5" borderId="51" xfId="0" applyFont="1" applyFill="1" applyBorder="1" applyAlignment="1">
      <alignment horizontal="center" vertical="center" wrapText="1"/>
    </xf>
    <xf numFmtId="0" fontId="6" fillId="0" borderId="159" xfId="0" applyFont="1" applyFill="1" applyBorder="1" applyAlignment="1">
      <alignment vertical="center"/>
    </xf>
    <xf numFmtId="0" fontId="6" fillId="0" borderId="54" xfId="0" applyFont="1" applyFill="1" applyBorder="1" applyAlignment="1">
      <alignment vertical="center"/>
    </xf>
    <xf numFmtId="0" fontId="6" fillId="0" borderId="54" xfId="0" applyFont="1" applyFill="1" applyBorder="1" applyAlignment="1">
      <alignment vertical="center" wrapText="1"/>
    </xf>
    <xf numFmtId="0" fontId="6" fillId="5" borderId="99" xfId="0" applyFont="1" applyFill="1" applyBorder="1" applyAlignment="1">
      <alignment horizontal="center" vertical="center" wrapText="1"/>
    </xf>
    <xf numFmtId="0" fontId="6" fillId="5" borderId="65" xfId="0" applyFont="1" applyFill="1" applyBorder="1" applyAlignment="1">
      <alignment horizontal="center" vertical="center" wrapText="1"/>
    </xf>
    <xf numFmtId="0" fontId="7" fillId="2" borderId="99" xfId="0" applyFont="1" applyFill="1" applyBorder="1" applyAlignment="1">
      <alignment horizontal="center" vertical="center"/>
    </xf>
    <xf numFmtId="0" fontId="71" fillId="2" borderId="44" xfId="0" applyFont="1" applyFill="1" applyBorder="1" applyAlignment="1">
      <alignment vertical="center"/>
    </xf>
    <xf numFmtId="0" fontId="7" fillId="2" borderId="44" xfId="0" applyFont="1" applyFill="1" applyBorder="1" applyAlignment="1">
      <alignment vertical="center"/>
    </xf>
    <xf numFmtId="164" fontId="9" fillId="2" borderId="44" xfId="0" applyNumberFormat="1" applyFont="1" applyFill="1" applyBorder="1" applyAlignment="1" applyProtection="1">
      <alignment horizontal="center" vertical="center" wrapText="1"/>
    </xf>
    <xf numFmtId="0" fontId="71" fillId="2" borderId="0" xfId="0" applyFont="1" applyFill="1" applyBorder="1" applyAlignment="1">
      <alignment vertical="center"/>
    </xf>
    <xf numFmtId="0" fontId="7" fillId="2" borderId="0" xfId="0" applyFont="1" applyFill="1" applyBorder="1" applyAlignment="1">
      <alignment vertical="center"/>
    </xf>
    <xf numFmtId="0" fontId="70" fillId="2" borderId="0" xfId="0" applyFont="1" applyFill="1" applyBorder="1"/>
    <xf numFmtId="0" fontId="6" fillId="2" borderId="115" xfId="0" applyFont="1" applyFill="1" applyBorder="1" applyAlignment="1">
      <alignment horizontal="center" vertical="center"/>
    </xf>
    <xf numFmtId="0" fontId="6" fillId="2" borderId="114" xfId="0" applyFont="1" applyFill="1" applyBorder="1" applyAlignment="1">
      <alignment vertical="center"/>
    </xf>
    <xf numFmtId="0" fontId="6" fillId="2" borderId="114" xfId="0" applyFont="1" applyFill="1" applyBorder="1" applyAlignment="1">
      <alignment horizontal="center" vertical="center"/>
    </xf>
    <xf numFmtId="0" fontId="7" fillId="5" borderId="99" xfId="0" applyFont="1" applyFill="1" applyBorder="1" applyAlignment="1">
      <alignment horizontal="center" vertical="center" wrapText="1"/>
    </xf>
    <xf numFmtId="0" fontId="7" fillId="5" borderId="40" xfId="0" applyFont="1" applyFill="1" applyBorder="1" applyAlignment="1">
      <alignment horizontal="center" vertical="center" wrapText="1"/>
    </xf>
    <xf numFmtId="0" fontId="6" fillId="3" borderId="44" xfId="0" applyFont="1" applyFill="1" applyBorder="1" applyAlignment="1">
      <alignment horizontal="center" vertical="center"/>
    </xf>
    <xf numFmtId="0" fontId="6" fillId="3" borderId="44" xfId="0" applyFont="1" applyFill="1" applyBorder="1" applyAlignment="1">
      <alignment vertical="center"/>
    </xf>
    <xf numFmtId="44" fontId="6" fillId="3" borderId="44" xfId="16" applyFont="1" applyFill="1" applyBorder="1" applyAlignment="1">
      <alignment vertical="center"/>
    </xf>
    <xf numFmtId="0" fontId="6" fillId="2" borderId="99" xfId="0" applyFont="1" applyFill="1" applyBorder="1" applyAlignment="1">
      <alignment horizontal="center" vertical="center"/>
    </xf>
    <xf numFmtId="0" fontId="6" fillId="2" borderId="44" xfId="0" applyFont="1" applyFill="1" applyBorder="1" applyAlignment="1">
      <alignment vertical="center"/>
    </xf>
    <xf numFmtId="0" fontId="6" fillId="2" borderId="44" xfId="0" applyFont="1" applyFill="1" applyBorder="1" applyAlignment="1">
      <alignment horizontal="center" vertical="center"/>
    </xf>
    <xf numFmtId="164" fontId="7" fillId="2" borderId="29" xfId="0" applyNumberFormat="1" applyFont="1" applyFill="1" applyBorder="1" applyAlignment="1" applyProtection="1">
      <alignment horizontal="center" vertical="center"/>
    </xf>
    <xf numFmtId="3" fontId="2" fillId="3" borderId="0" xfId="0" applyNumberFormat="1" applyFont="1" applyFill="1" applyBorder="1"/>
    <xf numFmtId="0" fontId="6" fillId="0" borderId="49" xfId="0" applyFont="1" applyFill="1" applyBorder="1" applyAlignment="1">
      <alignment vertical="center"/>
    </xf>
    <xf numFmtId="0" fontId="6" fillId="0" borderId="126" xfId="0" applyFont="1" applyFill="1" applyBorder="1" applyAlignment="1">
      <alignment vertical="center"/>
    </xf>
    <xf numFmtId="0" fontId="6" fillId="0" borderId="34" xfId="0" applyFont="1" applyFill="1" applyBorder="1" applyAlignment="1">
      <alignment vertical="center"/>
    </xf>
    <xf numFmtId="164" fontId="6" fillId="0" borderId="41" xfId="0" applyNumberFormat="1" applyFont="1" applyFill="1" applyBorder="1"/>
    <xf numFmtId="164" fontId="6" fillId="0" borderId="42" xfId="0" applyNumberFormat="1" applyFont="1" applyFill="1" applyBorder="1"/>
    <xf numFmtId="164" fontId="7" fillId="0" borderId="117" xfId="0" applyNumberFormat="1" applyFont="1" applyFill="1" applyBorder="1" applyAlignment="1">
      <alignment horizontal="right"/>
    </xf>
    <xf numFmtId="164" fontId="6" fillId="0" borderId="120" xfId="0" applyNumberFormat="1" applyFont="1" applyFill="1" applyBorder="1"/>
    <xf numFmtId="164" fontId="7" fillId="0" borderId="39" xfId="0" applyNumberFormat="1" applyFont="1" applyFill="1" applyBorder="1" applyAlignment="1">
      <alignment horizontal="right"/>
    </xf>
    <xf numFmtId="0" fontId="2" fillId="3" borderId="114" xfId="0" applyFont="1" applyFill="1" applyBorder="1"/>
    <xf numFmtId="0" fontId="2" fillId="3" borderId="115" xfId="0" applyFont="1" applyFill="1" applyBorder="1"/>
    <xf numFmtId="0" fontId="2" fillId="3" borderId="118" xfId="0" applyFont="1" applyFill="1" applyBorder="1"/>
    <xf numFmtId="0" fontId="67" fillId="0" borderId="0" xfId="0" applyFont="1" applyAlignment="1">
      <alignment horizontal="center" vertical="center"/>
    </xf>
    <xf numFmtId="0" fontId="24" fillId="9" borderId="92" xfId="0" applyFont="1" applyFill="1" applyBorder="1" applyAlignment="1">
      <alignment vertical="center"/>
    </xf>
    <xf numFmtId="0" fontId="24" fillId="9" borderId="66" xfId="0" applyFont="1" applyFill="1" applyBorder="1" applyAlignment="1">
      <alignment vertical="center"/>
    </xf>
    <xf numFmtId="0" fontId="24" fillId="9" borderId="159" xfId="0" applyFont="1" applyFill="1" applyBorder="1" applyAlignment="1">
      <alignment vertical="center"/>
    </xf>
    <xf numFmtId="164" fontId="55" fillId="3" borderId="115" xfId="9" applyNumberFormat="1" applyFont="1" applyFill="1" applyBorder="1" applyAlignment="1" applyProtection="1">
      <alignment horizontal="center" vertical="top"/>
    </xf>
    <xf numFmtId="164" fontId="7" fillId="2" borderId="0" xfId="0" applyNumberFormat="1" applyFont="1" applyFill="1" applyAlignment="1">
      <alignment horizontal="center"/>
    </xf>
    <xf numFmtId="164" fontId="7" fillId="3" borderId="0" xfId="0" applyNumberFormat="1" applyFont="1" applyFill="1"/>
    <xf numFmtId="164" fontId="6" fillId="5" borderId="4" xfId="0" applyNumberFormat="1" applyFont="1" applyFill="1" applyBorder="1" applyAlignment="1">
      <alignment horizontal="center" vertical="center" wrapText="1"/>
    </xf>
    <xf numFmtId="164" fontId="6" fillId="5" borderId="28" xfId="0" applyNumberFormat="1" applyFont="1" applyFill="1" applyBorder="1" applyAlignment="1">
      <alignment horizontal="center" vertical="center" wrapText="1"/>
    </xf>
    <xf numFmtId="0" fontId="6" fillId="2" borderId="0" xfId="0" applyFont="1" applyFill="1" applyAlignment="1">
      <alignment vertical="center"/>
    </xf>
    <xf numFmtId="164" fontId="6" fillId="0" borderId="129" xfId="0" applyNumberFormat="1" applyFont="1" applyBorder="1"/>
    <xf numFmtId="164" fontId="6" fillId="0" borderId="168" xfId="0" applyNumberFormat="1" applyFont="1" applyBorder="1"/>
    <xf numFmtId="3" fontId="70" fillId="0" borderId="116" xfId="0" applyNumberFormat="1" applyFont="1" applyBorder="1"/>
    <xf numFmtId="164" fontId="6" fillId="0" borderId="11" xfId="0" applyNumberFormat="1" applyFont="1" applyBorder="1"/>
    <xf numFmtId="164" fontId="6" fillId="0" borderId="43" xfId="0" applyNumberFormat="1" applyFont="1" applyBorder="1"/>
    <xf numFmtId="3" fontId="70" fillId="0" borderId="39" xfId="0" applyNumberFormat="1" applyFont="1" applyBorder="1"/>
    <xf numFmtId="164" fontId="54" fillId="3" borderId="0" xfId="9" applyNumberFormat="1" applyFill="1" applyAlignment="1">
      <alignment vertical="top"/>
    </xf>
    <xf numFmtId="0" fontId="6" fillId="3" borderId="0" xfId="13" applyFont="1" applyFill="1" applyBorder="1" applyAlignment="1">
      <alignment horizontal="center" vertical="center"/>
    </xf>
    <xf numFmtId="0" fontId="54" fillId="16" borderId="9" xfId="9" applyFill="1" applyBorder="1" applyAlignment="1">
      <alignment vertical="top"/>
    </xf>
    <xf numFmtId="0" fontId="2" fillId="0" borderId="9" xfId="4" applyFont="1" applyBorder="1" applyAlignment="1">
      <alignment horizontal="left"/>
    </xf>
    <xf numFmtId="0" fontId="2" fillId="0" borderId="10" xfId="4" applyFont="1" applyBorder="1" applyAlignment="1">
      <alignment horizontal="left" vertical="top"/>
    </xf>
    <xf numFmtId="0" fontId="54" fillId="16" borderId="131" xfId="9" applyFill="1" applyBorder="1" applyAlignment="1">
      <alignment vertical="top"/>
    </xf>
    <xf numFmtId="0" fontId="2" fillId="0" borderId="131" xfId="4" applyBorder="1" applyAlignment="1">
      <alignment vertical="top" wrapText="1"/>
    </xf>
    <xf numFmtId="0" fontId="2" fillId="0" borderId="127" xfId="4" applyFont="1" applyBorder="1" applyAlignment="1">
      <alignment horizontal="left" vertical="top"/>
    </xf>
    <xf numFmtId="0" fontId="54" fillId="17" borderId="131" xfId="9" applyFill="1" applyBorder="1" applyAlignment="1">
      <alignment vertical="top"/>
    </xf>
    <xf numFmtId="0" fontId="54" fillId="18" borderId="131" xfId="9" applyFill="1" applyBorder="1"/>
    <xf numFmtId="0" fontId="54" fillId="18" borderId="131" xfId="9" quotePrefix="1" applyFill="1" applyBorder="1" applyAlignment="1">
      <alignment vertical="top"/>
    </xf>
    <xf numFmtId="0" fontId="2" fillId="0" borderId="131" xfId="4" applyBorder="1" applyAlignment="1">
      <alignment vertical="top"/>
    </xf>
    <xf numFmtId="0" fontId="54" fillId="18" borderId="131" xfId="9" applyFill="1" applyBorder="1" applyAlignment="1">
      <alignment vertical="top"/>
    </xf>
    <xf numFmtId="0" fontId="53" fillId="0" borderId="127" xfId="0" applyFont="1" applyBorder="1" applyAlignment="1">
      <alignment horizontal="left" vertical="top"/>
    </xf>
    <xf numFmtId="0" fontId="54" fillId="19" borderId="131" xfId="9" applyFill="1" applyBorder="1" applyAlignment="1">
      <alignment vertical="top"/>
    </xf>
    <xf numFmtId="0" fontId="2" fillId="0" borderId="127" xfId="4" applyFont="1" applyBorder="1" applyAlignment="1">
      <alignment horizontal="left" vertical="top" wrapText="1"/>
    </xf>
    <xf numFmtId="0" fontId="2" fillId="0" borderId="11" xfId="4" applyBorder="1" applyAlignment="1">
      <alignment horizontal="center" vertical="center" wrapText="1"/>
    </xf>
    <xf numFmtId="0" fontId="54" fillId="20" borderId="12" xfId="9" applyFill="1" applyBorder="1" applyAlignment="1">
      <alignment vertical="top"/>
    </xf>
    <xf numFmtId="0" fontId="2" fillId="0" borderId="12" xfId="4" applyBorder="1" applyAlignment="1">
      <alignment vertical="top" wrapText="1"/>
    </xf>
    <xf numFmtId="0" fontId="2" fillId="0" borderId="13" xfId="4" applyFont="1" applyBorder="1" applyAlignment="1">
      <alignment horizontal="left" vertical="top"/>
    </xf>
    <xf numFmtId="0" fontId="2" fillId="0" borderId="170" xfId="0" applyFont="1" applyBorder="1" applyAlignment="1">
      <alignment vertical="top" wrapText="1"/>
    </xf>
    <xf numFmtId="43" fontId="7" fillId="6" borderId="47" xfId="1" applyFont="1" applyFill="1" applyBorder="1" applyAlignment="1">
      <alignment horizontal="center" vertical="center"/>
    </xf>
    <xf numFmtId="43" fontId="7" fillId="6" borderId="119" xfId="1" applyFont="1" applyFill="1" applyBorder="1" applyAlignment="1">
      <alignment horizontal="center" vertical="center"/>
    </xf>
    <xf numFmtId="43" fontId="7" fillId="25" borderId="47" xfId="1" applyFont="1" applyFill="1" applyBorder="1" applyAlignment="1">
      <alignment horizontal="center" vertical="center"/>
    </xf>
    <xf numFmtId="43" fontId="7" fillId="25" borderId="119" xfId="1" applyFont="1" applyFill="1" applyBorder="1" applyAlignment="1">
      <alignment horizontal="center" vertical="center"/>
    </xf>
    <xf numFmtId="43" fontId="7" fillId="0" borderId="39" xfId="1" quotePrefix="1" applyFont="1" applyFill="1" applyBorder="1" applyAlignment="1">
      <alignment horizontal="right"/>
    </xf>
    <xf numFmtId="43" fontId="7" fillId="0" borderId="45" xfId="1" quotePrefix="1" applyFont="1" applyFill="1" applyBorder="1" applyAlignment="1">
      <alignment horizontal="right"/>
    </xf>
    <xf numFmtId="166" fontId="20" fillId="0" borderId="0" xfId="0" applyNumberFormat="1" applyFont="1"/>
    <xf numFmtId="166" fontId="0" fillId="0" borderId="0" xfId="0" applyNumberFormat="1"/>
    <xf numFmtId="3" fontId="1" fillId="0" borderId="0" xfId="0" applyNumberFormat="1" applyFont="1"/>
    <xf numFmtId="166" fontId="1" fillId="0" borderId="0" xfId="0" applyNumberFormat="1" applyFont="1"/>
    <xf numFmtId="166" fontId="1" fillId="0" borderId="0" xfId="1" applyNumberFormat="1" applyFont="1"/>
    <xf numFmtId="3" fontId="2" fillId="0" borderId="0" xfId="0" applyNumberFormat="1" applyFont="1"/>
    <xf numFmtId="0" fontId="75" fillId="0" borderId="0" xfId="0" applyFont="1" applyAlignment="1">
      <alignment vertical="center"/>
    </xf>
    <xf numFmtId="0" fontId="76" fillId="0" borderId="0" xfId="0" applyFont="1" applyAlignment="1">
      <alignment vertical="center"/>
    </xf>
    <xf numFmtId="0" fontId="1" fillId="12" borderId="131" xfId="0" applyFont="1" applyFill="1" applyBorder="1"/>
    <xf numFmtId="0" fontId="0" fillId="12" borderId="131" xfId="0" applyFill="1" applyBorder="1"/>
    <xf numFmtId="166" fontId="0" fillId="12" borderId="131" xfId="1" applyNumberFormat="1" applyFont="1" applyFill="1" applyBorder="1"/>
    <xf numFmtId="43" fontId="0" fillId="12" borderId="131" xfId="1" applyFont="1" applyFill="1" applyBorder="1"/>
    <xf numFmtId="168" fontId="45" fillId="13" borderId="3" xfId="2" applyNumberFormat="1" applyFont="1" applyFill="1" applyBorder="1" applyAlignment="1">
      <alignment horizontal="center" vertical="center" wrapText="1"/>
    </xf>
    <xf numFmtId="0" fontId="0" fillId="0" borderId="0" xfId="0" quotePrefix="1"/>
    <xf numFmtId="0" fontId="6" fillId="0" borderId="130" xfId="0" applyFont="1" applyFill="1" applyBorder="1" applyAlignment="1">
      <alignment vertical="center"/>
    </xf>
    <xf numFmtId="164" fontId="24" fillId="9" borderId="130" xfId="0" applyNumberFormat="1" applyFont="1" applyFill="1" applyBorder="1" applyAlignment="1">
      <alignment vertical="center"/>
    </xf>
    <xf numFmtId="0" fontId="6" fillId="0" borderId="92" xfId="0" applyFont="1" applyFill="1" applyBorder="1" applyAlignment="1">
      <alignment vertical="center"/>
    </xf>
    <xf numFmtId="0" fontId="6" fillId="0" borderId="66" xfId="0" applyFont="1" applyFill="1" applyBorder="1" applyAlignment="1">
      <alignment vertical="center"/>
    </xf>
    <xf numFmtId="0" fontId="6" fillId="0" borderId="115" xfId="0" applyFont="1" applyFill="1" applyBorder="1" applyAlignment="1">
      <alignment vertical="center"/>
    </xf>
    <xf numFmtId="166" fontId="4" fillId="0" borderId="0" xfId="0" applyNumberFormat="1" applyFont="1"/>
    <xf numFmtId="43" fontId="4" fillId="0" borderId="0" xfId="0" applyNumberFormat="1" applyFont="1"/>
    <xf numFmtId="164" fontId="6" fillId="5" borderId="26" xfId="0" applyNumberFormat="1"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xf numFmtId="0" fontId="78" fillId="0" borderId="99" xfId="0" applyFont="1" applyBorder="1" applyAlignment="1">
      <alignment horizontal="center" vertical="center"/>
    </xf>
    <xf numFmtId="0" fontId="78" fillId="0" borderId="44" xfId="0" applyFont="1" applyBorder="1" applyAlignment="1">
      <alignment horizontal="center" vertical="center"/>
    </xf>
    <xf numFmtId="0" fontId="78" fillId="0" borderId="100" xfId="0" applyFont="1" applyBorder="1" applyAlignment="1">
      <alignment horizontal="center" vertical="center"/>
    </xf>
    <xf numFmtId="175" fontId="35" fillId="0" borderId="115" xfId="0" applyNumberFormat="1" applyFont="1" applyFill="1" applyBorder="1" applyAlignment="1">
      <alignment horizontal="center" vertical="center"/>
    </xf>
    <xf numFmtId="175" fontId="35" fillId="0" borderId="114" xfId="0" applyNumberFormat="1" applyFont="1" applyFill="1" applyBorder="1" applyAlignment="1">
      <alignment horizontal="center" vertical="center"/>
    </xf>
    <xf numFmtId="175" fontId="35" fillId="0" borderId="118" xfId="0" applyNumberFormat="1" applyFont="1" applyFill="1" applyBorder="1" applyAlignment="1">
      <alignment horizontal="center" vertical="center"/>
    </xf>
    <xf numFmtId="175" fontId="35" fillId="0" borderId="0" xfId="0" applyNumberFormat="1" applyFont="1" applyFill="1" applyBorder="1" applyAlignment="1">
      <alignment horizontal="center" vertical="center"/>
    </xf>
    <xf numFmtId="164" fontId="6" fillId="0" borderId="114" xfId="0" applyNumberFormat="1" applyFont="1" applyFill="1" applyBorder="1" applyAlignment="1">
      <alignment horizontal="center" vertical="center" wrapText="1"/>
    </xf>
    <xf numFmtId="44" fontId="7" fillId="5" borderId="26" xfId="16" applyFont="1" applyFill="1" applyBorder="1" applyAlignment="1">
      <alignment horizontal="center" vertical="center" wrapText="1"/>
    </xf>
    <xf numFmtId="0" fontId="6" fillId="5" borderId="0" xfId="0" applyFont="1" applyFill="1" applyBorder="1" applyAlignment="1">
      <alignment horizontal="center" vertical="center" wrapText="1"/>
    </xf>
    <xf numFmtId="0" fontId="79" fillId="0" borderId="0" xfId="0" applyFont="1"/>
    <xf numFmtId="0" fontId="50" fillId="0" borderId="0" xfId="0" applyFont="1" applyAlignment="1"/>
    <xf numFmtId="0" fontId="50" fillId="0" borderId="0" xfId="0" applyFont="1"/>
    <xf numFmtId="0" fontId="49" fillId="14" borderId="131" xfId="0" applyFont="1" applyFill="1" applyBorder="1" applyAlignment="1">
      <alignment vertical="center" wrapText="1"/>
    </xf>
    <xf numFmtId="164" fontId="65" fillId="0" borderId="131" xfId="0" applyNumberFormat="1" applyFont="1" applyFill="1" applyBorder="1" applyAlignment="1">
      <alignment horizontal="center" vertical="center" wrapText="1"/>
    </xf>
    <xf numFmtId="176" fontId="38" fillId="0" borderId="7" xfId="0" applyNumberFormat="1" applyFont="1" applyBorder="1" applyAlignment="1">
      <alignment vertical="top" wrapText="1"/>
    </xf>
    <xf numFmtId="0" fontId="38" fillId="0" borderId="0" xfId="0" applyFont="1" applyAlignment="1">
      <alignment vertical="top"/>
    </xf>
    <xf numFmtId="0" fontId="38" fillId="0" borderId="131" xfId="0" applyFont="1" applyBorder="1" applyAlignment="1">
      <alignment vertical="top" wrapText="1"/>
    </xf>
    <xf numFmtId="0" fontId="0" fillId="26" borderId="131" xfId="0" applyFont="1" applyFill="1" applyBorder="1" applyAlignment="1">
      <alignment vertical="top"/>
    </xf>
    <xf numFmtId="0" fontId="0" fillId="26" borderId="131" xfId="0" applyFont="1" applyFill="1" applyBorder="1" applyAlignment="1">
      <alignment vertical="top" wrapText="1"/>
    </xf>
    <xf numFmtId="176" fontId="38" fillId="0" borderId="131" xfId="0" applyNumberFormat="1" applyFont="1" applyBorder="1" applyAlignment="1">
      <alignment vertical="top"/>
    </xf>
    <xf numFmtId="176" fontId="38" fillId="0" borderId="7" xfId="0" applyNumberFormat="1" applyFont="1" applyBorder="1" applyAlignment="1">
      <alignment vertical="top"/>
    </xf>
    <xf numFmtId="176" fontId="38" fillId="0" borderId="137" xfId="0" applyNumberFormat="1" applyFont="1" applyFill="1" applyBorder="1"/>
    <xf numFmtId="164" fontId="6" fillId="3" borderId="0" xfId="0" applyNumberFormat="1" applyFont="1" applyFill="1" applyBorder="1" applyAlignment="1" applyProtection="1">
      <alignment horizontal="center" vertical="top"/>
    </xf>
    <xf numFmtId="164" fontId="6" fillId="3" borderId="0" xfId="0" applyNumberFormat="1" applyFont="1" applyFill="1" applyBorder="1" applyAlignment="1">
      <alignment vertical="top"/>
    </xf>
    <xf numFmtId="0" fontId="6" fillId="5" borderId="24" xfId="0" applyFont="1" applyFill="1" applyBorder="1" applyAlignment="1">
      <alignment horizontal="center" vertical="center" wrapText="1"/>
    </xf>
    <xf numFmtId="3" fontId="7" fillId="0" borderId="49" xfId="0" applyNumberFormat="1" applyFont="1" applyFill="1" applyBorder="1" applyAlignment="1">
      <alignment horizontal="center" vertical="center"/>
    </xf>
    <xf numFmtId="3" fontId="7" fillId="0" borderId="65" xfId="0" applyNumberFormat="1" applyFont="1" applyFill="1" applyBorder="1" applyAlignment="1">
      <alignment horizontal="center" vertical="center"/>
    </xf>
    <xf numFmtId="1" fontId="7" fillId="0" borderId="30" xfId="0" applyNumberFormat="1" applyFont="1" applyFill="1" applyBorder="1" applyAlignment="1">
      <alignment horizontal="center" vertical="center"/>
    </xf>
    <xf numFmtId="1" fontId="7" fillId="0" borderId="41" xfId="0" applyNumberFormat="1" applyFont="1" applyFill="1" applyBorder="1" applyAlignment="1">
      <alignment horizontal="center" vertical="center"/>
    </xf>
    <xf numFmtId="1" fontId="7" fillId="0" borderId="8" xfId="0" applyNumberFormat="1" applyFont="1" applyFill="1" applyBorder="1" applyAlignment="1">
      <alignment horizontal="center" vertical="center"/>
    </xf>
    <xf numFmtId="164" fontId="24" fillId="2" borderId="55" xfId="0" applyNumberFormat="1" applyFont="1" applyFill="1" applyBorder="1" applyAlignment="1">
      <alignment vertical="center"/>
    </xf>
    <xf numFmtId="164" fontId="24" fillId="2" borderId="19" xfId="0" applyNumberFormat="1" applyFont="1" applyFill="1" applyBorder="1" applyAlignment="1">
      <alignment vertical="center"/>
    </xf>
    <xf numFmtId="164" fontId="24" fillId="2" borderId="38" xfId="0" applyNumberFormat="1" applyFont="1" applyFill="1" applyBorder="1" applyAlignment="1">
      <alignment vertical="center"/>
    </xf>
    <xf numFmtId="164" fontId="25" fillId="0" borderId="55" xfId="16" applyNumberFormat="1" applyFont="1" applyFill="1" applyBorder="1" applyAlignment="1">
      <alignment horizontal="center" vertical="center"/>
    </xf>
    <xf numFmtId="164" fontId="25" fillId="0" borderId="95" xfId="16" applyNumberFormat="1" applyFont="1" applyFill="1" applyBorder="1" applyAlignment="1">
      <alignment horizontal="center" vertical="center"/>
    </xf>
    <xf numFmtId="164" fontId="25" fillId="0" borderId="19" xfId="16" applyNumberFormat="1" applyFont="1" applyFill="1" applyBorder="1" applyAlignment="1">
      <alignment horizontal="center" vertical="center"/>
    </xf>
    <xf numFmtId="164" fontId="25" fillId="0" borderId="96" xfId="16" applyNumberFormat="1" applyFont="1" applyFill="1" applyBorder="1" applyAlignment="1">
      <alignment horizontal="center" vertical="center"/>
    </xf>
    <xf numFmtId="164" fontId="25" fillId="0" borderId="38" xfId="16" applyNumberFormat="1" applyFont="1" applyFill="1" applyBorder="1" applyAlignment="1">
      <alignment horizontal="center" vertical="center"/>
    </xf>
    <xf numFmtId="164" fontId="25" fillId="0" borderId="97" xfId="16" applyNumberFormat="1" applyFont="1" applyFill="1" applyBorder="1" applyAlignment="1">
      <alignment horizontal="center" vertical="center"/>
    </xf>
    <xf numFmtId="164" fontId="20" fillId="4" borderId="32" xfId="16" applyNumberFormat="1" applyFont="1" applyFill="1" applyBorder="1" applyAlignment="1">
      <alignment horizontal="center" vertical="center"/>
    </xf>
    <xf numFmtId="164" fontId="20" fillId="4" borderId="33" xfId="16" applyNumberFormat="1" applyFont="1" applyFill="1" applyBorder="1" applyAlignment="1">
      <alignment horizontal="center" vertical="center"/>
    </xf>
    <xf numFmtId="164" fontId="20" fillId="4" borderId="36" xfId="16" applyNumberFormat="1" applyFont="1" applyFill="1" applyBorder="1" applyAlignment="1">
      <alignment horizontal="center" vertical="center"/>
    </xf>
    <xf numFmtId="1" fontId="67" fillId="0" borderId="0" xfId="0" applyNumberFormat="1" applyFont="1" applyFill="1" applyAlignment="1">
      <alignment horizontal="center" vertical="center"/>
    </xf>
    <xf numFmtId="44" fontId="0" fillId="0" borderId="0" xfId="0" applyNumberFormat="1"/>
    <xf numFmtId="166" fontId="6" fillId="3" borderId="93" xfId="16" applyNumberFormat="1" applyFont="1" applyFill="1" applyBorder="1" applyAlignment="1">
      <alignment vertical="center"/>
    </xf>
    <xf numFmtId="166" fontId="6" fillId="3" borderId="19" xfId="16" applyNumberFormat="1" applyFont="1" applyFill="1" applyBorder="1" applyAlignment="1">
      <alignment vertical="center"/>
    </xf>
    <xf numFmtId="166" fontId="6" fillId="3" borderId="38" xfId="16" applyNumberFormat="1" applyFont="1" applyFill="1" applyBorder="1" applyAlignment="1">
      <alignment vertical="center"/>
    </xf>
    <xf numFmtId="166" fontId="6" fillId="0" borderId="93" xfId="16" applyNumberFormat="1" applyFont="1" applyFill="1" applyBorder="1" applyAlignment="1">
      <alignment horizontal="center" vertical="center" wrapText="1"/>
    </xf>
    <xf numFmtId="166" fontId="6" fillId="0" borderId="38" xfId="16" applyNumberFormat="1" applyFont="1" applyFill="1" applyBorder="1" applyAlignment="1">
      <alignment horizontal="center" vertical="center" wrapText="1"/>
    </xf>
    <xf numFmtId="166" fontId="6" fillId="0" borderId="19" xfId="16" applyNumberFormat="1" applyFont="1" applyFill="1" applyBorder="1" applyAlignment="1">
      <alignment horizontal="center" vertical="center" wrapText="1"/>
    </xf>
    <xf numFmtId="166" fontId="6" fillId="0" borderId="90" xfId="16" applyNumberFormat="1" applyFont="1" applyFill="1" applyBorder="1" applyAlignment="1">
      <alignment horizontal="center" vertical="center" wrapText="1"/>
    </xf>
    <xf numFmtId="166" fontId="7" fillId="0" borderId="93" xfId="16" applyNumberFormat="1" applyFont="1" applyFill="1" applyBorder="1" applyAlignment="1">
      <alignment horizontal="center" vertical="center"/>
    </xf>
    <xf numFmtId="166" fontId="7" fillId="0" borderId="98" xfId="16" applyNumberFormat="1" applyFont="1" applyFill="1" applyBorder="1" applyAlignment="1">
      <alignment horizontal="center" vertical="center"/>
    </xf>
    <xf numFmtId="166" fontId="6" fillId="0" borderId="91" xfId="16" applyNumberFormat="1" applyFont="1" applyFill="1" applyBorder="1" applyAlignment="1">
      <alignment horizontal="center" vertical="center" wrapText="1"/>
    </xf>
    <xf numFmtId="166" fontId="7" fillId="0" borderId="19" xfId="16" applyNumberFormat="1" applyFont="1" applyFill="1" applyBorder="1" applyAlignment="1">
      <alignment horizontal="center" vertical="center"/>
    </xf>
    <xf numFmtId="166" fontId="7" fillId="0" borderId="96" xfId="16" applyNumberFormat="1" applyFont="1" applyFill="1" applyBorder="1" applyAlignment="1">
      <alignment horizontal="center" vertical="center"/>
    </xf>
    <xf numFmtId="166" fontId="6" fillId="0" borderId="92" xfId="16" applyNumberFormat="1" applyFont="1" applyFill="1" applyBorder="1" applyAlignment="1">
      <alignment horizontal="center" vertical="center" wrapText="1"/>
    </xf>
    <xf numFmtId="166" fontId="7" fillId="0" borderId="38" xfId="16" applyNumberFormat="1" applyFont="1" applyFill="1" applyBorder="1" applyAlignment="1">
      <alignment horizontal="center" vertical="center"/>
    </xf>
    <xf numFmtId="166" fontId="7" fillId="0" borderId="97" xfId="16" applyNumberFormat="1" applyFont="1" applyFill="1" applyBorder="1" applyAlignment="1">
      <alignment horizontal="center" vertical="center"/>
    </xf>
    <xf numFmtId="166" fontId="78" fillId="0" borderId="135" xfId="0" applyNumberFormat="1" applyFont="1" applyBorder="1" applyAlignment="1">
      <alignment horizontal="center" vertical="center"/>
    </xf>
    <xf numFmtId="166" fontId="78" fillId="0" borderId="177" xfId="0" applyNumberFormat="1" applyFont="1" applyBorder="1" applyAlignment="1">
      <alignment horizontal="center" vertical="center"/>
    </xf>
    <xf numFmtId="166" fontId="78" fillId="0" borderId="150" xfId="0" applyNumberFormat="1" applyFont="1" applyBorder="1" applyAlignment="1">
      <alignment horizontal="center" vertical="center"/>
    </xf>
    <xf numFmtId="166" fontId="78" fillId="0" borderId="67" xfId="0" applyNumberFormat="1" applyFont="1" applyBorder="1" applyAlignment="1">
      <alignment horizontal="center" vertical="center"/>
    </xf>
    <xf numFmtId="166" fontId="78" fillId="0" borderId="119" xfId="0" applyNumberFormat="1" applyFont="1" applyBorder="1" applyAlignment="1">
      <alignment horizontal="center" vertical="center"/>
    </xf>
    <xf numFmtId="166" fontId="7" fillId="3" borderId="0" xfId="16" applyNumberFormat="1" applyFont="1" applyFill="1" applyBorder="1" applyAlignment="1">
      <alignment vertical="center"/>
    </xf>
    <xf numFmtId="0" fontId="6" fillId="3" borderId="114" xfId="0" applyFont="1" applyFill="1" applyBorder="1" applyAlignment="1">
      <alignment vertical="center"/>
    </xf>
    <xf numFmtId="0" fontId="80" fillId="0" borderId="0" xfId="0" applyFont="1" applyFill="1" applyAlignment="1">
      <alignment wrapText="1"/>
    </xf>
    <xf numFmtId="0" fontId="0" fillId="0" borderId="0" xfId="0" applyFont="1" applyFill="1" applyAlignment="1">
      <alignment wrapText="1"/>
    </xf>
    <xf numFmtId="10" fontId="42" fillId="0" borderId="131" xfId="0" applyNumberFormat="1" applyFont="1" applyFill="1" applyBorder="1" applyAlignment="1">
      <alignment horizontal="center" wrapText="1"/>
    </xf>
    <xf numFmtId="0" fontId="0" fillId="0" borderId="135" xfId="0" applyBorder="1"/>
    <xf numFmtId="0" fontId="0" fillId="0" borderId="0" xfId="0" applyAlignment="1">
      <alignment vertical="center"/>
    </xf>
    <xf numFmtId="0" fontId="35" fillId="0" borderId="0" xfId="0" applyFont="1" applyAlignment="1">
      <alignment vertical="center"/>
    </xf>
    <xf numFmtId="0" fontId="35" fillId="3" borderId="0" xfId="0" applyFont="1" applyFill="1" applyAlignment="1">
      <alignment vertical="center"/>
    </xf>
    <xf numFmtId="0" fontId="22" fillId="3" borderId="0" xfId="0" applyFont="1" applyFill="1" applyAlignment="1">
      <alignment vertical="center"/>
    </xf>
    <xf numFmtId="0" fontId="0" fillId="3" borderId="0" xfId="0" applyFill="1" applyAlignment="1">
      <alignment vertical="center"/>
    </xf>
    <xf numFmtId="166" fontId="22" fillId="0" borderId="16" xfId="0" applyNumberFormat="1" applyFont="1" applyFill="1" applyBorder="1" applyAlignment="1">
      <alignment vertical="center"/>
    </xf>
    <xf numFmtId="166" fontId="22" fillId="0" borderId="15" xfId="0" applyNumberFormat="1" applyFont="1" applyFill="1" applyBorder="1" applyAlignment="1">
      <alignment vertical="center"/>
    </xf>
    <xf numFmtId="166" fontId="22" fillId="0" borderId="17" xfId="16" applyNumberFormat="1" applyFont="1" applyFill="1" applyBorder="1" applyAlignment="1">
      <alignment vertical="center"/>
    </xf>
    <xf numFmtId="167" fontId="22" fillId="0" borderId="16" xfId="0" applyNumberFormat="1" applyFont="1" applyFill="1" applyBorder="1" applyAlignment="1">
      <alignment vertical="center"/>
    </xf>
    <xf numFmtId="10" fontId="22" fillId="0" borderId="57" xfId="0" applyNumberFormat="1" applyFont="1" applyFill="1" applyBorder="1" applyAlignment="1">
      <alignment horizontal="center" vertical="center"/>
    </xf>
    <xf numFmtId="10" fontId="22" fillId="0" borderId="71" xfId="0" applyNumberFormat="1" applyFont="1" applyFill="1" applyBorder="1" applyAlignment="1">
      <alignment horizontal="center" vertical="center"/>
    </xf>
    <xf numFmtId="10" fontId="22" fillId="0" borderId="58" xfId="0" applyNumberFormat="1" applyFont="1" applyFill="1" applyBorder="1" applyAlignment="1">
      <alignment horizontal="center" vertical="center"/>
    </xf>
    <xf numFmtId="166" fontId="41" fillId="4" borderId="32" xfId="16" applyNumberFormat="1" applyFont="1" applyFill="1" applyBorder="1" applyAlignment="1">
      <alignment horizontal="center" vertical="center"/>
    </xf>
    <xf numFmtId="10" fontId="22" fillId="0" borderId="70" xfId="0" applyNumberFormat="1" applyFont="1" applyFill="1" applyBorder="1" applyAlignment="1">
      <alignment horizontal="center" vertical="center"/>
    </xf>
    <xf numFmtId="166" fontId="20" fillId="4" borderId="32" xfId="16" applyNumberFormat="1" applyFont="1" applyFill="1" applyBorder="1" applyAlignment="1">
      <alignment horizontal="center" vertical="center"/>
    </xf>
    <xf numFmtId="166" fontId="22" fillId="0" borderId="18" xfId="0" applyNumberFormat="1" applyFont="1" applyFill="1" applyBorder="1" applyAlignment="1">
      <alignment vertical="center"/>
    </xf>
    <xf numFmtId="166" fontId="22" fillId="0" borderId="19" xfId="0" applyNumberFormat="1" applyFont="1" applyFill="1" applyBorder="1" applyAlignment="1">
      <alignment vertical="center"/>
    </xf>
    <xf numFmtId="166" fontId="22" fillId="0" borderId="20" xfId="16" applyNumberFormat="1" applyFont="1" applyFill="1" applyBorder="1" applyAlignment="1">
      <alignment vertical="center"/>
    </xf>
    <xf numFmtId="167" fontId="22" fillId="0" borderId="18" xfId="0" applyNumberFormat="1" applyFont="1" applyFill="1" applyBorder="1" applyAlignment="1">
      <alignment vertical="center"/>
    </xf>
    <xf numFmtId="166" fontId="41" fillId="4" borderId="33" xfId="16" applyNumberFormat="1" applyFont="1" applyFill="1" applyBorder="1" applyAlignment="1">
      <alignment horizontal="center" vertical="center"/>
    </xf>
    <xf numFmtId="10" fontId="22" fillId="0" borderId="33" xfId="0" applyNumberFormat="1" applyFont="1" applyFill="1" applyBorder="1" applyAlignment="1">
      <alignment horizontal="center" vertical="center"/>
    </xf>
    <xf numFmtId="166" fontId="20" fillId="4" borderId="33" xfId="16" applyNumberFormat="1" applyFont="1" applyFill="1" applyBorder="1" applyAlignment="1">
      <alignment horizontal="center" vertical="center"/>
    </xf>
    <xf numFmtId="166" fontId="22" fillId="0" borderId="21" xfId="0" applyNumberFormat="1" applyFont="1" applyFill="1" applyBorder="1" applyAlignment="1">
      <alignment vertical="center"/>
    </xf>
    <xf numFmtId="166" fontId="22" fillId="0" borderId="22" xfId="0" applyNumberFormat="1" applyFont="1" applyFill="1" applyBorder="1" applyAlignment="1">
      <alignment vertical="center"/>
    </xf>
    <xf numFmtId="166" fontId="22" fillId="0" borderId="23" xfId="16" applyNumberFormat="1" applyFont="1" applyFill="1" applyBorder="1" applyAlignment="1">
      <alignment vertical="center"/>
    </xf>
    <xf numFmtId="167" fontId="22" fillId="0" borderId="21" xfId="0" applyNumberFormat="1" applyFont="1" applyFill="1" applyBorder="1" applyAlignment="1">
      <alignment vertical="center"/>
    </xf>
    <xf numFmtId="10" fontId="22" fillId="0" borderId="21" xfId="0" applyNumberFormat="1" applyFont="1" applyFill="1" applyBorder="1" applyAlignment="1">
      <alignment horizontal="center" vertical="center"/>
    </xf>
    <xf numFmtId="10" fontId="22" fillId="0" borderId="60" xfId="0" applyNumberFormat="1" applyFont="1" applyFill="1" applyBorder="1" applyAlignment="1">
      <alignment horizontal="center" vertical="center"/>
    </xf>
    <xf numFmtId="10" fontId="22" fillId="0" borderId="72" xfId="0" applyNumberFormat="1" applyFont="1" applyFill="1" applyBorder="1" applyAlignment="1">
      <alignment horizontal="center" vertical="center"/>
    </xf>
    <xf numFmtId="166" fontId="41" fillId="4" borderId="36" xfId="16" applyNumberFormat="1" applyFont="1" applyFill="1" applyBorder="1" applyAlignment="1">
      <alignment horizontal="center" vertical="center"/>
    </xf>
    <xf numFmtId="10" fontId="22" fillId="0" borderId="36" xfId="0" applyNumberFormat="1" applyFont="1" applyFill="1" applyBorder="1" applyAlignment="1">
      <alignment horizontal="center" vertical="center"/>
    </xf>
    <xf numFmtId="166" fontId="20" fillId="4" borderId="36" xfId="16" applyNumberFormat="1" applyFont="1" applyFill="1" applyBorder="1" applyAlignment="1">
      <alignment horizontal="center" vertical="center"/>
    </xf>
    <xf numFmtId="10" fontId="22" fillId="0" borderId="16" xfId="0" applyNumberFormat="1" applyFont="1" applyFill="1" applyBorder="1" applyAlignment="1">
      <alignment horizontal="center" vertical="center"/>
    </xf>
    <xf numFmtId="10" fontId="22" fillId="0" borderId="73" xfId="0" applyNumberFormat="1" applyFont="1" applyFill="1" applyBorder="1" applyAlignment="1">
      <alignment horizontal="center" vertical="center"/>
    </xf>
    <xf numFmtId="10" fontId="22" fillId="0" borderId="17" xfId="0" applyNumberFormat="1" applyFont="1" applyFill="1" applyBorder="1" applyAlignment="1">
      <alignment horizontal="center" vertical="center"/>
    </xf>
    <xf numFmtId="10" fontId="22" fillId="0" borderId="32" xfId="0" applyNumberFormat="1" applyFont="1" applyFill="1" applyBorder="1" applyAlignment="1">
      <alignment horizontal="center" vertical="center"/>
    </xf>
    <xf numFmtId="10" fontId="22" fillId="0" borderId="74" xfId="0" applyNumberFormat="1" applyFont="1" applyFill="1" applyBorder="1" applyAlignment="1">
      <alignment horizontal="center" vertical="center"/>
    </xf>
    <xf numFmtId="10" fontId="22" fillId="0" borderId="23" xfId="0" applyNumberFormat="1" applyFont="1" applyFill="1" applyBorder="1" applyAlignment="1">
      <alignment horizontal="center" vertical="center"/>
    </xf>
    <xf numFmtId="166" fontId="22" fillId="0" borderId="14" xfId="0" applyNumberFormat="1" applyFont="1" applyFill="1" applyBorder="1" applyAlignment="1">
      <alignment vertical="center"/>
    </xf>
    <xf numFmtId="166" fontId="22" fillId="0" borderId="0" xfId="0" applyNumberFormat="1" applyFont="1" applyFill="1" applyAlignment="1">
      <alignment vertical="center"/>
    </xf>
    <xf numFmtId="0" fontId="0" fillId="0" borderId="0" xfId="0" applyFill="1" applyAlignment="1">
      <alignment vertical="center"/>
    </xf>
    <xf numFmtId="167" fontId="22" fillId="0" borderId="135" xfId="0" applyNumberFormat="1" applyFont="1" applyFill="1" applyBorder="1" applyAlignment="1">
      <alignment vertical="center"/>
    </xf>
    <xf numFmtId="0" fontId="0" fillId="0" borderId="0" xfId="0" applyFill="1" applyBorder="1" applyAlignment="1">
      <alignment vertical="center"/>
    </xf>
    <xf numFmtId="1" fontId="22" fillId="0" borderId="0" xfId="0" applyNumberFormat="1" applyFont="1" applyFill="1" applyBorder="1" applyAlignment="1">
      <alignmen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166" fontId="22" fillId="0" borderId="151" xfId="0" applyNumberFormat="1" applyFont="1" applyFill="1" applyBorder="1" applyAlignment="1">
      <alignment vertical="center"/>
    </xf>
    <xf numFmtId="166" fontId="22" fillId="0" borderId="152" xfId="0" applyNumberFormat="1" applyFont="1" applyFill="1" applyBorder="1" applyAlignment="1">
      <alignment vertical="center"/>
    </xf>
    <xf numFmtId="166" fontId="2" fillId="0" borderId="0" xfId="0" applyNumberFormat="1" applyFont="1" applyFill="1" applyAlignment="1">
      <alignment vertical="center"/>
    </xf>
    <xf numFmtId="0" fontId="2" fillId="0" borderId="0" xfId="0" applyFont="1" applyFill="1" applyAlignment="1">
      <alignment vertical="center"/>
    </xf>
    <xf numFmtId="166" fontId="22" fillId="0" borderId="23" xfId="0" applyNumberFormat="1" applyFont="1" applyFill="1" applyBorder="1" applyAlignment="1">
      <alignment vertical="center"/>
    </xf>
    <xf numFmtId="0" fontId="64" fillId="0" borderId="0" xfId="0" applyFont="1" applyFill="1" applyAlignment="1">
      <alignment horizontal="right" vertical="center"/>
    </xf>
    <xf numFmtId="166" fontId="64" fillId="0" borderId="0" xfId="0" applyNumberFormat="1" applyFont="1" applyFill="1" applyAlignment="1">
      <alignment vertical="center"/>
    </xf>
    <xf numFmtId="164" fontId="31" fillId="0" borderId="0" xfId="0" applyNumberFormat="1" applyFont="1" applyFill="1" applyAlignment="1">
      <alignment vertical="center"/>
    </xf>
    <xf numFmtId="0" fontId="29" fillId="0" borderId="0" xfId="0" applyFont="1" applyFill="1" applyAlignment="1">
      <alignment vertical="center"/>
    </xf>
    <xf numFmtId="3" fontId="22" fillId="0" borderId="57" xfId="0" applyNumberFormat="1" applyFont="1" applyFill="1" applyBorder="1" applyAlignment="1">
      <alignment vertical="center"/>
    </xf>
    <xf numFmtId="164" fontId="22" fillId="0" borderId="95" xfId="16" applyNumberFormat="1" applyFont="1" applyFill="1" applyBorder="1" applyAlignment="1">
      <alignment vertical="center"/>
    </xf>
    <xf numFmtId="164" fontId="24" fillId="3" borderId="0" xfId="0" applyNumberFormat="1" applyFont="1" applyFill="1" applyAlignment="1">
      <alignment vertical="center"/>
    </xf>
    <xf numFmtId="10" fontId="22" fillId="0" borderId="90" xfId="0" applyNumberFormat="1" applyFont="1" applyFill="1" applyBorder="1" applyAlignment="1">
      <alignment horizontal="center" vertical="center"/>
    </xf>
    <xf numFmtId="10" fontId="22" fillId="0" borderId="93" xfId="0" applyNumberFormat="1" applyFont="1" applyFill="1" applyBorder="1" applyAlignment="1">
      <alignment horizontal="center" vertical="center"/>
    </xf>
    <xf numFmtId="10" fontId="22" fillId="0" borderId="98" xfId="0" applyNumberFormat="1" applyFont="1" applyFill="1" applyBorder="1" applyAlignment="1">
      <alignment horizontal="center" vertical="center"/>
    </xf>
    <xf numFmtId="164" fontId="41" fillId="4" borderId="32" xfId="16" applyNumberFormat="1" applyFont="1" applyFill="1" applyBorder="1" applyAlignment="1">
      <alignment horizontal="center" vertical="center"/>
    </xf>
    <xf numFmtId="3" fontId="22" fillId="0" borderId="18" xfId="0" applyNumberFormat="1" applyFont="1" applyFill="1" applyBorder="1" applyAlignment="1">
      <alignment vertical="center"/>
    </xf>
    <xf numFmtId="164" fontId="22" fillId="0" borderId="96" xfId="16" applyNumberFormat="1" applyFont="1" applyFill="1" applyBorder="1" applyAlignment="1">
      <alignment vertical="center"/>
    </xf>
    <xf numFmtId="10" fontId="24" fillId="3" borderId="91" xfId="0" applyNumberFormat="1" applyFont="1" applyFill="1" applyBorder="1" applyAlignment="1">
      <alignment horizontal="center" vertical="center"/>
    </xf>
    <xf numFmtId="10" fontId="24" fillId="3" borderId="19" xfId="0" applyNumberFormat="1" applyFont="1" applyFill="1" applyBorder="1" applyAlignment="1">
      <alignment horizontal="center" vertical="center"/>
    </xf>
    <xf numFmtId="10" fontId="24" fillId="3" borderId="96" xfId="0" applyNumberFormat="1" applyFont="1" applyFill="1" applyBorder="1" applyAlignment="1">
      <alignment horizontal="center" vertical="center"/>
    </xf>
    <xf numFmtId="164" fontId="41" fillId="4" borderId="33" xfId="16" applyNumberFormat="1" applyFont="1" applyFill="1" applyBorder="1" applyAlignment="1">
      <alignment horizontal="center" vertical="center"/>
    </xf>
    <xf numFmtId="3" fontId="22" fillId="0" borderId="59" xfId="0" applyNumberFormat="1" applyFont="1" applyFill="1" applyBorder="1" applyAlignment="1">
      <alignment vertical="center"/>
    </xf>
    <xf numFmtId="164" fontId="22" fillId="0" borderId="97" xfId="16" applyNumberFormat="1" applyFont="1" applyFill="1" applyBorder="1" applyAlignment="1">
      <alignment vertical="center"/>
    </xf>
    <xf numFmtId="10" fontId="24" fillId="3" borderId="92" xfId="0" applyNumberFormat="1" applyFont="1" applyFill="1" applyBorder="1" applyAlignment="1">
      <alignment horizontal="center" vertical="center"/>
    </xf>
    <xf numFmtId="10" fontId="24" fillId="3" borderId="38" xfId="0" applyNumberFormat="1" applyFont="1" applyFill="1" applyBorder="1" applyAlignment="1">
      <alignment horizontal="center" vertical="center"/>
    </xf>
    <xf numFmtId="10" fontId="24" fillId="3" borderId="97" xfId="0" applyNumberFormat="1" applyFont="1" applyFill="1" applyBorder="1" applyAlignment="1">
      <alignment horizontal="center" vertical="center"/>
    </xf>
    <xf numFmtId="164" fontId="41" fillId="4" borderId="36" xfId="16" applyNumberFormat="1" applyFont="1" applyFill="1" applyBorder="1" applyAlignment="1">
      <alignment horizontal="center" vertical="center"/>
    </xf>
    <xf numFmtId="164" fontId="6" fillId="2" borderId="0" xfId="0" applyNumberFormat="1" applyFont="1" applyFill="1" applyAlignment="1">
      <alignment vertical="center"/>
    </xf>
    <xf numFmtId="164" fontId="22" fillId="0" borderId="57" xfId="0" applyNumberFormat="1" applyFont="1" applyFill="1" applyBorder="1" applyAlignment="1">
      <alignment vertical="center"/>
    </xf>
    <xf numFmtId="164" fontId="0" fillId="0" borderId="0" xfId="0" applyNumberFormat="1" applyAlignment="1">
      <alignment vertical="center"/>
    </xf>
    <xf numFmtId="164" fontId="22" fillId="0" borderId="70" xfId="16" applyNumberFormat="1" applyFont="1" applyFill="1" applyBorder="1" applyAlignment="1">
      <alignment vertical="center"/>
    </xf>
    <xf numFmtId="10" fontId="22" fillId="0" borderId="94" xfId="0" applyNumberFormat="1" applyFont="1" applyFill="1" applyBorder="1" applyAlignment="1">
      <alignment horizontal="center" vertical="center"/>
    </xf>
    <xf numFmtId="10" fontId="22" fillId="0" borderId="55" xfId="0" applyNumberFormat="1" applyFont="1" applyFill="1" applyBorder="1" applyAlignment="1">
      <alignment horizontal="center" vertical="center"/>
    </xf>
    <xf numFmtId="10" fontId="22" fillId="0" borderId="95" xfId="0" applyNumberFormat="1" applyFont="1" applyFill="1" applyBorder="1" applyAlignment="1">
      <alignment horizontal="center" vertical="center"/>
    </xf>
    <xf numFmtId="1" fontId="41" fillId="4" borderId="32" xfId="16" applyNumberFormat="1" applyFont="1" applyFill="1" applyBorder="1" applyAlignment="1">
      <alignment horizontal="center" vertical="center"/>
    </xf>
    <xf numFmtId="164" fontId="22" fillId="0" borderId="18" xfId="0" applyNumberFormat="1" applyFont="1" applyFill="1" applyBorder="1" applyAlignment="1">
      <alignment vertical="center"/>
    </xf>
    <xf numFmtId="164" fontId="22" fillId="0" borderId="33" xfId="16" applyNumberFormat="1" applyFont="1" applyFill="1" applyBorder="1" applyAlignment="1">
      <alignment vertical="center"/>
    </xf>
    <xf numFmtId="10" fontId="22" fillId="0" borderId="91" xfId="0" applyNumberFormat="1" applyFont="1" applyFill="1" applyBorder="1" applyAlignment="1">
      <alignment horizontal="center" vertical="center"/>
    </xf>
    <xf numFmtId="10" fontId="22" fillId="0" borderId="53" xfId="0" applyNumberFormat="1" applyFont="1" applyFill="1" applyBorder="1" applyAlignment="1">
      <alignment horizontal="center" vertical="center"/>
    </xf>
    <xf numFmtId="10" fontId="22" fillId="0" borderId="96" xfId="0" applyNumberFormat="1" applyFont="1" applyFill="1" applyBorder="1" applyAlignment="1">
      <alignment horizontal="center" vertical="center"/>
    </xf>
    <xf numFmtId="1" fontId="41" fillId="4" borderId="33" xfId="16" applyNumberFormat="1" applyFont="1" applyFill="1" applyBorder="1" applyAlignment="1">
      <alignment horizontal="center" vertical="center"/>
    </xf>
    <xf numFmtId="0" fontId="0" fillId="0" borderId="0" xfId="0" applyAlignment="1">
      <alignment vertical="center" wrapText="1"/>
    </xf>
    <xf numFmtId="164" fontId="22" fillId="0" borderId="154" xfId="16" applyNumberFormat="1" applyFont="1" applyFill="1" applyBorder="1" applyAlignment="1">
      <alignment vertical="center"/>
    </xf>
    <xf numFmtId="10" fontId="22" fillId="0" borderId="130" xfId="0" applyNumberFormat="1" applyFont="1" applyFill="1" applyBorder="1" applyAlignment="1">
      <alignment horizontal="center" vertical="center"/>
    </xf>
    <xf numFmtId="10" fontId="22" fillId="0" borderId="155" xfId="0" applyNumberFormat="1" applyFont="1" applyFill="1" applyBorder="1" applyAlignment="1">
      <alignment horizontal="center" vertical="center"/>
    </xf>
    <xf numFmtId="10" fontId="22" fillId="0" borderId="156" xfId="0" applyNumberFormat="1" applyFont="1" applyFill="1" applyBorder="1" applyAlignment="1">
      <alignment horizontal="center" vertical="center"/>
    </xf>
    <xf numFmtId="164" fontId="22" fillId="0" borderId="59" xfId="0" applyNumberFormat="1" applyFont="1" applyFill="1" applyBorder="1" applyAlignment="1">
      <alignment vertical="center"/>
    </xf>
    <xf numFmtId="164" fontId="22" fillId="0" borderId="36" xfId="16" applyNumberFormat="1" applyFont="1" applyFill="1" applyBorder="1" applyAlignment="1">
      <alignment vertical="center"/>
    </xf>
    <xf numFmtId="10" fontId="22" fillId="0" borderId="88" xfId="0" applyNumberFormat="1" applyFont="1" applyFill="1" applyBorder="1" applyAlignment="1">
      <alignment horizontal="center" vertical="center"/>
    </xf>
    <xf numFmtId="10" fontId="22" fillId="0" borderId="38" xfId="0" applyNumberFormat="1" applyFont="1" applyFill="1" applyBorder="1" applyAlignment="1">
      <alignment horizontal="center" vertical="center"/>
    </xf>
    <xf numFmtId="10" fontId="22" fillId="0" borderId="101" xfId="0" applyNumberFormat="1" applyFont="1" applyFill="1" applyBorder="1" applyAlignment="1">
      <alignment horizontal="center" vertical="center"/>
    </xf>
    <xf numFmtId="1" fontId="41" fillId="4" borderId="36" xfId="16" applyNumberFormat="1" applyFont="1" applyFill="1" applyBorder="1" applyAlignment="1">
      <alignment horizontal="center" vertical="center"/>
    </xf>
    <xf numFmtId="0" fontId="46" fillId="0" borderId="0" xfId="0" applyFont="1" applyAlignment="1">
      <alignment vertical="center"/>
    </xf>
    <xf numFmtId="3" fontId="22" fillId="0" borderId="0" xfId="0" applyNumberFormat="1" applyFont="1" applyFill="1" applyBorder="1" applyAlignment="1">
      <alignment vertical="center"/>
    </xf>
    <xf numFmtId="164" fontId="22" fillId="0" borderId="87" xfId="0" applyNumberFormat="1" applyFont="1" applyFill="1" applyBorder="1" applyAlignment="1">
      <alignment vertical="center"/>
    </xf>
    <xf numFmtId="164" fontId="22" fillId="0" borderId="89" xfId="0" applyNumberFormat="1" applyFont="1" applyFill="1" applyBorder="1" applyAlignment="1">
      <alignment vertical="center"/>
    </xf>
    <xf numFmtId="0" fontId="2" fillId="0" borderId="0" xfId="0" applyFont="1" applyAlignment="1">
      <alignment vertical="center"/>
    </xf>
    <xf numFmtId="3" fontId="2" fillId="0" borderId="0" xfId="0" applyNumberFormat="1" applyFont="1" applyAlignment="1">
      <alignment vertical="center"/>
    </xf>
    <xf numFmtId="0" fontId="0" fillId="0" borderId="0" xfId="0" applyFill="1" applyAlignment="1">
      <alignment vertical="center" wrapText="1"/>
    </xf>
    <xf numFmtId="10" fontId="33" fillId="0" borderId="0" xfId="0" applyNumberFormat="1" applyFont="1" applyFill="1" applyBorder="1" applyAlignment="1">
      <alignment horizontal="center" vertical="center" wrapText="1"/>
    </xf>
    <xf numFmtId="10" fontId="33" fillId="0" borderId="1" xfId="0" applyNumberFormat="1" applyFont="1" applyFill="1" applyBorder="1" applyAlignment="1">
      <alignment horizontal="left" vertical="center" wrapText="1"/>
    </xf>
    <xf numFmtId="0" fontId="42" fillId="0" borderId="14" xfId="0" applyFont="1" applyFill="1" applyBorder="1" applyAlignment="1">
      <alignment horizontal="center" vertical="center"/>
    </xf>
    <xf numFmtId="10" fontId="33" fillId="0" borderId="2" xfId="0" applyNumberFormat="1" applyFont="1" applyFill="1" applyBorder="1" applyAlignment="1">
      <alignment horizontal="center" vertical="center" wrapText="1"/>
    </xf>
    <xf numFmtId="0" fontId="45" fillId="13" borderId="126" xfId="0" applyFont="1" applyFill="1" applyBorder="1" applyAlignment="1">
      <alignment horizontal="center" vertical="center" wrapText="1"/>
    </xf>
    <xf numFmtId="0" fontId="45" fillId="13" borderId="127" xfId="0" applyFont="1" applyFill="1" applyBorder="1" applyAlignment="1">
      <alignment horizontal="center" vertical="center" wrapText="1"/>
    </xf>
    <xf numFmtId="0" fontId="45" fillId="13" borderId="131" xfId="0" applyFont="1" applyFill="1" applyBorder="1" applyAlignment="1">
      <alignment horizontal="center" vertical="center" wrapText="1"/>
    </xf>
    <xf numFmtId="0" fontId="7" fillId="13" borderId="137" xfId="0" applyFont="1" applyFill="1" applyBorder="1" applyAlignment="1">
      <alignment horizontal="center" vertical="center" wrapText="1"/>
    </xf>
    <xf numFmtId="0" fontId="7" fillId="13" borderId="126" xfId="0" applyFont="1" applyFill="1" applyBorder="1" applyAlignment="1">
      <alignment horizontal="center" vertical="center" wrapText="1"/>
    </xf>
    <xf numFmtId="0" fontId="7" fillId="13" borderId="131" xfId="0" applyFont="1" applyFill="1" applyBorder="1" applyAlignment="1">
      <alignment horizontal="center" vertical="center" wrapText="1"/>
    </xf>
    <xf numFmtId="0" fontId="7" fillId="13" borderId="127" xfId="0" applyFont="1" applyFill="1" applyBorder="1" applyAlignment="1">
      <alignment horizontal="center" vertical="center" wrapText="1"/>
    </xf>
    <xf numFmtId="0" fontId="7" fillId="13" borderId="128" xfId="0" applyFont="1" applyFill="1" applyBorder="1" applyAlignment="1">
      <alignment horizontal="center" vertical="center" wrapText="1"/>
    </xf>
    <xf numFmtId="0" fontId="45" fillId="13" borderId="3"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2" fillId="0" borderId="126" xfId="0" applyFont="1" applyBorder="1" applyAlignment="1">
      <alignment vertical="center"/>
    </xf>
    <xf numFmtId="3" fontId="2" fillId="0" borderId="127" xfId="0" applyNumberFormat="1" applyFont="1" applyBorder="1" applyAlignment="1">
      <alignment vertical="center"/>
    </xf>
    <xf numFmtId="3" fontId="6" fillId="0" borderId="131" xfId="0" applyNumberFormat="1" applyFont="1" applyBorder="1" applyAlignment="1">
      <alignment vertical="center"/>
    </xf>
    <xf numFmtId="3" fontId="2" fillId="0" borderId="131" xfId="0" applyNumberFormat="1" applyFont="1" applyBorder="1" applyAlignment="1">
      <alignment vertical="center"/>
    </xf>
    <xf numFmtId="0" fontId="2" fillId="0" borderId="131" xfId="0" applyFont="1" applyBorder="1" applyAlignment="1">
      <alignment vertical="center"/>
    </xf>
    <xf numFmtId="9" fontId="2" fillId="0" borderId="137" xfId="2" applyFont="1" applyBorder="1" applyAlignment="1">
      <alignment vertical="center"/>
    </xf>
    <xf numFmtId="9" fontId="2" fillId="0" borderId="126" xfId="2" applyFont="1" applyBorder="1" applyAlignment="1">
      <alignment vertical="center"/>
    </xf>
    <xf numFmtId="166" fontId="2" fillId="0" borderId="131" xfId="1" applyNumberFormat="1" applyFont="1" applyBorder="1" applyAlignment="1">
      <alignment vertical="center"/>
    </xf>
    <xf numFmtId="166" fontId="2" fillId="0" borderId="127" xfId="1" applyNumberFormat="1" applyFont="1" applyBorder="1" applyAlignment="1">
      <alignment vertical="center"/>
    </xf>
    <xf numFmtId="166" fontId="2" fillId="0" borderId="128" xfId="1" applyNumberFormat="1" applyFont="1" applyBorder="1" applyAlignment="1">
      <alignment vertical="center"/>
    </xf>
    <xf numFmtId="3" fontId="2" fillId="0" borderId="3" xfId="0" applyNumberFormat="1" applyFont="1" applyBorder="1" applyAlignment="1">
      <alignment vertical="center"/>
    </xf>
    <xf numFmtId="166" fontId="2" fillId="0" borderId="3" xfId="16" applyNumberFormat="1" applyFont="1" applyBorder="1" applyAlignment="1">
      <alignment vertical="center"/>
    </xf>
    <xf numFmtId="168" fontId="2" fillId="0" borderId="131" xfId="2" applyNumberFormat="1" applyFont="1" applyBorder="1" applyAlignment="1">
      <alignment vertical="center"/>
    </xf>
    <xf numFmtId="0" fontId="2" fillId="0" borderId="131" xfId="0" applyFont="1" applyBorder="1" applyAlignment="1">
      <alignment horizontal="center" vertical="center"/>
    </xf>
    <xf numFmtId="0" fontId="2" fillId="7" borderId="131" xfId="0" applyFont="1" applyFill="1" applyBorder="1" applyAlignment="1">
      <alignment vertical="center"/>
    </xf>
    <xf numFmtId="3" fontId="2" fillId="7" borderId="3" xfId="0" applyNumberFormat="1" applyFont="1" applyFill="1" applyBorder="1" applyAlignment="1">
      <alignment vertical="center"/>
    </xf>
    <xf numFmtId="3" fontId="2" fillId="7" borderId="3" xfId="16" applyNumberFormat="1" applyFont="1" applyFill="1" applyBorder="1" applyAlignment="1">
      <alignment vertical="center"/>
    </xf>
    <xf numFmtId="166" fontId="2" fillId="7" borderId="131" xfId="1" applyNumberFormat="1" applyFont="1" applyFill="1" applyBorder="1" applyAlignment="1">
      <alignment vertical="center"/>
    </xf>
    <xf numFmtId="166" fontId="2" fillId="7" borderId="3" xfId="16" applyNumberFormat="1" applyFont="1" applyFill="1" applyBorder="1" applyAlignment="1">
      <alignment vertical="center"/>
    </xf>
    <xf numFmtId="168" fontId="2" fillId="7" borderId="131" xfId="2" applyNumberFormat="1" applyFont="1" applyFill="1" applyBorder="1" applyAlignment="1">
      <alignment vertical="center"/>
    </xf>
    <xf numFmtId="3" fontId="2" fillId="0" borderId="3" xfId="16" applyNumberFormat="1" applyFont="1" applyBorder="1" applyAlignment="1">
      <alignment vertical="center"/>
    </xf>
    <xf numFmtId="10" fontId="2" fillId="7" borderId="131" xfId="2" applyNumberFormat="1" applyFont="1" applyFill="1" applyBorder="1" applyAlignment="1">
      <alignment vertical="center"/>
    </xf>
    <xf numFmtId="0" fontId="2" fillId="0" borderId="169" xfId="0" applyFont="1" applyBorder="1" applyAlignment="1">
      <alignment vertical="center"/>
    </xf>
    <xf numFmtId="3" fontId="2" fillId="0" borderId="169" xfId="0" applyNumberFormat="1" applyFont="1" applyBorder="1" applyAlignment="1">
      <alignment vertical="center"/>
    </xf>
    <xf numFmtId="3" fontId="2" fillId="0" borderId="169" xfId="16" applyNumberFormat="1" applyFont="1" applyBorder="1" applyAlignment="1">
      <alignment vertical="center"/>
    </xf>
    <xf numFmtId="166" fontId="2" fillId="0" borderId="169" xfId="1" applyNumberFormat="1" applyFont="1" applyBorder="1" applyAlignment="1">
      <alignment vertical="center"/>
    </xf>
    <xf numFmtId="166" fontId="2" fillId="0" borderId="169" xfId="16" applyNumberFormat="1" applyFont="1" applyBorder="1" applyAlignment="1">
      <alignment vertical="center"/>
    </xf>
    <xf numFmtId="168" fontId="2" fillId="0" borderId="169" xfId="2" applyNumberFormat="1" applyFont="1" applyBorder="1" applyAlignment="1">
      <alignment vertical="center"/>
    </xf>
    <xf numFmtId="0" fontId="2" fillId="7" borderId="129" xfId="0" applyFont="1" applyFill="1" applyBorder="1" applyAlignment="1">
      <alignment vertical="center"/>
    </xf>
    <xf numFmtId="3" fontId="2" fillId="7" borderId="9" xfId="0" applyNumberFormat="1" applyFont="1" applyFill="1" applyBorder="1" applyAlignment="1">
      <alignment vertical="center"/>
    </xf>
    <xf numFmtId="3" fontId="2" fillId="7" borderId="9" xfId="16" applyNumberFormat="1" applyFont="1" applyFill="1" applyBorder="1" applyAlignment="1">
      <alignment vertical="center"/>
    </xf>
    <xf numFmtId="3" fontId="2" fillId="7" borderId="10" xfId="16" applyNumberFormat="1" applyFont="1" applyFill="1" applyBorder="1" applyAlignment="1">
      <alignment vertical="center"/>
    </xf>
    <xf numFmtId="3" fontId="2" fillId="7" borderId="129" xfId="0" applyNumberFormat="1" applyFont="1" applyFill="1" applyBorder="1" applyAlignment="1">
      <alignment vertical="center"/>
    </xf>
    <xf numFmtId="166" fontId="2" fillId="7" borderId="175" xfId="1" applyNumberFormat="1" applyFont="1" applyFill="1" applyBorder="1" applyAlignment="1">
      <alignment vertical="center"/>
    </xf>
    <xf numFmtId="166" fontId="2" fillId="7" borderId="9" xfId="16" applyNumberFormat="1" applyFont="1" applyFill="1" applyBorder="1" applyAlignment="1">
      <alignment vertical="center"/>
    </xf>
    <xf numFmtId="166" fontId="2" fillId="7" borderId="10" xfId="16" applyNumberFormat="1" applyFont="1" applyFill="1" applyBorder="1" applyAlignment="1">
      <alignment vertical="center"/>
    </xf>
    <xf numFmtId="168" fontId="2" fillId="7" borderId="129" xfId="2" applyNumberFormat="1" applyFont="1" applyFill="1" applyBorder="1" applyAlignment="1">
      <alignment vertical="center"/>
    </xf>
    <xf numFmtId="168" fontId="2" fillId="7" borderId="9" xfId="2" applyNumberFormat="1" applyFont="1" applyFill="1" applyBorder="1" applyAlignment="1">
      <alignment vertical="center"/>
    </xf>
    <xf numFmtId="168" fontId="2" fillId="7" borderId="10" xfId="2" applyNumberFormat="1" applyFont="1" applyFill="1" applyBorder="1" applyAlignment="1">
      <alignment vertical="center"/>
    </xf>
    <xf numFmtId="0" fontId="2" fillId="0" borderId="11" xfId="0" applyFont="1" applyBorder="1" applyAlignment="1">
      <alignment vertical="center"/>
    </xf>
    <xf numFmtId="3" fontId="2" fillId="0" borderId="13" xfId="0" applyNumberFormat="1" applyFont="1" applyBorder="1" applyAlignment="1">
      <alignment vertical="center"/>
    </xf>
    <xf numFmtId="3" fontId="2" fillId="7" borderId="12" xfId="0" applyNumberFormat="1" applyFont="1" applyFill="1" applyBorder="1" applyAlignment="1">
      <alignment vertical="center"/>
    </xf>
    <xf numFmtId="3" fontId="2" fillId="7" borderId="12" xfId="16" applyNumberFormat="1" applyFont="1" applyFill="1" applyBorder="1" applyAlignment="1">
      <alignment vertical="center"/>
    </xf>
    <xf numFmtId="3" fontId="2" fillId="0" borderId="13" xfId="16" applyNumberFormat="1" applyFont="1" applyBorder="1" applyAlignment="1">
      <alignment vertical="center"/>
    </xf>
    <xf numFmtId="3" fontId="2" fillId="7" borderId="11" xfId="0" applyNumberFormat="1" applyFont="1" applyFill="1" applyBorder="1" applyAlignment="1">
      <alignment vertical="center"/>
    </xf>
    <xf numFmtId="166" fontId="2" fillId="7" borderId="48" xfId="1" applyNumberFormat="1" applyFont="1" applyFill="1" applyBorder="1" applyAlignment="1">
      <alignment vertical="center"/>
    </xf>
    <xf numFmtId="166" fontId="2" fillId="7" borderId="12" xfId="16" applyNumberFormat="1" applyFont="1" applyFill="1" applyBorder="1" applyAlignment="1">
      <alignment vertical="center"/>
    </xf>
    <xf numFmtId="166" fontId="2" fillId="0" borderId="13" xfId="16" applyNumberFormat="1" applyFont="1" applyBorder="1" applyAlignment="1">
      <alignment vertical="center"/>
    </xf>
    <xf numFmtId="168" fontId="2" fillId="7" borderId="11" xfId="2" applyNumberFormat="1" applyFont="1" applyFill="1" applyBorder="1" applyAlignment="1">
      <alignment vertical="center"/>
    </xf>
    <xf numFmtId="168" fontId="2" fillId="7" borderId="12" xfId="2" applyNumberFormat="1" applyFont="1" applyFill="1" applyBorder="1" applyAlignment="1">
      <alignment vertical="center"/>
    </xf>
    <xf numFmtId="168" fontId="2" fillId="0" borderId="13" xfId="2" applyNumberFormat="1" applyFont="1" applyFill="1" applyBorder="1" applyAlignment="1">
      <alignment vertical="center"/>
    </xf>
    <xf numFmtId="0" fontId="45" fillId="0" borderId="0" xfId="0" applyFont="1" applyFill="1" applyBorder="1" applyAlignment="1">
      <alignment vertical="center"/>
    </xf>
    <xf numFmtId="3" fontId="45" fillId="0" borderId="0" xfId="0" applyNumberFormat="1" applyFont="1" applyAlignment="1">
      <alignment vertical="center"/>
    </xf>
    <xf numFmtId="0" fontId="77" fillId="0" borderId="0" xfId="0" applyFont="1" applyAlignment="1">
      <alignment vertical="center"/>
    </xf>
    <xf numFmtId="3" fontId="77" fillId="0" borderId="0" xfId="0" applyNumberFormat="1" applyFont="1" applyAlignment="1">
      <alignment vertical="center"/>
    </xf>
    <xf numFmtId="3" fontId="77" fillId="0" borderId="0" xfId="16" applyNumberFormat="1" applyFont="1" applyAlignment="1">
      <alignment vertical="center"/>
    </xf>
    <xf numFmtId="166" fontId="77" fillId="0" borderId="0" xfId="16" applyNumberFormat="1" applyFont="1" applyAlignment="1">
      <alignment vertical="center"/>
    </xf>
    <xf numFmtId="168" fontId="77" fillId="0" borderId="0" xfId="2" applyNumberFormat="1" applyFont="1" applyAlignment="1">
      <alignment vertical="center"/>
    </xf>
    <xf numFmtId="3" fontId="2" fillId="0" borderId="0" xfId="16" applyNumberFormat="1" applyFont="1" applyAlignment="1">
      <alignment vertical="center"/>
    </xf>
    <xf numFmtId="3" fontId="2" fillId="0" borderId="0" xfId="16" applyNumberFormat="1" applyFont="1" applyBorder="1" applyAlignment="1">
      <alignment vertical="center"/>
    </xf>
    <xf numFmtId="166" fontId="2" fillId="0" borderId="0" xfId="16" applyNumberFormat="1" applyFont="1" applyAlignment="1">
      <alignment vertical="center"/>
    </xf>
    <xf numFmtId="166" fontId="2" fillId="0" borderId="0" xfId="16" applyNumberFormat="1" applyFont="1" applyBorder="1" applyAlignment="1">
      <alignment vertical="center"/>
    </xf>
    <xf numFmtId="3" fontId="2" fillId="0" borderId="0" xfId="0" applyNumberFormat="1" applyFont="1" applyBorder="1" applyAlignment="1">
      <alignment vertical="center"/>
    </xf>
    <xf numFmtId="168" fontId="45" fillId="0" borderId="0" xfId="2" applyNumberFormat="1" applyFont="1" applyAlignment="1">
      <alignment vertical="center"/>
    </xf>
    <xf numFmtId="0" fontId="2" fillId="0" borderId="12" xfId="0" applyFont="1" applyBorder="1" applyAlignment="1">
      <alignment vertical="center"/>
    </xf>
    <xf numFmtId="9" fontId="2" fillId="0" borderId="11" xfId="2" applyFont="1" applyBorder="1" applyAlignment="1">
      <alignment vertical="center"/>
    </xf>
    <xf numFmtId="166" fontId="2" fillId="0" borderId="12" xfId="1" applyNumberFormat="1" applyFont="1" applyBorder="1" applyAlignment="1">
      <alignment vertical="center"/>
    </xf>
    <xf numFmtId="166" fontId="2" fillId="0" borderId="13" xfId="1" applyNumberFormat="1" applyFont="1" applyBorder="1" applyAlignment="1">
      <alignment vertical="center"/>
    </xf>
    <xf numFmtId="0" fontId="0" fillId="0" borderId="45" xfId="0" applyBorder="1" applyAlignment="1">
      <alignment vertical="center"/>
    </xf>
    <xf numFmtId="10" fontId="22" fillId="0" borderId="92" xfId="0" applyNumberFormat="1" applyFont="1" applyFill="1" applyBorder="1" applyAlignment="1">
      <alignment horizontal="center" vertical="center"/>
    </xf>
    <xf numFmtId="10" fontId="22" fillId="0" borderId="161" xfId="0" applyNumberFormat="1" applyFont="1" applyFill="1" applyBorder="1" applyAlignment="1">
      <alignment horizontal="center" vertical="center"/>
    </xf>
    <xf numFmtId="10" fontId="22" fillId="0" borderId="97" xfId="0" applyNumberFormat="1" applyFont="1" applyFill="1" applyBorder="1" applyAlignment="1">
      <alignment horizontal="center" vertical="center"/>
    </xf>
    <xf numFmtId="164" fontId="6" fillId="2" borderId="45" xfId="0" applyNumberFormat="1" applyFont="1" applyFill="1" applyBorder="1" applyAlignment="1">
      <alignment vertical="center"/>
    </xf>
    <xf numFmtId="0" fontId="0" fillId="0" borderId="114" xfId="0" applyBorder="1" applyAlignment="1">
      <alignment vertical="center" wrapText="1"/>
    </xf>
    <xf numFmtId="0" fontId="0" fillId="0" borderId="114" xfId="0" applyBorder="1" applyAlignment="1">
      <alignment vertical="center"/>
    </xf>
    <xf numFmtId="164" fontId="22" fillId="0" borderId="165" xfId="0" applyNumberFormat="1" applyFont="1" applyFill="1" applyBorder="1" applyAlignment="1">
      <alignment vertical="center"/>
    </xf>
    <xf numFmtId="164" fontId="22" fillId="0" borderId="98" xfId="16" applyNumberFormat="1" applyFont="1" applyFill="1" applyBorder="1" applyAlignment="1">
      <alignment vertical="center"/>
    </xf>
    <xf numFmtId="0" fontId="6" fillId="3" borderId="162" xfId="0" applyFont="1" applyFill="1" applyBorder="1" applyAlignment="1">
      <alignment vertical="center"/>
    </xf>
    <xf numFmtId="166" fontId="70" fillId="0" borderId="32" xfId="1" applyNumberFormat="1" applyFont="1" applyBorder="1" applyAlignment="1">
      <alignment vertical="center"/>
    </xf>
    <xf numFmtId="0" fontId="70" fillId="0" borderId="90" xfId="0" applyFont="1" applyBorder="1" applyAlignment="1">
      <alignment vertical="center" wrapText="1"/>
    </xf>
    <xf numFmtId="166" fontId="70" fillId="0" borderId="93" xfId="16" applyNumberFormat="1" applyFont="1" applyBorder="1" applyAlignment="1">
      <alignment vertical="center"/>
    </xf>
    <xf numFmtId="166" fontId="70" fillId="0" borderId="98" xfId="16" applyNumberFormat="1" applyFont="1" applyBorder="1" applyAlignment="1">
      <alignment vertical="center"/>
    </xf>
    <xf numFmtId="0" fontId="70" fillId="0" borderId="90" xfId="0" applyFont="1" applyBorder="1" applyAlignment="1">
      <alignment horizontal="center" vertical="center"/>
    </xf>
    <xf numFmtId="0" fontId="70" fillId="0" borderId="160" xfId="0" applyFont="1" applyBorder="1" applyAlignment="1">
      <alignment horizontal="center" vertical="center"/>
    </xf>
    <xf numFmtId="166" fontId="70" fillId="0" borderId="159" xfId="16" applyNumberFormat="1" applyFont="1" applyBorder="1" applyAlignment="1">
      <alignment vertical="center"/>
    </xf>
    <xf numFmtId="10" fontId="70" fillId="0" borderId="93" xfId="2" applyNumberFormat="1" applyFont="1" applyBorder="1" applyAlignment="1">
      <alignment horizontal="center" vertical="center"/>
    </xf>
    <xf numFmtId="10" fontId="70" fillId="0" borderId="160" xfId="2" applyNumberFormat="1" applyFont="1" applyBorder="1" applyAlignment="1">
      <alignment horizontal="center" vertical="center"/>
    </xf>
    <xf numFmtId="10" fontId="70" fillId="0" borderId="159" xfId="2" applyNumberFormat="1" applyFont="1" applyBorder="1" applyAlignment="1">
      <alignment horizontal="center" vertical="center"/>
    </xf>
    <xf numFmtId="166" fontId="72" fillId="0" borderId="90" xfId="16" applyNumberFormat="1" applyFont="1" applyBorder="1" applyAlignment="1">
      <alignment vertical="center"/>
    </xf>
    <xf numFmtId="166" fontId="72" fillId="0" borderId="98" xfId="16" applyNumberFormat="1" applyFont="1" applyBorder="1" applyAlignment="1">
      <alignment vertical="center"/>
    </xf>
    <xf numFmtId="0" fontId="6" fillId="3" borderId="163" xfId="0" applyFont="1" applyFill="1" applyBorder="1" applyAlignment="1">
      <alignment vertical="center"/>
    </xf>
    <xf numFmtId="166" fontId="70" fillId="0" borderId="33" xfId="1" applyNumberFormat="1" applyFont="1" applyBorder="1" applyAlignment="1">
      <alignment vertical="center"/>
    </xf>
    <xf numFmtId="0" fontId="70" fillId="0" borderId="91" xfId="0" applyFont="1" applyBorder="1" applyAlignment="1">
      <alignment vertical="center" wrapText="1"/>
    </xf>
    <xf numFmtId="166" fontId="70" fillId="0" borderId="19" xfId="16" applyNumberFormat="1" applyFont="1" applyBorder="1" applyAlignment="1">
      <alignment vertical="center"/>
    </xf>
    <xf numFmtId="166" fontId="70" fillId="0" borderId="96" xfId="16" applyNumberFormat="1" applyFont="1" applyBorder="1" applyAlignment="1">
      <alignment vertical="center"/>
    </xf>
    <xf numFmtId="0" fontId="70" fillId="0" borderId="91" xfId="0" applyFont="1" applyBorder="1" applyAlignment="1">
      <alignment horizontal="center" vertical="center"/>
    </xf>
    <xf numFmtId="0" fontId="70" fillId="0" borderId="53" xfId="0" applyFont="1" applyBorder="1" applyAlignment="1">
      <alignment horizontal="center" vertical="center"/>
    </xf>
    <xf numFmtId="166" fontId="70" fillId="0" borderId="54" xfId="16" applyNumberFormat="1" applyFont="1" applyBorder="1" applyAlignment="1">
      <alignment vertical="center"/>
    </xf>
    <xf numFmtId="10" fontId="70" fillId="0" borderId="19" xfId="2" applyNumberFormat="1" applyFont="1" applyBorder="1" applyAlignment="1">
      <alignment horizontal="center" vertical="center"/>
    </xf>
    <xf numFmtId="10" fontId="70" fillId="0" borderId="53" xfId="2" applyNumberFormat="1" applyFont="1" applyBorder="1" applyAlignment="1">
      <alignment horizontal="center" vertical="center"/>
    </xf>
    <xf numFmtId="10" fontId="70" fillId="0" borderId="54" xfId="2" applyNumberFormat="1" applyFont="1" applyBorder="1" applyAlignment="1">
      <alignment horizontal="center" vertical="center"/>
    </xf>
    <xf numFmtId="166" fontId="72" fillId="0" borderId="91" xfId="16" applyNumberFormat="1" applyFont="1" applyBorder="1" applyAlignment="1">
      <alignment vertical="center"/>
    </xf>
    <xf numFmtId="166" fontId="72" fillId="0" borderId="96" xfId="16" applyNumberFormat="1" applyFont="1" applyBorder="1" applyAlignment="1">
      <alignment vertical="center"/>
    </xf>
    <xf numFmtId="0" fontId="6" fillId="3" borderId="174" xfId="0" applyFont="1" applyFill="1" applyBorder="1" applyAlignment="1">
      <alignment vertical="center"/>
    </xf>
    <xf numFmtId="0" fontId="70" fillId="0" borderId="130" xfId="0" applyFont="1" applyBorder="1" applyAlignment="1">
      <alignment vertical="center" wrapText="1"/>
    </xf>
    <xf numFmtId="166" fontId="70" fillId="0" borderId="156" xfId="16" applyNumberFormat="1" applyFont="1" applyBorder="1" applyAlignment="1">
      <alignment vertical="center"/>
    </xf>
    <xf numFmtId="0" fontId="70" fillId="0" borderId="130" xfId="0" applyFont="1" applyBorder="1" applyAlignment="1">
      <alignment horizontal="center" vertical="center"/>
    </xf>
    <xf numFmtId="0" fontId="70" fillId="0" borderId="155" xfId="0" applyFont="1" applyBorder="1" applyAlignment="1">
      <alignment horizontal="center" vertical="center"/>
    </xf>
    <xf numFmtId="10" fontId="70" fillId="7" borderId="19" xfId="2" applyNumberFormat="1" applyFont="1" applyFill="1" applyBorder="1" applyAlignment="1">
      <alignment horizontal="center" vertical="center"/>
    </xf>
    <xf numFmtId="0" fontId="6" fillId="0" borderId="164" xfId="0" applyFont="1" applyFill="1" applyBorder="1" applyAlignment="1">
      <alignment vertical="center"/>
    </xf>
    <xf numFmtId="166" fontId="70" fillId="0" borderId="36" xfId="1" applyNumberFormat="1" applyFont="1" applyFill="1" applyBorder="1" applyAlignment="1">
      <alignment vertical="center"/>
    </xf>
    <xf numFmtId="0" fontId="70" fillId="0" borderId="92" xfId="0" applyFont="1" applyFill="1" applyBorder="1" applyAlignment="1">
      <alignment vertical="center" wrapText="1"/>
    </xf>
    <xf numFmtId="166" fontId="70" fillId="0" borderId="38" xfId="16" applyNumberFormat="1" applyFont="1" applyFill="1" applyBorder="1" applyAlignment="1">
      <alignment vertical="center"/>
    </xf>
    <xf numFmtId="166" fontId="70" fillId="0" borderId="97" xfId="16" applyNumberFormat="1" applyFont="1" applyFill="1" applyBorder="1" applyAlignment="1">
      <alignment vertical="center"/>
    </xf>
    <xf numFmtId="0" fontId="70" fillId="0" borderId="92" xfId="0" applyFont="1" applyFill="1" applyBorder="1" applyAlignment="1">
      <alignment horizontal="center" vertical="center"/>
    </xf>
    <xf numFmtId="0" fontId="70" fillId="0" borderId="161" xfId="0" applyFont="1" applyFill="1" applyBorder="1" applyAlignment="1">
      <alignment horizontal="center" vertical="center"/>
    </xf>
    <xf numFmtId="166" fontId="70" fillId="0" borderId="66" xfId="16" applyNumberFormat="1" applyFont="1" applyFill="1" applyBorder="1" applyAlignment="1">
      <alignment vertical="center"/>
    </xf>
    <xf numFmtId="10" fontId="70" fillId="7" borderId="38" xfId="2" applyNumberFormat="1" applyFont="1" applyFill="1" applyBorder="1" applyAlignment="1">
      <alignment horizontal="center" vertical="center"/>
    </xf>
    <xf numFmtId="10" fontId="70" fillId="0" borderId="161" xfId="2" applyNumberFormat="1" applyFont="1" applyFill="1" applyBorder="1" applyAlignment="1">
      <alignment horizontal="center" vertical="center"/>
    </xf>
    <xf numFmtId="10" fontId="70" fillId="0" borderId="66" xfId="2" applyNumberFormat="1" applyFont="1" applyFill="1" applyBorder="1" applyAlignment="1">
      <alignment horizontal="center" vertical="center"/>
    </xf>
    <xf numFmtId="166" fontId="72" fillId="0" borderId="92" xfId="16" applyNumberFormat="1" applyFont="1" applyFill="1" applyBorder="1" applyAlignment="1">
      <alignment vertical="center"/>
    </xf>
    <xf numFmtId="166" fontId="72" fillId="0" borderId="97" xfId="16" applyNumberFormat="1" applyFont="1" applyFill="1" applyBorder="1" applyAlignment="1">
      <alignment vertical="center"/>
    </xf>
    <xf numFmtId="0" fontId="7" fillId="3" borderId="0" xfId="0" applyFont="1" applyFill="1" applyBorder="1" applyAlignment="1">
      <alignment horizontal="right" vertical="center"/>
    </xf>
    <xf numFmtId="0" fontId="70" fillId="0" borderId="0" xfId="0" applyFont="1" applyAlignment="1">
      <alignment vertical="center"/>
    </xf>
    <xf numFmtId="166" fontId="72" fillId="0" borderId="0" xfId="0" applyNumberFormat="1" applyFont="1" applyAlignment="1">
      <alignment vertical="center"/>
    </xf>
    <xf numFmtId="0" fontId="73" fillId="0" borderId="99" xfId="0" applyFont="1" applyBorder="1" applyAlignment="1">
      <alignment vertical="center"/>
    </xf>
    <xf numFmtId="0" fontId="73" fillId="0" borderId="44" xfId="0" applyFont="1" applyBorder="1" applyAlignment="1">
      <alignment vertical="center"/>
    </xf>
    <xf numFmtId="10" fontId="73" fillId="0" borderId="100" xfId="2" applyNumberFormat="1" applyFont="1" applyBorder="1" applyAlignment="1">
      <alignment vertical="center"/>
    </xf>
    <xf numFmtId="10" fontId="70" fillId="0" borderId="0" xfId="2" applyNumberFormat="1" applyFont="1" applyAlignment="1">
      <alignment vertical="center"/>
    </xf>
    <xf numFmtId="10" fontId="73" fillId="0" borderId="44" xfId="2" applyNumberFormat="1" applyFont="1" applyBorder="1" applyAlignment="1">
      <alignment vertical="center"/>
    </xf>
    <xf numFmtId="9" fontId="70" fillId="0" borderId="0" xfId="2" applyFont="1" applyAlignment="1">
      <alignment vertical="center"/>
    </xf>
    <xf numFmtId="0" fontId="70" fillId="2" borderId="44" xfId="0" applyFont="1" applyFill="1" applyBorder="1" applyAlignment="1">
      <alignment vertical="center"/>
    </xf>
    <xf numFmtId="9" fontId="70" fillId="2" borderId="44" xfId="2" applyFont="1" applyFill="1" applyBorder="1" applyAlignment="1">
      <alignment vertical="center"/>
    </xf>
    <xf numFmtId="0" fontId="70" fillId="2" borderId="100" xfId="0" applyFont="1" applyFill="1" applyBorder="1" applyAlignment="1">
      <alignment vertical="center"/>
    </xf>
    <xf numFmtId="164" fontId="44" fillId="2" borderId="0" xfId="0" applyNumberFormat="1" applyFont="1" applyFill="1" applyBorder="1" applyAlignment="1">
      <alignment vertical="center"/>
    </xf>
    <xf numFmtId="0" fontId="70" fillId="2" borderId="0" xfId="0" applyFont="1" applyFill="1" applyBorder="1" applyAlignment="1">
      <alignment vertical="center"/>
    </xf>
    <xf numFmtId="0" fontId="6" fillId="2" borderId="0" xfId="0" applyFont="1" applyFill="1" applyBorder="1" applyAlignment="1">
      <alignment vertical="center"/>
    </xf>
    <xf numFmtId="9" fontId="70" fillId="2" borderId="0" xfId="2" applyFont="1" applyFill="1" applyBorder="1" applyAlignment="1">
      <alignment vertical="center"/>
    </xf>
    <xf numFmtId="0" fontId="70" fillId="2" borderId="47" xfId="0" applyFont="1" applyFill="1" applyBorder="1" applyAlignment="1">
      <alignment vertical="center"/>
    </xf>
    <xf numFmtId="0" fontId="70" fillId="2" borderId="114" xfId="0" applyFont="1" applyFill="1" applyBorder="1" applyAlignment="1">
      <alignment vertical="center"/>
    </xf>
    <xf numFmtId="166" fontId="0" fillId="0" borderId="93" xfId="0" applyNumberFormat="1" applyBorder="1" applyAlignment="1">
      <alignment vertical="center"/>
    </xf>
    <xf numFmtId="166" fontId="6" fillId="3" borderId="167" xfId="0" applyNumberFormat="1" applyFont="1" applyFill="1" applyBorder="1" applyAlignment="1">
      <alignment vertical="center"/>
    </xf>
    <xf numFmtId="0" fontId="70" fillId="0" borderId="162" xfId="0" applyFont="1" applyBorder="1" applyAlignment="1">
      <alignment vertical="center"/>
    </xf>
    <xf numFmtId="166" fontId="70" fillId="0" borderId="166" xfId="1" applyNumberFormat="1" applyFont="1" applyBorder="1" applyAlignment="1">
      <alignment vertical="center"/>
    </xf>
    <xf numFmtId="166" fontId="6" fillId="0" borderId="90" xfId="0" applyNumberFormat="1" applyFont="1" applyBorder="1" applyAlignment="1">
      <alignment vertical="center"/>
    </xf>
    <xf numFmtId="0" fontId="70" fillId="0" borderId="98" xfId="0" applyFont="1" applyBorder="1" applyAlignment="1">
      <alignment vertical="center"/>
    </xf>
    <xf numFmtId="44" fontId="70" fillId="0" borderId="159" xfId="16" applyFont="1" applyBorder="1" applyAlignment="1">
      <alignment vertical="center"/>
    </xf>
    <xf numFmtId="166" fontId="72" fillId="0" borderId="32" xfId="16" applyNumberFormat="1" applyFont="1" applyBorder="1" applyAlignment="1">
      <alignment vertical="center"/>
    </xf>
    <xf numFmtId="166" fontId="0" fillId="0" borderId="19" xfId="0" applyNumberFormat="1" applyBorder="1" applyAlignment="1">
      <alignment vertical="center"/>
    </xf>
    <xf numFmtId="0" fontId="6" fillId="3" borderId="157" xfId="0" applyFont="1" applyFill="1" applyBorder="1" applyAlignment="1">
      <alignment vertical="center"/>
    </xf>
    <xf numFmtId="0" fontId="70" fillId="0" borderId="163" xfId="0" applyFont="1" applyBorder="1" applyAlignment="1">
      <alignment vertical="center"/>
    </xf>
    <xf numFmtId="166" fontId="70" fillId="0" borderId="86" xfId="1" applyNumberFormat="1" applyFont="1" applyBorder="1" applyAlignment="1">
      <alignment vertical="center"/>
    </xf>
    <xf numFmtId="0" fontId="6" fillId="0" borderId="91" xfId="0" applyFont="1" applyBorder="1" applyAlignment="1">
      <alignment vertical="center"/>
    </xf>
    <xf numFmtId="0" fontId="70" fillId="0" borderId="96" xfId="0" applyFont="1" applyBorder="1" applyAlignment="1">
      <alignment vertical="center"/>
    </xf>
    <xf numFmtId="44" fontId="70" fillId="0" borderId="54" xfId="16" applyFont="1" applyBorder="1" applyAlignment="1">
      <alignment vertical="center"/>
    </xf>
    <xf numFmtId="166" fontId="72" fillId="0" borderId="33" xfId="16" applyNumberFormat="1" applyFont="1" applyBorder="1" applyAlignment="1">
      <alignment vertical="center"/>
    </xf>
    <xf numFmtId="166" fontId="0" fillId="0" borderId="38" xfId="0" applyNumberFormat="1" applyBorder="1" applyAlignment="1">
      <alignment vertical="center"/>
    </xf>
    <xf numFmtId="166" fontId="70" fillId="0" borderId="38" xfId="16" applyNumberFormat="1" applyFont="1" applyBorder="1" applyAlignment="1">
      <alignment vertical="center"/>
    </xf>
    <xf numFmtId="0" fontId="6" fillId="3" borderId="101" xfId="0" applyFont="1" applyFill="1" applyBorder="1" applyAlignment="1">
      <alignment vertical="center"/>
    </xf>
    <xf numFmtId="0" fontId="70" fillId="0" borderId="164" xfId="0" applyFont="1" applyBorder="1" applyAlignment="1">
      <alignment vertical="center"/>
    </xf>
    <xf numFmtId="166" fontId="70" fillId="0" borderId="88" xfId="1" applyNumberFormat="1" applyFont="1" applyBorder="1" applyAlignment="1">
      <alignment vertical="center"/>
    </xf>
    <xf numFmtId="0" fontId="6" fillId="0" borderId="92" xfId="0" applyFont="1" applyBorder="1" applyAlignment="1">
      <alignment vertical="center"/>
    </xf>
    <xf numFmtId="0" fontId="70" fillId="0" borderId="97" xfId="0" applyFont="1" applyBorder="1" applyAlignment="1">
      <alignment vertical="center"/>
    </xf>
    <xf numFmtId="0" fontId="70" fillId="0" borderId="161" xfId="0" applyFont="1" applyBorder="1" applyAlignment="1">
      <alignment horizontal="center" vertical="center"/>
    </xf>
    <xf numFmtId="166" fontId="70" fillId="0" borderId="66" xfId="16" applyNumberFormat="1" applyFont="1" applyBorder="1" applyAlignment="1">
      <alignment vertical="center"/>
    </xf>
    <xf numFmtId="44" fontId="70" fillId="0" borderId="66" xfId="16" applyFont="1" applyBorder="1" applyAlignment="1">
      <alignment vertical="center"/>
    </xf>
    <xf numFmtId="10" fontId="70" fillId="0" borderId="38" xfId="2" applyNumberFormat="1" applyFont="1" applyBorder="1" applyAlignment="1">
      <alignment horizontal="center" vertical="center"/>
    </xf>
    <xf numFmtId="10" fontId="70" fillId="0" borderId="161" xfId="2" applyNumberFormat="1" applyFont="1" applyBorder="1" applyAlignment="1">
      <alignment horizontal="center" vertical="center"/>
    </xf>
    <xf numFmtId="10" fontId="70" fillId="0" borderId="66" xfId="2" applyNumberFormat="1" applyFont="1" applyBorder="1" applyAlignment="1">
      <alignment horizontal="center" vertical="center"/>
    </xf>
    <xf numFmtId="166" fontId="72" fillId="0" borderId="36" xfId="16" applyNumberFormat="1" applyFont="1" applyBorder="1" applyAlignment="1">
      <alignment vertical="center"/>
    </xf>
    <xf numFmtId="0" fontId="70" fillId="0" borderId="44" xfId="0" applyFont="1" applyBorder="1" applyAlignment="1">
      <alignment vertical="center"/>
    </xf>
    <xf numFmtId="0" fontId="70" fillId="0" borderId="0" xfId="0" applyFont="1" applyBorder="1" applyAlignment="1">
      <alignment vertical="center"/>
    </xf>
    <xf numFmtId="0" fontId="73" fillId="0" borderId="24" xfId="0" applyFont="1" applyBorder="1" applyAlignment="1">
      <alignment vertical="center"/>
    </xf>
    <xf numFmtId="0" fontId="73" fillId="0" borderId="27" xfId="0" applyFont="1" applyBorder="1" applyAlignment="1">
      <alignment vertical="center"/>
    </xf>
    <xf numFmtId="10" fontId="73" fillId="0" borderId="25" xfId="2" applyNumberFormat="1" applyFont="1" applyBorder="1" applyAlignment="1">
      <alignment vertical="center"/>
    </xf>
    <xf numFmtId="10" fontId="70" fillId="0" borderId="0" xfId="2" applyNumberFormat="1" applyFont="1" applyBorder="1" applyAlignment="1">
      <alignment vertical="center"/>
    </xf>
    <xf numFmtId="0" fontId="73" fillId="0" borderId="0" xfId="0" applyFont="1" applyBorder="1" applyAlignment="1">
      <alignment vertical="center"/>
    </xf>
    <xf numFmtId="10" fontId="73" fillId="0" borderId="0" xfId="2" applyNumberFormat="1" applyFont="1" applyBorder="1" applyAlignment="1">
      <alignment vertical="center"/>
    </xf>
    <xf numFmtId="0" fontId="73" fillId="2" borderId="44" xfId="0" applyFont="1" applyFill="1" applyBorder="1" applyAlignment="1">
      <alignment vertical="center"/>
    </xf>
    <xf numFmtId="10" fontId="73" fillId="2" borderId="44" xfId="2" applyNumberFormat="1" applyFont="1" applyFill="1" applyBorder="1" applyAlignment="1">
      <alignment vertical="center"/>
    </xf>
    <xf numFmtId="10" fontId="70" fillId="2" borderId="44" xfId="2" applyNumberFormat="1" applyFont="1" applyFill="1" applyBorder="1" applyAlignment="1">
      <alignment vertical="center"/>
    </xf>
    <xf numFmtId="166" fontId="53" fillId="0" borderId="93" xfId="0" applyNumberFormat="1" applyFont="1" applyBorder="1" applyAlignment="1">
      <alignment vertical="center"/>
    </xf>
    <xf numFmtId="166" fontId="6" fillId="0" borderId="167" xfId="0" applyNumberFormat="1" applyFont="1" applyBorder="1" applyAlignment="1">
      <alignment vertical="center"/>
    </xf>
    <xf numFmtId="166" fontId="6" fillId="0" borderId="162" xfId="0" applyNumberFormat="1" applyFont="1" applyBorder="1" applyAlignment="1">
      <alignment vertical="center"/>
    </xf>
    <xf numFmtId="0" fontId="70" fillId="0" borderId="160" xfId="0" applyFont="1" applyBorder="1" applyAlignment="1">
      <alignment vertical="center"/>
    </xf>
    <xf numFmtId="166" fontId="53" fillId="0" borderId="19" xfId="0" applyNumberFormat="1" applyFont="1" applyBorder="1" applyAlignment="1">
      <alignment vertical="center"/>
    </xf>
    <xf numFmtId="0" fontId="6" fillId="0" borderId="157" xfId="0" applyFont="1" applyBorder="1" applyAlignment="1">
      <alignment vertical="center"/>
    </xf>
    <xf numFmtId="0" fontId="6" fillId="0" borderId="163" xfId="0" applyFont="1" applyBorder="1" applyAlignment="1">
      <alignment vertical="center"/>
    </xf>
    <xf numFmtId="0" fontId="70" fillId="0" borderId="53" xfId="0" applyFont="1" applyBorder="1" applyAlignment="1">
      <alignment vertical="center"/>
    </xf>
    <xf numFmtId="164" fontId="6" fillId="0" borderId="91" xfId="0" applyNumberFormat="1" applyFont="1" applyFill="1" applyBorder="1" applyAlignment="1">
      <alignment vertical="center"/>
    </xf>
    <xf numFmtId="164" fontId="6" fillId="0" borderId="92" xfId="0" applyNumberFormat="1" applyFont="1" applyFill="1" applyBorder="1" applyAlignment="1">
      <alignment vertical="center"/>
    </xf>
    <xf numFmtId="166" fontId="53" fillId="0" borderId="38" xfId="0" applyNumberFormat="1" applyFont="1" applyBorder="1" applyAlignment="1">
      <alignment vertical="center"/>
    </xf>
    <xf numFmtId="0" fontId="6" fillId="0" borderId="101" xfId="0" applyFont="1" applyBorder="1" applyAlignment="1">
      <alignment vertical="center"/>
    </xf>
    <xf numFmtId="0" fontId="6" fillId="0" borderId="164" xfId="0" applyFont="1" applyBorder="1" applyAlignment="1">
      <alignment vertical="center"/>
    </xf>
    <xf numFmtId="0" fontId="70" fillId="0" borderId="161" xfId="0" applyFont="1" applyBorder="1" applyAlignment="1">
      <alignment vertical="center"/>
    </xf>
    <xf numFmtId="0" fontId="70" fillId="0" borderId="90" xfId="0" applyFont="1" applyBorder="1" applyAlignment="1">
      <alignment vertical="center"/>
    </xf>
    <xf numFmtId="44" fontId="70" fillId="0" borderId="93" xfId="16" applyFont="1" applyBorder="1" applyAlignment="1">
      <alignment vertical="center"/>
    </xf>
    <xf numFmtId="0" fontId="0" fillId="0" borderId="97" xfId="0" applyBorder="1" applyAlignment="1">
      <alignment vertical="center"/>
    </xf>
    <xf numFmtId="0" fontId="0" fillId="0" borderId="164" xfId="0" applyBorder="1" applyAlignment="1">
      <alignment vertical="center"/>
    </xf>
    <xf numFmtId="166" fontId="70" fillId="0" borderId="36" xfId="1" applyNumberFormat="1" applyFont="1" applyBorder="1" applyAlignment="1">
      <alignment vertical="center"/>
    </xf>
    <xf numFmtId="0" fontId="0" fillId="0" borderId="92" xfId="0" applyBorder="1" applyAlignment="1">
      <alignment vertical="center"/>
    </xf>
    <xf numFmtId="44" fontId="70" fillId="0" borderId="38" xfId="16" applyFont="1" applyBorder="1" applyAlignment="1">
      <alignment vertical="center"/>
    </xf>
    <xf numFmtId="0" fontId="1" fillId="0" borderId="0" xfId="0" applyFont="1" applyAlignment="1">
      <alignment horizontal="right" vertical="center"/>
    </xf>
    <xf numFmtId="166" fontId="7" fillId="3" borderId="176" xfId="16" applyNumberFormat="1" applyFont="1" applyFill="1" applyBorder="1" applyAlignment="1">
      <alignment vertical="center"/>
    </xf>
    <xf numFmtId="0" fontId="37" fillId="0" borderId="124" xfId="0" applyFont="1" applyBorder="1" applyAlignment="1">
      <alignment horizontal="left" vertical="center"/>
    </xf>
    <xf numFmtId="0" fontId="37" fillId="0" borderId="125" xfId="0" applyFont="1" applyBorder="1" applyAlignment="1">
      <alignment horizontal="left" vertical="center"/>
    </xf>
    <xf numFmtId="0" fontId="37" fillId="0" borderId="102" xfId="0" applyFont="1" applyFill="1" applyBorder="1" applyAlignment="1">
      <alignment horizontal="left" vertical="center"/>
    </xf>
    <xf numFmtId="0" fontId="37" fillId="0" borderId="113" xfId="0" applyFont="1" applyBorder="1" applyAlignment="1">
      <alignment horizontal="left" vertical="center"/>
    </xf>
    <xf numFmtId="0" fontId="38" fillId="0" borderId="110" xfId="0" applyFont="1" applyFill="1" applyBorder="1" applyAlignment="1">
      <alignment horizontal="center" vertical="center"/>
    </xf>
    <xf numFmtId="0" fontId="1" fillId="0" borderId="26" xfId="0" applyFont="1" applyFill="1" applyBorder="1" applyAlignment="1">
      <alignment horizontal="left" vertical="center" wrapText="1"/>
    </xf>
    <xf numFmtId="0" fontId="37" fillId="0" borderId="102" xfId="0" applyFont="1" applyBorder="1" applyAlignment="1">
      <alignment horizontal="left" vertical="center"/>
    </xf>
    <xf numFmtId="0" fontId="37" fillId="0" borderId="102" xfId="0" applyFont="1" applyFill="1" applyBorder="1" applyAlignment="1">
      <alignment horizontal="left" vertical="center" wrapText="1"/>
    </xf>
    <xf numFmtId="0" fontId="37" fillId="0" borderId="107" xfId="0" applyFont="1" applyFill="1" applyBorder="1" applyAlignment="1">
      <alignment horizontal="left" vertical="center"/>
    </xf>
    <xf numFmtId="164" fontId="6" fillId="0" borderId="118" xfId="0" applyNumberFormat="1" applyFont="1" applyFill="1" applyBorder="1" applyAlignment="1">
      <alignment vertical="center"/>
    </xf>
    <xf numFmtId="0" fontId="1" fillId="0" borderId="26" xfId="0" applyFont="1" applyFill="1" applyBorder="1" applyAlignment="1">
      <alignment vertical="center" wrapText="1"/>
    </xf>
    <xf numFmtId="0" fontId="37" fillId="0" borderId="107" xfId="0" applyFont="1" applyBorder="1" applyAlignment="1">
      <alignment horizontal="left" vertical="center"/>
    </xf>
    <xf numFmtId="0" fontId="29" fillId="0" borderId="0" xfId="0" applyFont="1" applyFill="1" applyAlignment="1">
      <alignment vertical="center" wrapText="1"/>
    </xf>
    <xf numFmtId="164" fontId="43" fillId="0" borderId="76" xfId="0" applyNumberFormat="1" applyFont="1" applyFill="1" applyBorder="1" applyAlignment="1">
      <alignment vertical="center"/>
    </xf>
    <xf numFmtId="164" fontId="43" fillId="0" borderId="77" xfId="0" applyNumberFormat="1" applyFont="1" applyFill="1" applyBorder="1" applyAlignment="1">
      <alignment vertical="center"/>
    </xf>
    <xf numFmtId="9" fontId="43" fillId="0" borderId="78" xfId="0" applyNumberFormat="1" applyFont="1" applyFill="1" applyBorder="1" applyAlignment="1">
      <alignment vertical="center"/>
    </xf>
    <xf numFmtId="164" fontId="43" fillId="0" borderId="79" xfId="0" applyNumberFormat="1" applyFont="1" applyFill="1" applyBorder="1" applyAlignment="1">
      <alignment vertical="center"/>
    </xf>
    <xf numFmtId="164" fontId="43" fillId="0" borderId="75" xfId="0" applyNumberFormat="1" applyFont="1" applyFill="1" applyBorder="1" applyAlignment="1">
      <alignment vertical="center"/>
    </xf>
    <xf numFmtId="9" fontId="43" fillId="0" borderId="80" xfId="0" applyNumberFormat="1" applyFont="1" applyFill="1" applyBorder="1" applyAlignment="1">
      <alignment vertical="center"/>
    </xf>
    <xf numFmtId="164" fontId="43" fillId="0" borderId="81" xfId="0" applyNumberFormat="1" applyFont="1" applyFill="1" applyBorder="1" applyAlignment="1">
      <alignment vertical="center"/>
    </xf>
    <xf numFmtId="164" fontId="43" fillId="0" borderId="82" xfId="0" applyNumberFormat="1" applyFont="1" applyFill="1" applyBorder="1" applyAlignment="1">
      <alignment vertical="center"/>
    </xf>
    <xf numFmtId="9" fontId="43" fillId="0" borderId="83" xfId="0" applyNumberFormat="1" applyFont="1" applyFill="1" applyBorder="1" applyAlignment="1">
      <alignment vertical="center"/>
    </xf>
    <xf numFmtId="164" fontId="29" fillId="0" borderId="0" xfId="0" applyNumberFormat="1" applyFont="1" applyFill="1" applyAlignment="1">
      <alignment vertical="center" wrapText="1"/>
    </xf>
    <xf numFmtId="164" fontId="24" fillId="0" borderId="0" xfId="0" applyNumberFormat="1" applyFont="1" applyFill="1" applyAlignment="1">
      <alignment vertical="center"/>
    </xf>
    <xf numFmtId="164" fontId="66" fillId="0" borderId="0" xfId="0" applyNumberFormat="1" applyFont="1" applyFill="1" applyAlignment="1">
      <alignment horizontal="right" vertical="center"/>
    </xf>
    <xf numFmtId="164" fontId="66" fillId="0" borderId="0" xfId="0" applyNumberFormat="1" applyFont="1" applyFill="1" applyAlignment="1">
      <alignment vertical="center"/>
    </xf>
    <xf numFmtId="164" fontId="24" fillId="3" borderId="0" xfId="0" applyNumberFormat="1" applyFont="1" applyFill="1" applyAlignment="1">
      <alignment horizontal="right" vertical="center"/>
    </xf>
    <xf numFmtId="10" fontId="6" fillId="0" borderId="0" xfId="2" applyNumberFormat="1" applyFont="1" applyFill="1" applyAlignment="1">
      <alignment vertical="center"/>
    </xf>
    <xf numFmtId="0" fontId="4" fillId="0" borderId="0" xfId="0" applyFont="1" applyFill="1" applyBorder="1" applyAlignment="1">
      <alignment horizontal="right"/>
    </xf>
    <xf numFmtId="166" fontId="4" fillId="0" borderId="0" xfId="1" applyNumberFormat="1" applyFont="1" applyFill="1" applyBorder="1"/>
    <xf numFmtId="43" fontId="0" fillId="0" borderId="0" xfId="1" applyFont="1" applyFill="1" applyBorder="1"/>
    <xf numFmtId="43" fontId="4" fillId="0" borderId="0" xfId="1" applyFont="1" applyFill="1" applyBorder="1"/>
    <xf numFmtId="0" fontId="81" fillId="3" borderId="29" xfId="0" applyFont="1" applyFill="1" applyBorder="1" applyAlignment="1">
      <alignment vertical="top"/>
    </xf>
    <xf numFmtId="0" fontId="73" fillId="0" borderId="0" xfId="0" applyFont="1" applyAlignment="1">
      <alignment vertical="top"/>
    </xf>
    <xf numFmtId="0" fontId="54" fillId="0" borderId="0" xfId="9" applyAlignment="1" applyProtection="1"/>
    <xf numFmtId="0" fontId="54" fillId="2" borderId="0" xfId="9" applyFill="1" applyAlignment="1" applyProtection="1"/>
    <xf numFmtId="173" fontId="38" fillId="0" borderId="131" xfId="0" applyNumberFormat="1" applyFont="1" applyBorder="1" applyAlignment="1">
      <alignment vertical="top" wrapText="1"/>
    </xf>
    <xf numFmtId="0" fontId="2" fillId="0" borderId="129" xfId="4" applyFont="1" applyBorder="1" applyAlignment="1">
      <alignment horizontal="center" vertical="center"/>
    </xf>
    <xf numFmtId="0" fontId="2" fillId="0" borderId="126" xfId="4" applyFont="1" applyBorder="1" applyAlignment="1">
      <alignment horizontal="center" vertical="center"/>
    </xf>
    <xf numFmtId="0" fontId="2" fillId="0" borderId="126" xfId="4" applyBorder="1" applyAlignment="1">
      <alignment horizontal="center" vertical="center" wrapText="1"/>
    </xf>
    <xf numFmtId="0" fontId="2" fillId="0" borderId="148" xfId="4" applyBorder="1" applyAlignment="1">
      <alignment horizontal="center" vertical="center" wrapText="1"/>
    </xf>
    <xf numFmtId="0" fontId="2" fillId="0" borderId="30" xfId="4" applyBorder="1" applyAlignment="1">
      <alignment horizontal="center" vertical="center" wrapText="1"/>
    </xf>
    <xf numFmtId="0" fontId="2" fillId="0" borderId="41" xfId="4" applyBorder="1" applyAlignment="1">
      <alignment horizontal="center" vertical="center" wrapText="1"/>
    </xf>
    <xf numFmtId="0" fontId="70" fillId="0" borderId="114" xfId="0" applyFont="1" applyBorder="1" applyAlignment="1">
      <alignment horizontal="left" wrapText="1"/>
    </xf>
    <xf numFmtId="0" fontId="47" fillId="0" borderId="24" xfId="0" applyFont="1" applyBorder="1" applyAlignment="1">
      <alignment horizontal="center" vertical="center"/>
    </xf>
    <xf numFmtId="0" fontId="47" fillId="0" borderId="27" xfId="0" applyFont="1" applyBorder="1" applyAlignment="1">
      <alignment horizontal="center" vertical="center"/>
    </xf>
    <xf numFmtId="0" fontId="47" fillId="0" borderId="25" xfId="0" applyFont="1" applyBorder="1" applyAlignment="1">
      <alignment horizontal="center" vertical="center"/>
    </xf>
    <xf numFmtId="0" fontId="57" fillId="21" borderId="24" xfId="0" applyFont="1" applyFill="1" applyBorder="1" applyAlignment="1">
      <alignment horizontal="center" vertical="center" wrapText="1"/>
    </xf>
    <xf numFmtId="0" fontId="57" fillId="21" borderId="27" xfId="0" applyFont="1" applyFill="1" applyBorder="1" applyAlignment="1">
      <alignment horizontal="center" vertical="center" wrapText="1"/>
    </xf>
    <xf numFmtId="0" fontId="57" fillId="21" borderId="25" xfId="0" applyFont="1" applyFill="1" applyBorder="1" applyAlignment="1">
      <alignment horizontal="center" vertical="center" wrapText="1"/>
    </xf>
    <xf numFmtId="0" fontId="57" fillId="23" borderId="24" xfId="0" applyFont="1" applyFill="1" applyBorder="1" applyAlignment="1">
      <alignment horizontal="center" vertical="center" wrapText="1"/>
    </xf>
    <xf numFmtId="0" fontId="57" fillId="23" borderId="27" xfId="0" applyFont="1" applyFill="1" applyBorder="1" applyAlignment="1">
      <alignment horizontal="center" vertical="center" wrapText="1"/>
    </xf>
    <xf numFmtId="0" fontId="57" fillId="23" borderId="25" xfId="0" applyFont="1" applyFill="1" applyBorder="1" applyAlignment="1">
      <alignment horizontal="center" vertical="center" wrapText="1"/>
    </xf>
    <xf numFmtId="0" fontId="42" fillId="0" borderId="136" xfId="0" applyFont="1" applyFill="1" applyBorder="1" applyAlignment="1">
      <alignment horizontal="center" wrapText="1"/>
    </xf>
    <xf numFmtId="0" fontId="42" fillId="0" borderId="137" xfId="0" applyFont="1" applyFill="1" applyBorder="1" applyAlignment="1">
      <alignment horizontal="center" wrapText="1"/>
    </xf>
    <xf numFmtId="0" fontId="42" fillId="0" borderId="128" xfId="0" applyFont="1" applyFill="1" applyBorder="1" applyAlignment="1">
      <alignment horizontal="center" wrapText="1"/>
    </xf>
    <xf numFmtId="10" fontId="42" fillId="0" borderId="136" xfId="0" applyNumberFormat="1" applyFont="1" applyFill="1" applyBorder="1" applyAlignment="1">
      <alignment horizontal="center" wrapText="1"/>
    </xf>
    <xf numFmtId="10" fontId="42" fillId="0" borderId="128" xfId="0" applyNumberFormat="1" applyFont="1" applyFill="1" applyBorder="1" applyAlignment="1">
      <alignment horizontal="center" wrapText="1"/>
    </xf>
    <xf numFmtId="10" fontId="42" fillId="0" borderId="136" xfId="0" applyNumberFormat="1" applyFont="1" applyFill="1" applyBorder="1" applyAlignment="1">
      <alignment horizontal="center"/>
    </xf>
    <xf numFmtId="10" fontId="42" fillId="0" borderId="128" xfId="0" applyNumberFormat="1" applyFont="1" applyFill="1" applyBorder="1" applyAlignment="1">
      <alignment horizontal="center"/>
    </xf>
    <xf numFmtId="0" fontId="42" fillId="0" borderId="24" xfId="0" applyFont="1" applyFill="1" applyBorder="1" applyAlignment="1">
      <alignment horizontal="center" wrapText="1"/>
    </xf>
    <xf numFmtId="0" fontId="42" fillId="0" borderId="27" xfId="0" applyFont="1" applyFill="1" applyBorder="1" applyAlignment="1">
      <alignment horizontal="center" wrapText="1"/>
    </xf>
    <xf numFmtId="0" fontId="42" fillId="0" borderId="25" xfId="0" applyFont="1" applyFill="1" applyBorder="1" applyAlignment="1">
      <alignment horizontal="center" wrapText="1"/>
    </xf>
    <xf numFmtId="0" fontId="42" fillId="0" borderId="24" xfId="0" applyFont="1" applyFill="1" applyBorder="1" applyAlignment="1">
      <alignment horizontal="center"/>
    </xf>
    <xf numFmtId="0" fontId="42" fillId="0" borderId="25" xfId="0" applyFont="1" applyFill="1" applyBorder="1" applyAlignment="1">
      <alignment horizontal="center"/>
    </xf>
    <xf numFmtId="0" fontId="42" fillId="0" borderId="27" xfId="0" applyFont="1" applyFill="1" applyBorder="1" applyAlignment="1">
      <alignment horizontal="center"/>
    </xf>
    <xf numFmtId="0" fontId="42" fillId="0" borderId="24" xfId="0" applyFont="1" applyBorder="1" applyAlignment="1">
      <alignment horizontal="center"/>
    </xf>
    <xf numFmtId="0" fontId="42" fillId="0" borderId="27" xfId="0" applyFont="1" applyBorder="1" applyAlignment="1">
      <alignment horizontal="center"/>
    </xf>
    <xf numFmtId="0" fontId="42" fillId="0" borderId="25" xfId="0" applyFont="1" applyBorder="1" applyAlignment="1">
      <alignment horizontal="center"/>
    </xf>
    <xf numFmtId="0" fontId="42" fillId="0" borderId="67" xfId="0" applyFont="1" applyFill="1" applyBorder="1" applyAlignment="1">
      <alignment horizontal="center" vertical="center" wrapText="1"/>
    </xf>
    <xf numFmtId="10" fontId="42" fillId="0" borderId="136" xfId="0" applyNumberFormat="1" applyFont="1" applyFill="1" applyBorder="1" applyAlignment="1">
      <alignment horizontal="center" vertical="center"/>
    </xf>
    <xf numFmtId="10" fontId="42" fillId="0" borderId="128" xfId="0" applyNumberFormat="1" applyFont="1" applyFill="1" applyBorder="1" applyAlignment="1">
      <alignment horizontal="center" vertical="center"/>
    </xf>
    <xf numFmtId="0" fontId="74" fillId="0" borderId="171" xfId="0" applyFont="1" applyFill="1" applyBorder="1" applyAlignment="1">
      <alignment horizontal="center" vertical="center"/>
    </xf>
    <xf numFmtId="0" fontId="74" fillId="0" borderId="173" xfId="0" applyFont="1" applyFill="1" applyBorder="1" applyAlignment="1">
      <alignment horizontal="center" vertical="center"/>
    </xf>
    <xf numFmtId="0" fontId="42" fillId="0" borderId="171" xfId="0" applyFont="1" applyFill="1" applyBorder="1" applyAlignment="1">
      <alignment horizontal="center" vertical="center"/>
    </xf>
    <xf numFmtId="0" fontId="42" fillId="0" borderId="172" xfId="0" applyFont="1" applyFill="1" applyBorder="1" applyAlignment="1">
      <alignment horizontal="center" vertical="center"/>
    </xf>
    <xf numFmtId="0" fontId="42" fillId="0" borderId="173" xfId="0" applyFont="1" applyFill="1" applyBorder="1" applyAlignment="1">
      <alignment horizontal="center" vertical="center"/>
    </xf>
    <xf numFmtId="0" fontId="0" fillId="2" borderId="27"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xf>
    <xf numFmtId="0" fontId="0" fillId="2" borderId="27" xfId="0" applyFill="1" applyBorder="1" applyAlignment="1">
      <alignment horizontal="center"/>
    </xf>
    <xf numFmtId="0" fontId="0" fillId="2" borderId="25" xfId="0" applyFill="1" applyBorder="1" applyAlignment="1">
      <alignment horizontal="center"/>
    </xf>
    <xf numFmtId="0" fontId="0" fillId="2" borderId="24" xfId="0" applyFill="1" applyBorder="1" applyAlignment="1">
      <alignment horizontal="center" vertical="center"/>
    </xf>
    <xf numFmtId="0" fontId="7" fillId="3" borderId="27" xfId="0" applyFont="1" applyFill="1" applyBorder="1" applyAlignment="1">
      <alignment horizontal="right" vertical="center" wrapText="1"/>
    </xf>
  </cellXfs>
  <cellStyles count="23">
    <cellStyle name="Comma" xfId="1" builtinId="3"/>
    <cellStyle name="Comma 2" xfId="5"/>
    <cellStyle name="Comma 2 2" xfId="8"/>
    <cellStyle name="Comma 2 3" xfId="18"/>
    <cellStyle name="Comma 3" xfId="14"/>
    <cellStyle name="Currency" xfId="16" builtinId="4"/>
    <cellStyle name="Currency 2" xfId="6"/>
    <cellStyle name="Hyperlink" xfId="9" builtinId="8"/>
    <cellStyle name="Hyperlink 2" xfId="3"/>
    <cellStyle name="Hyperlink 3" xfId="15"/>
    <cellStyle name="Hyperlink 4" xfId="17"/>
    <cellStyle name="Normal" xfId="0" builtinId="0"/>
    <cellStyle name="Normal 10" xfId="11"/>
    <cellStyle name="Normal 2" xfId="4"/>
    <cellStyle name="Normal 2 2" xfId="13"/>
    <cellStyle name="Normal 2 3" xfId="10"/>
    <cellStyle name="Normal 2 3 2" xfId="19"/>
    <cellStyle name="Normal 3" xfId="12"/>
    <cellStyle name="Normal 3 2" xfId="20"/>
    <cellStyle name="Normal 4" xfId="21"/>
    <cellStyle name="Output 2" xfId="22"/>
    <cellStyle name="Percent" xfId="2" builtinId="5"/>
    <cellStyle name="Percent 2" xfId="7"/>
  </cellStyles>
  <dxfs count="4">
    <dxf>
      <font>
        <color theme="5"/>
      </font>
      <fill>
        <patternFill>
          <bgColor theme="5" tint="0.59996337778862885"/>
        </patternFill>
      </fill>
    </dxf>
    <dxf>
      <font>
        <color theme="5"/>
      </font>
      <fill>
        <patternFill>
          <bgColor theme="5" tint="0.59996337778862885"/>
        </patternFill>
      </fill>
    </dxf>
    <dxf>
      <font>
        <strike/>
      </font>
    </dxf>
    <dxf>
      <font>
        <strike/>
      </font>
    </dxf>
  </dxfs>
  <tableStyles count="0" defaultTableStyle="TableStyleMedium2" defaultPivotStyle="PivotStyleLight16"/>
  <colors>
    <mruColors>
      <color rgb="FFFFFF99"/>
      <color rgb="FF66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9524</xdr:colOff>
      <xdr:row>13</xdr:row>
      <xdr:rowOff>19050</xdr:rowOff>
    </xdr:from>
    <xdr:to>
      <xdr:col>12</xdr:col>
      <xdr:colOff>38099</xdr:colOff>
      <xdr:row>20</xdr:row>
      <xdr:rowOff>161925</xdr:rowOff>
    </xdr:to>
    <xdr:sp macro="" textlink="">
      <xdr:nvSpPr>
        <xdr:cNvPr id="3" name="TextBox 2"/>
        <xdr:cNvSpPr txBox="1"/>
      </xdr:nvSpPr>
      <xdr:spPr>
        <a:xfrm>
          <a:off x="304799" y="1352550"/>
          <a:ext cx="6734175" cy="14763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“This model is published by Monitor for the purposes of the engagement on the proposals for the National Tariff for 2016/17, to provide stakeholders with information about the proposed method for calculating national prices for that year and to enable stakeholders to respond to those proposals.  The model, and the draft prices derived from this model, are illustrative only; in particular, there may be changes to the model and to the prices which appear in the final proposals to be published in Autumn for the purposes of the statutory consultation.  Monitor shall not accept any responsibility or liability in respect of the contents or use of the model or the draft prices</a:t>
          </a:r>
          <a:r>
            <a:rPr lang="en-GB" sz="1200" i="0">
              <a:solidFill>
                <a:schemeClr val="dk1"/>
              </a:solidFill>
              <a:effectLst/>
              <a:latin typeface="+mn-lt"/>
              <a:ea typeface="+mn-ea"/>
              <a:cs typeface="+mn-cs"/>
            </a:rPr>
            <a:t>.”</a:t>
          </a:r>
        </a:p>
      </xdr:txBody>
    </xdr:sp>
    <xdr:clientData/>
  </xdr:twoCellAnchor>
  <xdr:oneCellAnchor>
    <xdr:from>
      <xdr:col>0</xdr:col>
      <xdr:colOff>0</xdr:colOff>
      <xdr:row>0</xdr:row>
      <xdr:rowOff>0</xdr:rowOff>
    </xdr:from>
    <xdr:ext cx="1895762" cy="1217635"/>
    <xdr:pic>
      <xdr:nvPicPr>
        <xdr:cNvPr id="4" name="Picture 3" descr="http://www.nhs.uk/NHSEngland/thenhs/healthregulators/PublishingImages/2013/monitor_328x2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95762" cy="12176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uploads/system/uploads/attachment_data/file/379578/Annex_5a.xlsx" TargetMode="External"/><Relationship Id="rId1" Type="http://schemas.openxmlformats.org/officeDocument/2006/relationships/hyperlink" Target="https://www.gov.uk/government/uploads/system/uploads/attachment_data/file/379578/Annex_5a.xlsx"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hyperlink" Target="http://www.hscic.gov.uk/media/13826/HRG4-201314-RC-Roots/xls/HRG4__RC201314_Roots_v1.1.xl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9"/>
  <sheetViews>
    <sheetView tabSelected="1" zoomScaleNormal="100" workbookViewId="0">
      <selection activeCell="P17" sqref="P17"/>
    </sheetView>
  </sheetViews>
  <sheetFormatPr defaultColWidth="9.140625" defaultRowHeight="15" x14ac:dyDescent="0.25"/>
  <cols>
    <col min="1" max="1" width="4.42578125" style="167" customWidth="1"/>
    <col min="2" max="16384" width="9.140625" style="167"/>
  </cols>
  <sheetData>
    <row r="9" spans="2:2" x14ac:dyDescent="0.3">
      <c r="B9" s="12" t="s">
        <v>1043</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sheetPr>
  <dimension ref="A1:H77"/>
  <sheetViews>
    <sheetView zoomScaleNormal="100" workbookViewId="0"/>
  </sheetViews>
  <sheetFormatPr defaultRowHeight="15" x14ac:dyDescent="0.25"/>
  <cols>
    <col min="1" max="1" width="1.140625" style="167" customWidth="1"/>
    <col min="2" max="2" width="13.140625" style="167" customWidth="1"/>
    <col min="3" max="3" width="10.5703125" style="167" customWidth="1"/>
    <col min="4" max="4" width="10.5703125" style="167" bestFit="1" customWidth="1"/>
    <col min="5" max="5" width="15.5703125" style="167" bestFit="1" customWidth="1"/>
    <col min="6" max="6" width="13.85546875" style="167" bestFit="1" customWidth="1"/>
    <col min="7" max="7" width="13.5703125" style="167" bestFit="1" customWidth="1"/>
    <col min="8" max="8" width="46.140625" style="167" customWidth="1"/>
    <col min="9" max="10" width="9.140625" style="167"/>
    <col min="11" max="11" width="13.5703125" style="167" bestFit="1" customWidth="1"/>
    <col min="12" max="16384" width="9.140625" style="167"/>
  </cols>
  <sheetData>
    <row r="1" spans="1:8" x14ac:dyDescent="0.25">
      <c r="A1" s="173" t="s">
        <v>377</v>
      </c>
    </row>
    <row r="2" spans="1:8" ht="18.75" x14ac:dyDescent="0.3">
      <c r="B2" s="1" t="s">
        <v>509</v>
      </c>
    </row>
    <row r="3" spans="1:8" x14ac:dyDescent="0.25">
      <c r="H3" s="124"/>
    </row>
    <row r="4" spans="1:8" x14ac:dyDescent="0.25">
      <c r="B4" s="26" t="s">
        <v>57</v>
      </c>
      <c r="C4" s="24" t="s">
        <v>522</v>
      </c>
      <c r="H4" s="124"/>
    </row>
    <row r="5" spans="1:8" x14ac:dyDescent="0.25">
      <c r="B5" s="26" t="s">
        <v>232</v>
      </c>
      <c r="C5" s="24" t="s">
        <v>510</v>
      </c>
      <c r="D5" s="4"/>
    </row>
    <row r="6" spans="1:8" x14ac:dyDescent="0.25">
      <c r="B6" s="10"/>
      <c r="D6" s="4"/>
    </row>
    <row r="7" spans="1:8" x14ac:dyDescent="0.25">
      <c r="B7" s="167" t="s">
        <v>515</v>
      </c>
    </row>
    <row r="8" spans="1:8" x14ac:dyDescent="0.25">
      <c r="C8" s="432">
        <f>SUM(C10:C77)</f>
        <v>2784986</v>
      </c>
    </row>
    <row r="9" spans="1:8" x14ac:dyDescent="0.25">
      <c r="B9" s="12" t="s">
        <v>644</v>
      </c>
      <c r="C9" s="433" t="s">
        <v>645</v>
      </c>
      <c r="E9" s="429"/>
    </row>
    <row r="10" spans="1:8" x14ac:dyDescent="0.25">
      <c r="B10" s="167" t="s">
        <v>646</v>
      </c>
      <c r="C10" s="157">
        <v>6</v>
      </c>
      <c r="E10" s="430"/>
      <c r="G10" s="82"/>
    </row>
    <row r="11" spans="1:8" x14ac:dyDescent="0.25">
      <c r="B11" s="167" t="s">
        <v>647</v>
      </c>
      <c r="C11" s="157">
        <v>7</v>
      </c>
      <c r="E11" s="430"/>
    </row>
    <row r="12" spans="1:8" x14ac:dyDescent="0.25">
      <c r="B12" s="167" t="s">
        <v>648</v>
      </c>
      <c r="C12" s="157">
        <v>6</v>
      </c>
      <c r="E12" s="430"/>
    </row>
    <row r="13" spans="1:8" x14ac:dyDescent="0.25">
      <c r="B13" s="167" t="s">
        <v>649</v>
      </c>
      <c r="C13" s="157">
        <v>2</v>
      </c>
      <c r="E13" s="430"/>
    </row>
    <row r="14" spans="1:8" x14ac:dyDescent="0.25">
      <c r="B14" s="167" t="s">
        <v>650</v>
      </c>
      <c r="C14" s="157">
        <v>1</v>
      </c>
      <c r="E14" s="430"/>
    </row>
    <row r="15" spans="1:8" x14ac:dyDescent="0.25">
      <c r="B15" s="167" t="s">
        <v>651</v>
      </c>
      <c r="C15" s="157">
        <v>1</v>
      </c>
      <c r="E15" s="430"/>
    </row>
    <row r="16" spans="1:8" x14ac:dyDescent="0.25">
      <c r="B16" s="167" t="s">
        <v>652</v>
      </c>
      <c r="C16" s="157">
        <v>1</v>
      </c>
      <c r="E16" s="430"/>
    </row>
    <row r="17" spans="2:5" x14ac:dyDescent="0.25">
      <c r="B17" s="167" t="s">
        <v>653</v>
      </c>
      <c r="C17" s="157">
        <v>940</v>
      </c>
      <c r="E17" s="430"/>
    </row>
    <row r="18" spans="2:5" x14ac:dyDescent="0.25">
      <c r="B18" s="167" t="s">
        <v>654</v>
      </c>
      <c r="C18" s="157">
        <v>404864</v>
      </c>
      <c r="E18" s="430"/>
    </row>
    <row r="19" spans="2:5" x14ac:dyDescent="0.25">
      <c r="B19" s="167" t="s">
        <v>655</v>
      </c>
      <c r="C19" s="157">
        <v>23767</v>
      </c>
      <c r="E19" s="430"/>
    </row>
    <row r="20" spans="2:5" x14ac:dyDescent="0.25">
      <c r="B20" s="167" t="s">
        <v>656</v>
      </c>
      <c r="C20" s="157">
        <v>3189</v>
      </c>
      <c r="E20" s="430"/>
    </row>
    <row r="21" spans="2:5" x14ac:dyDescent="0.25">
      <c r="B21" s="167" t="s">
        <v>657</v>
      </c>
      <c r="C21" s="157">
        <v>57060</v>
      </c>
      <c r="E21" s="430"/>
    </row>
    <row r="22" spans="2:5" x14ac:dyDescent="0.25">
      <c r="B22" s="167" t="s">
        <v>658</v>
      </c>
      <c r="C22" s="157">
        <v>3004</v>
      </c>
      <c r="E22" s="430"/>
    </row>
    <row r="23" spans="2:5" x14ac:dyDescent="0.25">
      <c r="B23" s="167" t="s">
        <v>659</v>
      </c>
      <c r="C23" s="157">
        <v>580</v>
      </c>
      <c r="E23" s="430"/>
    </row>
    <row r="24" spans="2:5" x14ac:dyDescent="0.25">
      <c r="B24" s="167" t="s">
        <v>660</v>
      </c>
      <c r="C24" s="157">
        <v>6317</v>
      </c>
      <c r="E24" s="430"/>
    </row>
    <row r="25" spans="2:5" x14ac:dyDescent="0.25">
      <c r="B25" s="167" t="s">
        <v>661</v>
      </c>
      <c r="C25" s="157">
        <v>33095</v>
      </c>
      <c r="E25" s="430"/>
    </row>
    <row r="26" spans="2:5" x14ac:dyDescent="0.25">
      <c r="B26" s="167" t="s">
        <v>662</v>
      </c>
      <c r="C26" s="157">
        <v>3269</v>
      </c>
      <c r="E26" s="430"/>
    </row>
    <row r="27" spans="2:5" x14ac:dyDescent="0.25">
      <c r="B27" s="167" t="s">
        <v>663</v>
      </c>
      <c r="C27" s="157">
        <v>5444</v>
      </c>
      <c r="E27" s="430"/>
    </row>
    <row r="28" spans="2:5" x14ac:dyDescent="0.25">
      <c r="B28" s="167" t="s">
        <v>664</v>
      </c>
      <c r="C28" s="157">
        <v>2113</v>
      </c>
      <c r="E28" s="430"/>
    </row>
    <row r="29" spans="2:5" x14ac:dyDescent="0.25">
      <c r="B29" s="167" t="s">
        <v>665</v>
      </c>
      <c r="C29" s="157">
        <v>187984</v>
      </c>
      <c r="E29" s="430"/>
    </row>
    <row r="30" spans="2:5" x14ac:dyDescent="0.25">
      <c r="B30" s="167" t="s">
        <v>666</v>
      </c>
      <c r="C30" s="157">
        <v>1</v>
      </c>
      <c r="E30" s="430"/>
    </row>
    <row r="31" spans="2:5" x14ac:dyDescent="0.25">
      <c r="B31" s="167" t="s">
        <v>667</v>
      </c>
      <c r="C31" s="157">
        <v>9570</v>
      </c>
      <c r="E31" s="430"/>
    </row>
    <row r="32" spans="2:5" x14ac:dyDescent="0.25">
      <c r="B32" s="167" t="s">
        <v>668</v>
      </c>
      <c r="C32" s="157">
        <v>5185</v>
      </c>
      <c r="E32" s="430"/>
    </row>
    <row r="33" spans="2:5" x14ac:dyDescent="0.25">
      <c r="B33" s="167" t="s">
        <v>669</v>
      </c>
      <c r="C33" s="157">
        <v>2</v>
      </c>
      <c r="E33" s="430"/>
    </row>
    <row r="34" spans="2:5" x14ac:dyDescent="0.25">
      <c r="B34" s="167" t="s">
        <v>670</v>
      </c>
      <c r="C34" s="157">
        <v>1000</v>
      </c>
      <c r="E34" s="430"/>
    </row>
    <row r="35" spans="2:5" x14ac:dyDescent="0.25">
      <c r="B35" s="167" t="s">
        <v>671</v>
      </c>
      <c r="C35" s="157">
        <v>47794</v>
      </c>
      <c r="E35" s="430"/>
    </row>
    <row r="36" spans="2:5" x14ac:dyDescent="0.25">
      <c r="B36" s="167" t="s">
        <v>672</v>
      </c>
      <c r="C36" s="157">
        <v>1724</v>
      </c>
      <c r="E36" s="430"/>
    </row>
    <row r="37" spans="2:5" x14ac:dyDescent="0.25">
      <c r="B37" s="167" t="s">
        <v>673</v>
      </c>
      <c r="C37" s="157">
        <v>486</v>
      </c>
      <c r="E37" s="430"/>
    </row>
    <row r="38" spans="2:5" x14ac:dyDescent="0.25">
      <c r="B38" s="167" t="s">
        <v>674</v>
      </c>
      <c r="C38" s="157">
        <v>107</v>
      </c>
      <c r="E38" s="430"/>
    </row>
    <row r="39" spans="2:5" x14ac:dyDescent="0.25">
      <c r="B39" s="167" t="s">
        <v>675</v>
      </c>
      <c r="C39" s="157">
        <v>1563</v>
      </c>
      <c r="E39" s="430"/>
    </row>
    <row r="40" spans="2:5" x14ac:dyDescent="0.25">
      <c r="B40" s="167" t="s">
        <v>676</v>
      </c>
      <c r="C40" s="157">
        <v>14</v>
      </c>
      <c r="E40" s="430"/>
    </row>
    <row r="41" spans="2:5" x14ac:dyDescent="0.25">
      <c r="B41" s="167" t="s">
        <v>677</v>
      </c>
      <c r="C41" s="157">
        <v>5</v>
      </c>
      <c r="E41" s="430"/>
    </row>
    <row r="42" spans="2:5" x14ac:dyDescent="0.25">
      <c r="B42" s="167" t="s">
        <v>678</v>
      </c>
      <c r="C42" s="157">
        <v>17335</v>
      </c>
      <c r="E42" s="430"/>
    </row>
    <row r="43" spans="2:5" x14ac:dyDescent="0.25">
      <c r="B43" s="167" t="s">
        <v>679</v>
      </c>
      <c r="C43" s="157">
        <v>215</v>
      </c>
      <c r="E43" s="430"/>
    </row>
    <row r="44" spans="2:5" x14ac:dyDescent="0.25">
      <c r="B44" s="167" t="s">
        <v>680</v>
      </c>
      <c r="C44" s="157">
        <v>5</v>
      </c>
      <c r="E44" s="430"/>
    </row>
    <row r="45" spans="2:5" x14ac:dyDescent="0.25">
      <c r="B45" s="167" t="s">
        <v>681</v>
      </c>
      <c r="C45" s="157">
        <v>56818</v>
      </c>
      <c r="E45" s="430"/>
    </row>
    <row r="46" spans="2:5" x14ac:dyDescent="0.25">
      <c r="B46" s="167" t="s">
        <v>682</v>
      </c>
      <c r="C46" s="157">
        <v>2070</v>
      </c>
      <c r="E46" s="430"/>
    </row>
    <row r="47" spans="2:5" x14ac:dyDescent="0.25">
      <c r="B47" s="167" t="s">
        <v>683</v>
      </c>
      <c r="C47" s="157">
        <v>9</v>
      </c>
      <c r="E47" s="430"/>
    </row>
    <row r="48" spans="2:5" x14ac:dyDescent="0.25">
      <c r="B48" s="167" t="s">
        <v>684</v>
      </c>
      <c r="C48" s="157">
        <v>90163</v>
      </c>
      <c r="E48" s="430"/>
    </row>
    <row r="49" spans="2:5" x14ac:dyDescent="0.25">
      <c r="B49" s="167" t="s">
        <v>685</v>
      </c>
      <c r="C49" s="157">
        <v>226</v>
      </c>
      <c r="E49" s="430"/>
    </row>
    <row r="50" spans="2:5" x14ac:dyDescent="0.25">
      <c r="B50" s="167" t="s">
        <v>686</v>
      </c>
      <c r="C50" s="157">
        <v>3</v>
      </c>
      <c r="E50" s="430"/>
    </row>
    <row r="51" spans="2:5" x14ac:dyDescent="0.25">
      <c r="B51" s="167" t="s">
        <v>687</v>
      </c>
      <c r="C51" s="157">
        <v>13651</v>
      </c>
      <c r="E51" s="430"/>
    </row>
    <row r="52" spans="2:5" x14ac:dyDescent="0.25">
      <c r="B52" s="167" t="s">
        <v>688</v>
      </c>
      <c r="C52" s="157">
        <v>3</v>
      </c>
      <c r="E52" s="430"/>
    </row>
    <row r="53" spans="2:5" x14ac:dyDescent="0.25">
      <c r="B53" s="167" t="s">
        <v>689</v>
      </c>
      <c r="C53" s="157">
        <v>81791</v>
      </c>
      <c r="E53" s="430"/>
    </row>
    <row r="54" spans="2:5" x14ac:dyDescent="0.25">
      <c r="B54" s="167" t="s">
        <v>690</v>
      </c>
      <c r="C54" s="157">
        <v>48277</v>
      </c>
      <c r="E54" s="430"/>
    </row>
    <row r="55" spans="2:5" x14ac:dyDescent="0.25">
      <c r="B55" s="167" t="s">
        <v>691</v>
      </c>
      <c r="C55" s="157">
        <v>2022</v>
      </c>
    </row>
    <row r="56" spans="2:5" x14ac:dyDescent="0.25">
      <c r="B56" s="167" t="s">
        <v>692</v>
      </c>
      <c r="C56" s="157">
        <v>305</v>
      </c>
    </row>
    <row r="57" spans="2:5" x14ac:dyDescent="0.25">
      <c r="B57" s="167" t="s">
        <v>693</v>
      </c>
      <c r="C57" s="157">
        <v>1029718</v>
      </c>
    </row>
    <row r="58" spans="2:5" x14ac:dyDescent="0.25">
      <c r="B58" s="167" t="s">
        <v>694</v>
      </c>
      <c r="C58" s="157">
        <v>1</v>
      </c>
    </row>
    <row r="59" spans="2:5" x14ac:dyDescent="0.25">
      <c r="B59" s="167" t="s">
        <v>695</v>
      </c>
      <c r="C59" s="157">
        <v>40023</v>
      </c>
    </row>
    <row r="60" spans="2:5" x14ac:dyDescent="0.25">
      <c r="B60" s="167" t="s">
        <v>696</v>
      </c>
      <c r="C60" s="157">
        <v>713</v>
      </c>
    </row>
    <row r="61" spans="2:5" x14ac:dyDescent="0.25">
      <c r="B61" s="167" t="s">
        <v>697</v>
      </c>
      <c r="C61" s="157">
        <v>465</v>
      </c>
    </row>
    <row r="62" spans="2:5" x14ac:dyDescent="0.25">
      <c r="B62" s="167" t="s">
        <v>698</v>
      </c>
      <c r="C62" s="157">
        <v>70758</v>
      </c>
    </row>
    <row r="63" spans="2:5" x14ac:dyDescent="0.25">
      <c r="B63" s="167" t="s">
        <v>699</v>
      </c>
      <c r="C63" s="157">
        <v>15391</v>
      </c>
    </row>
    <row r="64" spans="2:5" x14ac:dyDescent="0.25">
      <c r="B64" s="167" t="s">
        <v>700</v>
      </c>
      <c r="C64" s="157">
        <v>20468</v>
      </c>
    </row>
    <row r="65" spans="2:3" x14ac:dyDescent="0.25">
      <c r="B65" s="167" t="s">
        <v>701</v>
      </c>
      <c r="C65" s="157">
        <v>4670</v>
      </c>
    </row>
    <row r="66" spans="2:3" x14ac:dyDescent="0.25">
      <c r="B66" s="167" t="s">
        <v>702</v>
      </c>
      <c r="C66" s="157">
        <v>5121</v>
      </c>
    </row>
    <row r="67" spans="2:3" x14ac:dyDescent="0.25">
      <c r="B67" s="167" t="s">
        <v>703</v>
      </c>
      <c r="C67" s="157">
        <v>12801</v>
      </c>
    </row>
    <row r="68" spans="2:3" x14ac:dyDescent="0.25">
      <c r="B68" s="167" t="s">
        <v>704</v>
      </c>
      <c r="C68" s="157">
        <v>2</v>
      </c>
    </row>
    <row r="69" spans="2:3" x14ac:dyDescent="0.25">
      <c r="B69" s="167" t="s">
        <v>705</v>
      </c>
      <c r="C69" s="157">
        <v>10340</v>
      </c>
    </row>
    <row r="70" spans="2:3" x14ac:dyDescent="0.25">
      <c r="B70" s="167" t="s">
        <v>706</v>
      </c>
      <c r="C70" s="157">
        <v>22</v>
      </c>
    </row>
    <row r="71" spans="2:3" x14ac:dyDescent="0.25">
      <c r="B71" s="167" t="s">
        <v>707</v>
      </c>
      <c r="C71" s="157">
        <v>393396</v>
      </c>
    </row>
    <row r="72" spans="2:3" x14ac:dyDescent="0.25">
      <c r="B72" s="167" t="s">
        <v>708</v>
      </c>
      <c r="C72" s="157">
        <v>24045</v>
      </c>
    </row>
    <row r="73" spans="2:3" x14ac:dyDescent="0.25">
      <c r="B73" s="167" t="s">
        <v>709</v>
      </c>
      <c r="C73" s="157">
        <v>27022</v>
      </c>
    </row>
    <row r="74" spans="2:3" x14ac:dyDescent="0.25">
      <c r="B74" s="167" t="s">
        <v>710</v>
      </c>
      <c r="C74" s="157">
        <v>7853</v>
      </c>
    </row>
    <row r="75" spans="2:3" x14ac:dyDescent="0.25">
      <c r="B75" s="167" t="s">
        <v>711</v>
      </c>
      <c r="C75" s="157">
        <v>679</v>
      </c>
    </row>
    <row r="76" spans="2:3" x14ac:dyDescent="0.25">
      <c r="B76" s="167" t="s">
        <v>712</v>
      </c>
      <c r="C76" s="157">
        <v>134</v>
      </c>
    </row>
    <row r="77" spans="2:3" x14ac:dyDescent="0.25">
      <c r="B77" s="167" t="s">
        <v>713</v>
      </c>
      <c r="C77" s="157">
        <v>9370</v>
      </c>
    </row>
  </sheetData>
  <hyperlinks>
    <hyperlink ref="A1" location="Navigation!A1" display="Home"/>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sheetPr>
  <dimension ref="A1:H12"/>
  <sheetViews>
    <sheetView zoomScaleNormal="100" workbookViewId="0"/>
  </sheetViews>
  <sheetFormatPr defaultRowHeight="15" x14ac:dyDescent="0.25"/>
  <cols>
    <col min="1" max="1" width="1.140625" customWidth="1"/>
    <col min="2" max="2" width="13.42578125" customWidth="1"/>
    <col min="3" max="3" width="14.5703125" customWidth="1"/>
    <col min="4" max="4" width="15.85546875" bestFit="1" customWidth="1"/>
    <col min="5" max="5" width="14.28515625" bestFit="1" customWidth="1"/>
    <col min="6" max="7" width="12.140625" bestFit="1" customWidth="1"/>
  </cols>
  <sheetData>
    <row r="1" spans="1:8" x14ac:dyDescent="0.25">
      <c r="A1" s="173" t="s">
        <v>377</v>
      </c>
      <c r="B1" s="167"/>
      <c r="C1" s="167"/>
    </row>
    <row r="2" spans="1:8" ht="18.75" x14ac:dyDescent="0.3">
      <c r="A2" s="167"/>
      <c r="B2" s="1" t="s">
        <v>481</v>
      </c>
      <c r="C2" s="167"/>
    </row>
    <row r="3" spans="1:8" x14ac:dyDescent="0.25">
      <c r="A3" s="167"/>
      <c r="B3" s="167"/>
      <c r="C3" s="167"/>
    </row>
    <row r="4" spans="1:8" x14ac:dyDescent="0.25">
      <c r="A4" s="167"/>
      <c r="B4" s="26" t="s">
        <v>57</v>
      </c>
      <c r="C4" s="24" t="s">
        <v>899</v>
      </c>
      <c r="D4" s="167"/>
      <c r="E4" s="167"/>
      <c r="F4" s="167"/>
      <c r="G4" s="167"/>
    </row>
    <row r="5" spans="1:8" x14ac:dyDescent="0.25">
      <c r="A5" s="167"/>
      <c r="B5" s="26" t="s">
        <v>232</v>
      </c>
      <c r="C5" s="24" t="s">
        <v>482</v>
      </c>
      <c r="D5" s="167"/>
      <c r="E5" s="167"/>
      <c r="F5" s="167"/>
      <c r="G5" s="167"/>
    </row>
    <row r="6" spans="1:8" x14ac:dyDescent="0.25">
      <c r="B6" s="167"/>
      <c r="C6" s="386">
        <v>1</v>
      </c>
      <c r="D6" s="386">
        <v>2</v>
      </c>
      <c r="E6" s="386">
        <v>3</v>
      </c>
      <c r="F6" s="386">
        <v>4</v>
      </c>
      <c r="G6" s="386">
        <v>5</v>
      </c>
      <c r="H6" s="386"/>
    </row>
    <row r="7" spans="1:8" x14ac:dyDescent="0.25">
      <c r="B7" s="12" t="s">
        <v>14</v>
      </c>
      <c r="C7" s="12" t="s">
        <v>16</v>
      </c>
      <c r="D7" s="12" t="s">
        <v>17</v>
      </c>
      <c r="E7" s="12" t="s">
        <v>18</v>
      </c>
      <c r="F7" s="12" t="s">
        <v>435</v>
      </c>
      <c r="G7" s="12" t="s">
        <v>19</v>
      </c>
    </row>
    <row r="8" spans="1:8" x14ac:dyDescent="0.25">
      <c r="B8" s="167" t="s">
        <v>483</v>
      </c>
      <c r="C8" s="167" t="s">
        <v>379</v>
      </c>
      <c r="D8" s="157">
        <v>2329</v>
      </c>
      <c r="E8" s="257">
        <v>1524217.5378350499</v>
      </c>
      <c r="F8" s="257">
        <v>654.45149756764795</v>
      </c>
      <c r="G8" s="257">
        <v>654.45149756764795</v>
      </c>
    </row>
    <row r="9" spans="1:8" x14ac:dyDescent="0.25">
      <c r="B9" s="167" t="s">
        <v>483</v>
      </c>
      <c r="C9" s="167" t="s">
        <v>380</v>
      </c>
      <c r="D9" s="157">
        <v>188</v>
      </c>
      <c r="E9" s="257">
        <v>35847.556741833803</v>
      </c>
      <c r="F9" s="257">
        <v>190.67849330762601</v>
      </c>
      <c r="G9" s="257">
        <v>190.67849330762601</v>
      </c>
    </row>
    <row r="10" spans="1:8" x14ac:dyDescent="0.25">
      <c r="B10" s="167" t="s">
        <v>483</v>
      </c>
      <c r="C10" s="167" t="s">
        <v>381</v>
      </c>
      <c r="D10" s="157">
        <v>79</v>
      </c>
      <c r="E10" s="257">
        <v>29596.7921953439</v>
      </c>
      <c r="F10" s="257">
        <v>374.64293918156801</v>
      </c>
      <c r="G10" s="257">
        <v>374.64293918156801</v>
      </c>
    </row>
    <row r="11" spans="1:8" x14ac:dyDescent="0.25">
      <c r="B11" s="167" t="s">
        <v>483</v>
      </c>
      <c r="C11" s="167" t="s">
        <v>382</v>
      </c>
      <c r="D11" s="157">
        <v>46</v>
      </c>
      <c r="E11" s="257">
        <v>4591.5978989691803</v>
      </c>
      <c r="F11" s="257">
        <v>99.817345629764702</v>
      </c>
      <c r="G11" s="257">
        <v>99.817345629764702</v>
      </c>
    </row>
    <row r="12" spans="1:8" x14ac:dyDescent="0.25">
      <c r="C12" s="10" t="s">
        <v>455</v>
      </c>
      <c r="D12" s="448">
        <f>SUM(D8:D11)</f>
        <v>2642</v>
      </c>
      <c r="E12" s="449">
        <f>SUM(E8:E11)</f>
        <v>1594253.4846711967</v>
      </c>
      <c r="F12" s="449">
        <f>SUM(F8:F11)</f>
        <v>1319.5902756866067</v>
      </c>
      <c r="G12" s="449">
        <f>SUM(G8:G11)</f>
        <v>1319.5902756866067</v>
      </c>
    </row>
  </sheetData>
  <hyperlinks>
    <hyperlink ref="A1" location="Navigation!A1" display="Home"/>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sheetPr>
  <dimension ref="A1:I98"/>
  <sheetViews>
    <sheetView zoomScaleNormal="100" workbookViewId="0"/>
  </sheetViews>
  <sheetFormatPr defaultColWidth="9.140625" defaultRowHeight="12.75" x14ac:dyDescent="0.2"/>
  <cols>
    <col min="1" max="1" width="9.5703125" style="260" customWidth="1"/>
    <col min="2" max="2" width="81.140625" style="260" bestFit="1" customWidth="1"/>
    <col min="3" max="3" width="16.5703125" style="260" customWidth="1"/>
    <col min="4" max="4" width="11.28515625" style="260" customWidth="1"/>
    <col min="5" max="16384" width="9.140625" style="260"/>
  </cols>
  <sheetData>
    <row r="1" spans="1:4" ht="12.75" customHeight="1" x14ac:dyDescent="0.2">
      <c r="A1" s="258" t="s">
        <v>446</v>
      </c>
      <c r="B1" s="259"/>
    </row>
    <row r="2" spans="1:4" ht="11.25" customHeight="1" x14ac:dyDescent="0.2">
      <c r="A2" s="173" t="s">
        <v>377</v>
      </c>
      <c r="B2" s="261"/>
    </row>
    <row r="3" spans="1:4" ht="11.25" customHeight="1" x14ac:dyDescent="0.2">
      <c r="A3" s="295" t="s">
        <v>57</v>
      </c>
      <c r="B3" s="296" t="s">
        <v>447</v>
      </c>
    </row>
    <row r="4" spans="1:4" s="241" customFormat="1" ht="11.25" x14ac:dyDescent="0.25">
      <c r="A4" s="262" t="s">
        <v>254</v>
      </c>
      <c r="B4" s="263"/>
      <c r="C4" s="240"/>
    </row>
    <row r="5" spans="1:4" x14ac:dyDescent="0.2">
      <c r="A5" s="264"/>
      <c r="B5" s="261"/>
      <c r="C5" s="265"/>
      <c r="D5" s="243"/>
    </row>
    <row r="6" spans="1:4" ht="15" x14ac:dyDescent="0.25">
      <c r="A6" s="266">
        <v>1</v>
      </c>
      <c r="B6" s="883" t="s">
        <v>169</v>
      </c>
      <c r="C6" s="265"/>
      <c r="D6" s="243"/>
    </row>
    <row r="7" spans="1:4" ht="15" x14ac:dyDescent="0.25">
      <c r="A7" s="266">
        <v>2</v>
      </c>
      <c r="B7" s="884" t="s">
        <v>143</v>
      </c>
      <c r="C7" s="265"/>
      <c r="D7" s="243"/>
    </row>
    <row r="8" spans="1:4" ht="15" x14ac:dyDescent="0.25">
      <c r="A8" s="266">
        <v>3</v>
      </c>
      <c r="B8" s="883" t="s">
        <v>149</v>
      </c>
      <c r="C8" s="265"/>
      <c r="D8" s="243"/>
    </row>
    <row r="9" spans="1:4" ht="13.5" thickBot="1" x14ac:dyDescent="0.25">
      <c r="A9" s="267"/>
      <c r="B9" s="268"/>
      <c r="C9" s="267"/>
      <c r="D9" s="268"/>
    </row>
    <row r="10" spans="1:4" x14ac:dyDescent="0.2">
      <c r="A10" s="240"/>
      <c r="B10" s="269"/>
      <c r="C10" s="240"/>
      <c r="D10" s="269"/>
    </row>
    <row r="11" spans="1:4" x14ac:dyDescent="0.2">
      <c r="A11" s="270">
        <v>1</v>
      </c>
      <c r="B11" s="271" t="s">
        <v>169</v>
      </c>
      <c r="C11" s="265"/>
      <c r="D11" s="265"/>
    </row>
    <row r="12" spans="1:4" ht="13.5" thickBot="1" x14ac:dyDescent="0.25">
      <c r="A12" s="266"/>
      <c r="B12" s="297">
        <v>2</v>
      </c>
      <c r="C12" s="298">
        <v>3</v>
      </c>
      <c r="D12" s="298">
        <v>4</v>
      </c>
    </row>
    <row r="13" spans="1:4" ht="34.5" thickBot="1" x14ac:dyDescent="0.25">
      <c r="A13" s="224" t="s">
        <v>93</v>
      </c>
      <c r="B13" s="225" t="s">
        <v>94</v>
      </c>
      <c r="C13" s="226" t="s">
        <v>95</v>
      </c>
      <c r="D13" s="227" t="s">
        <v>96</v>
      </c>
    </row>
    <row r="14" spans="1:4" x14ac:dyDescent="0.2">
      <c r="A14" s="228" t="s">
        <v>179</v>
      </c>
      <c r="B14" s="229" t="s">
        <v>316</v>
      </c>
      <c r="C14" s="272">
        <v>123</v>
      </c>
      <c r="D14" s="273">
        <v>22</v>
      </c>
    </row>
    <row r="15" spans="1:4" x14ac:dyDescent="0.2">
      <c r="A15" s="230" t="s">
        <v>180</v>
      </c>
      <c r="B15" s="231" t="s">
        <v>317</v>
      </c>
      <c r="C15" s="274">
        <v>131</v>
      </c>
      <c r="D15" s="275">
        <v>22</v>
      </c>
    </row>
    <row r="16" spans="1:4" x14ac:dyDescent="0.2">
      <c r="A16" s="230" t="s">
        <v>181</v>
      </c>
      <c r="B16" s="231" t="s">
        <v>318</v>
      </c>
      <c r="C16" s="274">
        <v>151</v>
      </c>
      <c r="D16" s="275">
        <v>22</v>
      </c>
    </row>
    <row r="17" spans="1:4" x14ac:dyDescent="0.2">
      <c r="A17" s="230" t="s">
        <v>182</v>
      </c>
      <c r="B17" s="231" t="s">
        <v>319</v>
      </c>
      <c r="C17" s="274">
        <v>143</v>
      </c>
      <c r="D17" s="275">
        <v>22</v>
      </c>
    </row>
    <row r="18" spans="1:4" x14ac:dyDescent="0.2">
      <c r="A18" s="230" t="s">
        <v>183</v>
      </c>
      <c r="B18" s="231" t="s">
        <v>320</v>
      </c>
      <c r="C18" s="274">
        <v>162</v>
      </c>
      <c r="D18" s="275">
        <v>22</v>
      </c>
    </row>
    <row r="19" spans="1:4" x14ac:dyDescent="0.2">
      <c r="A19" s="230" t="s">
        <v>184</v>
      </c>
      <c r="B19" s="231" t="s">
        <v>321</v>
      </c>
      <c r="C19" s="274">
        <v>176</v>
      </c>
      <c r="D19" s="275">
        <v>22</v>
      </c>
    </row>
    <row r="20" spans="1:4" x14ac:dyDescent="0.2">
      <c r="A20" s="230" t="s">
        <v>97</v>
      </c>
      <c r="B20" s="231" t="s">
        <v>98</v>
      </c>
      <c r="C20" s="274">
        <v>181</v>
      </c>
      <c r="D20" s="275">
        <v>22</v>
      </c>
    </row>
    <row r="21" spans="1:4" x14ac:dyDescent="0.2">
      <c r="A21" s="230" t="s">
        <v>99</v>
      </c>
      <c r="B21" s="231" t="s">
        <v>100</v>
      </c>
      <c r="C21" s="274">
        <v>156</v>
      </c>
      <c r="D21" s="275">
        <v>22</v>
      </c>
    </row>
    <row r="22" spans="1:4" x14ac:dyDescent="0.2">
      <c r="A22" s="232" t="s">
        <v>101</v>
      </c>
      <c r="B22" s="233" t="s">
        <v>102</v>
      </c>
      <c r="C22" s="276">
        <v>209</v>
      </c>
      <c r="D22" s="277">
        <v>28</v>
      </c>
    </row>
    <row r="23" spans="1:4" x14ac:dyDescent="0.2">
      <c r="A23" s="230" t="s">
        <v>103</v>
      </c>
      <c r="B23" s="231" t="s">
        <v>104</v>
      </c>
      <c r="C23" s="274">
        <v>194</v>
      </c>
      <c r="D23" s="275">
        <v>28</v>
      </c>
    </row>
    <row r="24" spans="1:4" x14ac:dyDescent="0.2">
      <c r="A24" s="234" t="s">
        <v>105</v>
      </c>
      <c r="B24" s="235" t="s">
        <v>106</v>
      </c>
      <c r="C24" s="278">
        <v>288</v>
      </c>
      <c r="D24" s="279">
        <v>28</v>
      </c>
    </row>
    <row r="25" spans="1:4" x14ac:dyDescent="0.2">
      <c r="A25" s="232" t="s">
        <v>185</v>
      </c>
      <c r="B25" s="233" t="s">
        <v>324</v>
      </c>
      <c r="C25" s="276">
        <v>77</v>
      </c>
      <c r="D25" s="277">
        <v>20</v>
      </c>
    </row>
    <row r="26" spans="1:4" x14ac:dyDescent="0.2">
      <c r="A26" s="230" t="s">
        <v>186</v>
      </c>
      <c r="B26" s="231" t="s">
        <v>325</v>
      </c>
      <c r="C26" s="274">
        <v>80</v>
      </c>
      <c r="D26" s="275">
        <v>20</v>
      </c>
    </row>
    <row r="27" spans="1:4" x14ac:dyDescent="0.2">
      <c r="A27" s="230" t="s">
        <v>187</v>
      </c>
      <c r="B27" s="231" t="s">
        <v>326</v>
      </c>
      <c r="C27" s="274">
        <v>101</v>
      </c>
      <c r="D27" s="275">
        <v>20</v>
      </c>
    </row>
    <row r="28" spans="1:4" x14ac:dyDescent="0.2">
      <c r="A28" s="230" t="s">
        <v>188</v>
      </c>
      <c r="B28" s="231" t="s">
        <v>327</v>
      </c>
      <c r="C28" s="274">
        <v>89</v>
      </c>
      <c r="D28" s="275">
        <v>20</v>
      </c>
    </row>
    <row r="29" spans="1:4" x14ac:dyDescent="0.2">
      <c r="A29" s="236" t="s">
        <v>189</v>
      </c>
      <c r="B29" s="231" t="s">
        <v>328</v>
      </c>
      <c r="C29" s="274">
        <v>90</v>
      </c>
      <c r="D29" s="275">
        <v>20</v>
      </c>
    </row>
    <row r="30" spans="1:4" x14ac:dyDescent="0.2">
      <c r="A30" s="230" t="s">
        <v>190</v>
      </c>
      <c r="B30" s="231" t="s">
        <v>329</v>
      </c>
      <c r="C30" s="274">
        <v>111</v>
      </c>
      <c r="D30" s="275">
        <v>20</v>
      </c>
    </row>
    <row r="31" spans="1:4" x14ac:dyDescent="0.2">
      <c r="A31" s="230" t="s">
        <v>107</v>
      </c>
      <c r="B31" s="231" t="s">
        <v>108</v>
      </c>
      <c r="C31" s="274">
        <v>82</v>
      </c>
      <c r="D31" s="275">
        <v>20</v>
      </c>
    </row>
    <row r="32" spans="1:4" x14ac:dyDescent="0.2">
      <c r="A32" s="230" t="s">
        <v>109</v>
      </c>
      <c r="B32" s="231" t="s">
        <v>110</v>
      </c>
      <c r="C32" s="274">
        <v>82</v>
      </c>
      <c r="D32" s="275">
        <v>20</v>
      </c>
    </row>
    <row r="33" spans="1:4" x14ac:dyDescent="0.2">
      <c r="A33" s="232" t="s">
        <v>111</v>
      </c>
      <c r="B33" s="233" t="s">
        <v>112</v>
      </c>
      <c r="C33" s="276">
        <v>106</v>
      </c>
      <c r="D33" s="277">
        <v>27</v>
      </c>
    </row>
    <row r="34" spans="1:4" x14ac:dyDescent="0.2">
      <c r="A34" s="230" t="s">
        <v>113</v>
      </c>
      <c r="B34" s="231" t="s">
        <v>114</v>
      </c>
      <c r="C34" s="274">
        <v>103</v>
      </c>
      <c r="D34" s="275">
        <v>27</v>
      </c>
    </row>
    <row r="35" spans="1:4" x14ac:dyDescent="0.2">
      <c r="A35" s="230" t="s">
        <v>115</v>
      </c>
      <c r="B35" s="231" t="s">
        <v>116</v>
      </c>
      <c r="C35" s="274">
        <v>119</v>
      </c>
      <c r="D35" s="275">
        <v>27</v>
      </c>
    </row>
    <row r="36" spans="1:4" x14ac:dyDescent="0.2">
      <c r="A36" s="234" t="s">
        <v>117</v>
      </c>
      <c r="B36" s="235" t="s">
        <v>118</v>
      </c>
      <c r="C36" s="278">
        <v>127</v>
      </c>
      <c r="D36" s="279">
        <v>27</v>
      </c>
    </row>
    <row r="37" spans="1:4" x14ac:dyDescent="0.2">
      <c r="A37" s="234" t="s">
        <v>119</v>
      </c>
      <c r="B37" s="235" t="s">
        <v>120</v>
      </c>
      <c r="C37" s="280">
        <v>60</v>
      </c>
      <c r="D37" s="281">
        <v>11</v>
      </c>
    </row>
    <row r="38" spans="1:4" s="241" customFormat="1" ht="11.25" x14ac:dyDescent="0.25">
      <c r="A38" s="232" t="s">
        <v>121</v>
      </c>
      <c r="B38" s="233" t="s">
        <v>122</v>
      </c>
      <c r="C38" s="276">
        <v>75</v>
      </c>
      <c r="D38" s="277">
        <v>0</v>
      </c>
    </row>
    <row r="39" spans="1:4" s="241" customFormat="1" ht="11.25" x14ac:dyDescent="0.25">
      <c r="A39" s="230" t="s">
        <v>123</v>
      </c>
      <c r="B39" s="231" t="s">
        <v>124</v>
      </c>
      <c r="C39" s="274">
        <v>113</v>
      </c>
      <c r="D39" s="275">
        <v>0</v>
      </c>
    </row>
    <row r="40" spans="1:4" s="241" customFormat="1" ht="11.25" x14ac:dyDescent="0.25">
      <c r="A40" s="234" t="s">
        <v>125</v>
      </c>
      <c r="B40" s="235" t="s">
        <v>126</v>
      </c>
      <c r="C40" s="282">
        <v>135</v>
      </c>
      <c r="D40" s="279">
        <v>0</v>
      </c>
    </row>
    <row r="41" spans="1:4" s="241" customFormat="1" ht="13.5" customHeight="1" x14ac:dyDescent="0.25">
      <c r="A41" s="230" t="s">
        <v>127</v>
      </c>
      <c r="B41" s="231" t="s">
        <v>128</v>
      </c>
      <c r="C41" s="274">
        <v>43</v>
      </c>
      <c r="D41" s="275">
        <v>0</v>
      </c>
    </row>
    <row r="42" spans="1:4" s="241" customFormat="1" ht="11.25" x14ac:dyDescent="0.25">
      <c r="A42" s="234" t="s">
        <v>129</v>
      </c>
      <c r="B42" s="235" t="s">
        <v>130</v>
      </c>
      <c r="C42" s="278">
        <v>55</v>
      </c>
      <c r="D42" s="279">
        <v>0</v>
      </c>
    </row>
    <row r="43" spans="1:4" s="241" customFormat="1" ht="11.25" x14ac:dyDescent="0.25">
      <c r="A43" s="232" t="s">
        <v>131</v>
      </c>
      <c r="B43" s="233" t="s">
        <v>132</v>
      </c>
      <c r="C43" s="276">
        <v>138</v>
      </c>
      <c r="D43" s="277">
        <v>19</v>
      </c>
    </row>
    <row r="44" spans="1:4" s="241" customFormat="1" ht="11.25" x14ac:dyDescent="0.25">
      <c r="A44" s="230" t="s">
        <v>133</v>
      </c>
      <c r="B44" s="231" t="s">
        <v>134</v>
      </c>
      <c r="C44" s="274">
        <v>182</v>
      </c>
      <c r="D44" s="275">
        <v>19</v>
      </c>
    </row>
    <row r="45" spans="1:4" s="241" customFormat="1" ht="11.25" x14ac:dyDescent="0.25">
      <c r="A45" s="232" t="s">
        <v>135</v>
      </c>
      <c r="B45" s="233" t="s">
        <v>136</v>
      </c>
      <c r="C45" s="276">
        <v>212</v>
      </c>
      <c r="D45" s="277">
        <v>25</v>
      </c>
    </row>
    <row r="46" spans="1:4" s="241" customFormat="1" ht="11.25" x14ac:dyDescent="0.25">
      <c r="A46" s="234" t="s">
        <v>137</v>
      </c>
      <c r="B46" s="235" t="s">
        <v>138</v>
      </c>
      <c r="C46" s="278">
        <v>408</v>
      </c>
      <c r="D46" s="279">
        <v>25</v>
      </c>
    </row>
    <row r="47" spans="1:4" s="241" customFormat="1" ht="11.25" x14ac:dyDescent="0.25">
      <c r="A47" s="230" t="s">
        <v>139</v>
      </c>
      <c r="B47" s="231" t="s">
        <v>140</v>
      </c>
      <c r="C47" s="283">
        <v>385</v>
      </c>
      <c r="D47" s="275">
        <v>52</v>
      </c>
    </row>
    <row r="48" spans="1:4" s="241" customFormat="1" ht="11.25" x14ac:dyDescent="0.25">
      <c r="A48" s="234" t="s">
        <v>141</v>
      </c>
      <c r="B48" s="235" t="s">
        <v>142</v>
      </c>
      <c r="C48" s="282">
        <v>405</v>
      </c>
      <c r="D48" s="279">
        <v>52</v>
      </c>
    </row>
    <row r="49" spans="1:4" s="241" customFormat="1" ht="11.25" x14ac:dyDescent="0.25">
      <c r="A49" s="236" t="s">
        <v>191</v>
      </c>
      <c r="B49" s="231" t="s">
        <v>341</v>
      </c>
      <c r="C49" s="283">
        <v>65</v>
      </c>
      <c r="D49" s="275">
        <v>0</v>
      </c>
    </row>
    <row r="50" spans="1:4" s="241" customFormat="1" ht="11.25" x14ac:dyDescent="0.25">
      <c r="A50" s="236" t="s">
        <v>192</v>
      </c>
      <c r="B50" s="231" t="s">
        <v>342</v>
      </c>
      <c r="C50" s="283">
        <v>77</v>
      </c>
      <c r="D50" s="275">
        <v>0</v>
      </c>
    </row>
    <row r="51" spans="1:4" s="241" customFormat="1" ht="11.25" x14ac:dyDescent="0.25">
      <c r="A51" s="237" t="s">
        <v>193</v>
      </c>
      <c r="B51" s="235" t="s">
        <v>343</v>
      </c>
      <c r="C51" s="282">
        <v>91</v>
      </c>
      <c r="D51" s="279">
        <v>0</v>
      </c>
    </row>
    <row r="52" spans="1:4" s="241" customFormat="1" ht="11.25" x14ac:dyDescent="0.25">
      <c r="A52" s="236" t="s">
        <v>194</v>
      </c>
      <c r="B52" s="231" t="s">
        <v>344</v>
      </c>
      <c r="C52" s="283">
        <v>327</v>
      </c>
      <c r="D52" s="275">
        <v>22</v>
      </c>
    </row>
    <row r="53" spans="1:4" s="241" customFormat="1" ht="11.25" x14ac:dyDescent="0.25">
      <c r="A53" s="236" t="s">
        <v>195</v>
      </c>
      <c r="B53" s="231" t="s">
        <v>345</v>
      </c>
      <c r="C53" s="283">
        <v>327</v>
      </c>
      <c r="D53" s="275">
        <v>22</v>
      </c>
    </row>
    <row r="54" spans="1:4" s="241" customFormat="1" ht="12" thickBot="1" x14ac:dyDescent="0.3">
      <c r="A54" s="238" t="s">
        <v>196</v>
      </c>
      <c r="B54" s="239" t="s">
        <v>346</v>
      </c>
      <c r="C54" s="284">
        <v>513</v>
      </c>
      <c r="D54" s="285">
        <v>22</v>
      </c>
    </row>
    <row r="55" spans="1:4" s="241" customFormat="1" ht="13.5" customHeight="1" thickBot="1" x14ac:dyDescent="0.25">
      <c r="A55" s="286"/>
      <c r="B55" s="287"/>
      <c r="C55" s="287"/>
      <c r="D55" s="287"/>
    </row>
    <row r="56" spans="1:4" s="241" customFormat="1" ht="11.25" x14ac:dyDescent="0.25">
      <c r="A56" s="240"/>
      <c r="D56" s="240"/>
    </row>
    <row r="57" spans="1:4" s="241" customFormat="1" ht="11.25" x14ac:dyDescent="0.25">
      <c r="A57" s="242">
        <v>2</v>
      </c>
      <c r="B57" s="243" t="s">
        <v>143</v>
      </c>
      <c r="C57" s="243"/>
      <c r="D57" s="288" t="s">
        <v>144</v>
      </c>
    </row>
    <row r="58" spans="1:4" s="241" customFormat="1" ht="12" thickBot="1" x14ac:dyDescent="0.3">
      <c r="A58" s="240"/>
      <c r="D58" s="240"/>
    </row>
    <row r="59" spans="1:4" s="241" customFormat="1" ht="12" thickBot="1" x14ac:dyDescent="0.25">
      <c r="A59" s="244" t="s">
        <v>93</v>
      </c>
      <c r="B59" s="245" t="s">
        <v>94</v>
      </c>
      <c r="C59" s="246" t="s">
        <v>145</v>
      </c>
      <c r="D59" s="247"/>
    </row>
    <row r="60" spans="1:4" s="241" customFormat="1" ht="11.25" x14ac:dyDescent="0.2">
      <c r="A60" s="248" t="s">
        <v>32</v>
      </c>
      <c r="B60" s="229" t="s">
        <v>86</v>
      </c>
      <c r="C60" s="289">
        <v>119</v>
      </c>
      <c r="D60" s="247"/>
    </row>
    <row r="61" spans="1:4" s="241" customFormat="1" ht="11.25" x14ac:dyDescent="0.2">
      <c r="A61" s="249" t="s">
        <v>33</v>
      </c>
      <c r="B61" s="231" t="s">
        <v>87</v>
      </c>
      <c r="C61" s="290">
        <v>149</v>
      </c>
      <c r="D61" s="247"/>
    </row>
    <row r="62" spans="1:4" s="241" customFormat="1" ht="11.25" x14ac:dyDescent="0.2">
      <c r="A62" s="249" t="s">
        <v>34</v>
      </c>
      <c r="B62" s="231" t="s">
        <v>88</v>
      </c>
      <c r="C62" s="290">
        <v>297</v>
      </c>
      <c r="D62" s="247"/>
    </row>
    <row r="63" spans="1:4" s="241" customFormat="1" ht="11.25" x14ac:dyDescent="0.2">
      <c r="A63" s="249" t="s">
        <v>35</v>
      </c>
      <c r="B63" s="231" t="s">
        <v>89</v>
      </c>
      <c r="C63" s="290">
        <v>446</v>
      </c>
      <c r="D63" s="247"/>
    </row>
    <row r="64" spans="1:4" s="241" customFormat="1" ht="11.25" x14ac:dyDescent="0.2">
      <c r="A64" s="249" t="s">
        <v>36</v>
      </c>
      <c r="B64" s="231" t="s">
        <v>90</v>
      </c>
      <c r="C64" s="290">
        <v>297</v>
      </c>
      <c r="D64" s="247"/>
    </row>
    <row r="65" spans="1:4" s="241" customFormat="1" ht="12" thickBot="1" x14ac:dyDescent="0.25">
      <c r="A65" s="250" t="s">
        <v>38</v>
      </c>
      <c r="B65" s="239" t="s">
        <v>91</v>
      </c>
      <c r="C65" s="291">
        <v>0</v>
      </c>
      <c r="D65" s="247"/>
    </row>
    <row r="66" spans="1:4" s="241" customFormat="1" ht="12" thickBot="1" x14ac:dyDescent="0.25">
      <c r="A66" s="292"/>
      <c r="B66" s="239"/>
      <c r="C66" s="293"/>
      <c r="D66" s="294"/>
    </row>
    <row r="67" spans="1:4" s="241" customFormat="1" ht="11.25" x14ac:dyDescent="0.25">
      <c r="A67" s="240"/>
      <c r="C67" s="251"/>
      <c r="D67" s="240"/>
    </row>
    <row r="68" spans="1:4" s="241" customFormat="1" ht="11.25" x14ac:dyDescent="0.25">
      <c r="A68" s="242">
        <v>3</v>
      </c>
      <c r="B68" s="243" t="s">
        <v>149</v>
      </c>
      <c r="C68" s="252"/>
      <c r="D68" s="288" t="s">
        <v>144</v>
      </c>
    </row>
    <row r="69" spans="1:4" s="241" customFormat="1" ht="12" thickBot="1" x14ac:dyDescent="0.3">
      <c r="A69" s="240"/>
      <c r="C69" s="251"/>
      <c r="D69" s="240"/>
    </row>
    <row r="70" spans="1:4" s="241" customFormat="1" ht="12" thickBot="1" x14ac:dyDescent="0.25">
      <c r="A70" s="253" t="s">
        <v>93</v>
      </c>
      <c r="B70" s="254" t="s">
        <v>94</v>
      </c>
      <c r="C70" s="255" t="s">
        <v>145</v>
      </c>
      <c r="D70" s="247"/>
    </row>
    <row r="71" spans="1:4" s="241" customFormat="1" ht="11.25" x14ac:dyDescent="0.2">
      <c r="A71" s="249" t="s">
        <v>0</v>
      </c>
      <c r="B71" s="231" t="s">
        <v>150</v>
      </c>
      <c r="C71" s="290">
        <v>71</v>
      </c>
      <c r="D71" s="247"/>
    </row>
    <row r="72" spans="1:4" s="241" customFormat="1" ht="11.25" x14ac:dyDescent="0.2">
      <c r="A72" s="249" t="s">
        <v>1</v>
      </c>
      <c r="B72" s="231" t="s">
        <v>60</v>
      </c>
      <c r="C72" s="290">
        <v>91</v>
      </c>
      <c r="D72" s="247"/>
    </row>
    <row r="73" spans="1:4" s="241" customFormat="1" ht="11.25" x14ac:dyDescent="0.2">
      <c r="A73" s="249" t="s">
        <v>2</v>
      </c>
      <c r="B73" s="231" t="s">
        <v>61</v>
      </c>
      <c r="C73" s="290">
        <v>118</v>
      </c>
      <c r="D73" s="247"/>
    </row>
    <row r="74" spans="1:4" s="241" customFormat="1" ht="11.25" x14ac:dyDescent="0.2">
      <c r="A74" s="249" t="s">
        <v>3</v>
      </c>
      <c r="B74" s="231" t="s">
        <v>62</v>
      </c>
      <c r="C74" s="290">
        <v>214</v>
      </c>
      <c r="D74" s="247"/>
    </row>
    <row r="75" spans="1:4" x14ac:dyDescent="0.2">
      <c r="A75" s="249" t="s">
        <v>4</v>
      </c>
      <c r="B75" s="231" t="s">
        <v>63</v>
      </c>
      <c r="C75" s="290">
        <v>339</v>
      </c>
      <c r="D75" s="247"/>
    </row>
    <row r="76" spans="1:4" x14ac:dyDescent="0.2">
      <c r="A76" s="249" t="s">
        <v>43</v>
      </c>
      <c r="B76" s="231" t="s">
        <v>64</v>
      </c>
      <c r="C76" s="290">
        <v>0</v>
      </c>
      <c r="D76" s="247"/>
    </row>
    <row r="77" spans="1:4" x14ac:dyDescent="0.2">
      <c r="A77" s="249" t="s">
        <v>5</v>
      </c>
      <c r="B77" s="231" t="s">
        <v>65</v>
      </c>
      <c r="C77" s="290">
        <v>154</v>
      </c>
      <c r="D77" s="247"/>
    </row>
    <row r="78" spans="1:4" x14ac:dyDescent="0.2">
      <c r="A78" s="249" t="s">
        <v>45</v>
      </c>
      <c r="B78" s="231" t="s">
        <v>66</v>
      </c>
      <c r="C78" s="290">
        <v>946</v>
      </c>
      <c r="D78" s="247"/>
    </row>
    <row r="79" spans="1:4" x14ac:dyDescent="0.2">
      <c r="A79" s="249" t="s">
        <v>46</v>
      </c>
      <c r="B79" s="231" t="s">
        <v>67</v>
      </c>
      <c r="C79" s="290">
        <v>1261</v>
      </c>
      <c r="D79" s="247"/>
    </row>
    <row r="80" spans="1:4" x14ac:dyDescent="0.2">
      <c r="A80" s="249" t="s">
        <v>6</v>
      </c>
      <c r="B80" s="231" t="s">
        <v>68</v>
      </c>
      <c r="C80" s="290">
        <v>854</v>
      </c>
      <c r="D80" s="247"/>
    </row>
    <row r="81" spans="1:9" x14ac:dyDescent="0.2">
      <c r="A81" s="249" t="s">
        <v>7</v>
      </c>
      <c r="B81" s="231" t="s">
        <v>69</v>
      </c>
      <c r="C81" s="290">
        <v>854</v>
      </c>
      <c r="D81" s="247"/>
    </row>
    <row r="82" spans="1:9" x14ac:dyDescent="0.2">
      <c r="A82" s="249" t="s">
        <v>47</v>
      </c>
      <c r="B82" s="231" t="s">
        <v>70</v>
      </c>
      <c r="C82" s="290">
        <v>264</v>
      </c>
      <c r="D82" s="247"/>
    </row>
    <row r="83" spans="1:9" x14ac:dyDescent="0.2">
      <c r="A83" s="249" t="s">
        <v>8</v>
      </c>
      <c r="B83" s="231" t="s">
        <v>71</v>
      </c>
      <c r="C83" s="290">
        <v>380</v>
      </c>
      <c r="D83" s="247"/>
    </row>
    <row r="84" spans="1:9" x14ac:dyDescent="0.2">
      <c r="A84" s="249" t="s">
        <v>9</v>
      </c>
      <c r="B84" s="231" t="s">
        <v>72</v>
      </c>
      <c r="C84" s="290">
        <v>647</v>
      </c>
      <c r="D84" s="247"/>
    </row>
    <row r="85" spans="1:9" x14ac:dyDescent="0.2">
      <c r="A85" s="249" t="s">
        <v>10</v>
      </c>
      <c r="B85" s="231" t="s">
        <v>73</v>
      </c>
      <c r="C85" s="290">
        <v>276</v>
      </c>
      <c r="D85" s="247"/>
    </row>
    <row r="86" spans="1:9" x14ac:dyDescent="0.2">
      <c r="A86" s="249" t="s">
        <v>11</v>
      </c>
      <c r="B86" s="231" t="s">
        <v>74</v>
      </c>
      <c r="C86" s="290">
        <v>423</v>
      </c>
      <c r="D86" s="247"/>
    </row>
    <row r="87" spans="1:9" x14ac:dyDescent="0.2">
      <c r="A87" s="249" t="s">
        <v>12</v>
      </c>
      <c r="B87" s="231" t="s">
        <v>75</v>
      </c>
      <c r="C87" s="290">
        <v>183</v>
      </c>
      <c r="D87" s="247"/>
    </row>
    <row r="88" spans="1:9" x14ac:dyDescent="0.2">
      <c r="A88" s="249" t="s">
        <v>13</v>
      </c>
      <c r="B88" s="231" t="s">
        <v>76</v>
      </c>
      <c r="C88" s="290">
        <v>248</v>
      </c>
      <c r="D88" s="247"/>
    </row>
    <row r="89" spans="1:9" x14ac:dyDescent="0.2">
      <c r="A89" s="249" t="s">
        <v>48</v>
      </c>
      <c r="B89" s="231" t="s">
        <v>77</v>
      </c>
      <c r="C89" s="290">
        <v>569</v>
      </c>
      <c r="D89" s="247"/>
    </row>
    <row r="90" spans="1:9" x14ac:dyDescent="0.2">
      <c r="A90" s="249" t="s">
        <v>49</v>
      </c>
      <c r="B90" s="231" t="s">
        <v>78</v>
      </c>
      <c r="C90" s="290">
        <v>759</v>
      </c>
      <c r="D90" s="247"/>
    </row>
    <row r="91" spans="1:9" ht="13.5" thickBot="1" x14ac:dyDescent="0.25">
      <c r="A91" s="250" t="s">
        <v>51</v>
      </c>
      <c r="B91" s="239" t="s">
        <v>79</v>
      </c>
      <c r="C91" s="291">
        <v>0</v>
      </c>
      <c r="D91" s="247"/>
    </row>
    <row r="92" spans="1:9" x14ac:dyDescent="0.2">
      <c r="A92" s="403"/>
      <c r="B92" s="247"/>
      <c r="C92" s="247"/>
      <c r="D92" s="403"/>
    </row>
    <row r="93" spans="1:9" ht="15" x14ac:dyDescent="0.2">
      <c r="A93" s="295" t="s">
        <v>57</v>
      </c>
      <c r="B93" s="402" t="s">
        <v>489</v>
      </c>
    </row>
    <row r="94" spans="1:9" ht="22.5" x14ac:dyDescent="0.2">
      <c r="A94" s="391">
        <v>13</v>
      </c>
      <c r="B94" s="392" t="s">
        <v>487</v>
      </c>
      <c r="C94" s="334"/>
      <c r="D94" s="58"/>
      <c r="E94" s="58"/>
      <c r="F94" s="58"/>
      <c r="G94" s="58"/>
      <c r="H94" s="60"/>
      <c r="I94" s="288" t="s">
        <v>144</v>
      </c>
    </row>
    <row r="95" spans="1:9" ht="37.5" customHeight="1" thickBot="1" x14ac:dyDescent="0.25">
      <c r="A95" s="892" t="s">
        <v>488</v>
      </c>
      <c r="B95" s="892"/>
      <c r="C95" s="892"/>
      <c r="D95" s="892"/>
      <c r="E95" s="892"/>
      <c r="F95" s="892"/>
      <c r="G95" s="892"/>
      <c r="H95" s="892"/>
      <c r="I95" s="892"/>
    </row>
    <row r="96" spans="1:9" ht="13.5" thickBot="1" x14ac:dyDescent="0.25">
      <c r="A96" s="393" t="s">
        <v>93</v>
      </c>
      <c r="B96" s="394" t="s">
        <v>94</v>
      </c>
      <c r="C96" s="393" t="s">
        <v>145</v>
      </c>
      <c r="D96" s="58"/>
      <c r="E96" s="58"/>
      <c r="F96" s="58"/>
      <c r="G96" s="58"/>
      <c r="H96" s="58"/>
      <c r="I96" s="395"/>
    </row>
    <row r="97" spans="1:9" x14ac:dyDescent="0.2">
      <c r="A97" s="396" t="s">
        <v>379</v>
      </c>
      <c r="B97" s="397" t="s">
        <v>383</v>
      </c>
      <c r="C97" s="398">
        <v>655</v>
      </c>
      <c r="D97" s="58"/>
      <c r="E97" s="58"/>
      <c r="F97" s="58"/>
      <c r="G97" s="58"/>
      <c r="H97" s="58"/>
      <c r="I97" s="395"/>
    </row>
    <row r="98" spans="1:9" ht="13.5" thickBot="1" x14ac:dyDescent="0.25">
      <c r="A98" s="399" t="s">
        <v>380</v>
      </c>
      <c r="B98" s="400" t="s">
        <v>384</v>
      </c>
      <c r="C98" s="401">
        <v>336</v>
      </c>
      <c r="D98" s="58"/>
      <c r="E98" s="58"/>
      <c r="F98" s="58"/>
      <c r="G98" s="58"/>
      <c r="H98" s="58"/>
      <c r="I98" s="395"/>
    </row>
  </sheetData>
  <autoFilter ref="A13:D13"/>
  <mergeCells count="1">
    <mergeCell ref="A95:I95"/>
  </mergeCells>
  <hyperlinks>
    <hyperlink ref="D56" location="'04. Unbundled Services'!A1" display="Return to top"/>
    <hyperlink ref="B6" location="'2015-16 Tariff'!A11" display="Direct access and outpatient diagnostic imaging services"/>
    <hyperlink ref="B7" location="'2015-16 Tariff'!A57" display="Unbundled chemotherapy delivery"/>
    <hyperlink ref="B8" location="'2015-16 Tariff'!A68" display="Unbundled external beam radiotherapy"/>
    <hyperlink ref="D67" location="'04. Unbundled Services'!A1" display="Return to top"/>
    <hyperlink ref="D57" location="'04. Unbundled Services'!A1" display="Return to top"/>
    <hyperlink ref="D68" location="'04. Unbundled Services'!A1" display="Return to top"/>
    <hyperlink ref="A2" location="Navigation!A1" display="Home"/>
    <hyperlink ref="B3" r:id="rId1"/>
    <hyperlink ref="I94" location="'08. Non-mandatory prices'!A4" display="Return to top"/>
    <hyperlink ref="B93" r:id="rId2"/>
  </hyperlinks>
  <printOptions headings="1" gridLines="1"/>
  <pageMargins left="0.75" right="0.75" top="1" bottom="1" header="0.5" footer="0.5"/>
  <pageSetup paperSize="9" scale="71" fitToWidth="0" fitToHeight="0" orientation="portrait" r:id="rId3"/>
  <headerFooter alignWithMargins="0">
    <oddFooter>&amp;R&amp;P of &amp;N</oddFooter>
  </headerFooter>
  <rowBreaks count="2" manualBreakCount="2">
    <brk id="56" max="3" man="1"/>
    <brk id="92"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sheetPr>
  <dimension ref="A1:S99"/>
  <sheetViews>
    <sheetView zoomScaleNormal="100" workbookViewId="0"/>
  </sheetViews>
  <sheetFormatPr defaultColWidth="9.140625" defaultRowHeight="15" x14ac:dyDescent="0.25"/>
  <cols>
    <col min="1" max="1" width="1.140625" style="11" customWidth="1"/>
    <col min="2" max="2" width="47.5703125" style="11" bestFit="1" customWidth="1"/>
    <col min="3" max="3" width="8.5703125" style="11" bestFit="1" customWidth="1"/>
    <col min="4" max="6" width="14.7109375" style="11" customWidth="1"/>
    <col min="7" max="7" width="23.140625" style="11" bestFit="1" customWidth="1"/>
    <col min="8" max="8" width="20.5703125" style="127" customWidth="1"/>
    <col min="9" max="9" width="33.28515625" style="11" customWidth="1"/>
    <col min="10" max="10" width="16.5703125" style="167" customWidth="1"/>
    <col min="11" max="11" width="20" style="11" customWidth="1"/>
    <col min="12" max="12" width="17.85546875" style="11" customWidth="1"/>
    <col min="13" max="13" width="14.5703125" style="11" customWidth="1"/>
    <col min="14" max="16384" width="9.140625" style="11"/>
  </cols>
  <sheetData>
    <row r="1" spans="1:19" ht="16.5" customHeight="1" thickBot="1" x14ac:dyDescent="0.3">
      <c r="A1" s="173" t="s">
        <v>377</v>
      </c>
      <c r="H1" s="11"/>
      <c r="I1" s="52"/>
      <c r="J1" s="52"/>
      <c r="K1" s="15"/>
      <c r="L1" s="15"/>
      <c r="M1" s="15"/>
      <c r="N1" s="15"/>
      <c r="O1" s="15"/>
      <c r="P1" s="15"/>
      <c r="Q1" s="15"/>
      <c r="R1" s="15"/>
      <c r="S1" s="15"/>
    </row>
    <row r="2" spans="1:19" ht="28.5" customHeight="1" thickBot="1" x14ac:dyDescent="0.3">
      <c r="B2" s="893" t="s">
        <v>445</v>
      </c>
      <c r="C2" s="894"/>
      <c r="D2" s="894"/>
      <c r="E2" s="894"/>
      <c r="F2" s="894"/>
      <c r="G2" s="894"/>
      <c r="H2" s="895"/>
      <c r="J2" s="11"/>
      <c r="K2" s="167"/>
    </row>
    <row r="3" spans="1:19" ht="30.75" thickBot="1" x14ac:dyDescent="0.3">
      <c r="B3" s="128" t="s">
        <v>178</v>
      </c>
      <c r="C3" s="128" t="s">
        <v>55</v>
      </c>
      <c r="D3" s="129" t="s">
        <v>56</v>
      </c>
      <c r="E3" s="128" t="s">
        <v>92</v>
      </c>
      <c r="F3" s="128" t="s">
        <v>432</v>
      </c>
      <c r="G3" s="222" t="s">
        <v>444</v>
      </c>
      <c r="H3" s="137" t="s">
        <v>271</v>
      </c>
      <c r="J3" s="11"/>
      <c r="K3" s="167"/>
    </row>
    <row r="4" spans="1:19" x14ac:dyDescent="0.25">
      <c r="B4" s="130" t="s">
        <v>258</v>
      </c>
      <c r="C4" s="215">
        <v>2.7E-2</v>
      </c>
      <c r="D4" s="215">
        <v>2.5000000000000001E-2</v>
      </c>
      <c r="E4" s="216">
        <v>1.92529689878824E-2</v>
      </c>
      <c r="F4" s="217">
        <v>0</v>
      </c>
      <c r="G4" s="218">
        <f>(D4+1)*(E4+1)-1</f>
        <v>4.4734293212579379E-2</v>
      </c>
      <c r="H4" s="132"/>
      <c r="J4" s="11"/>
      <c r="K4" s="167"/>
    </row>
    <row r="5" spans="1:19" x14ac:dyDescent="0.25">
      <c r="B5" s="130" t="s">
        <v>272</v>
      </c>
      <c r="C5" s="215">
        <v>-0.04</v>
      </c>
      <c r="D5" s="215">
        <v>-0.04</v>
      </c>
      <c r="E5" s="216">
        <v>-3.5000000000000003E-2</v>
      </c>
      <c r="F5" s="217">
        <v>0</v>
      </c>
      <c r="G5" s="218">
        <f>(D5+1)*(E5+1)-1</f>
        <v>-7.360000000000011E-2</v>
      </c>
      <c r="H5" s="132"/>
      <c r="J5" s="11"/>
      <c r="K5" s="167"/>
    </row>
    <row r="6" spans="1:19" ht="15.75" thickBot="1" x14ac:dyDescent="0.3">
      <c r="B6" s="210" t="s">
        <v>273</v>
      </c>
      <c r="C6" s="219">
        <v>-1.3000000000000001E-2</v>
      </c>
      <c r="D6" s="219">
        <v>-1.4999999999999999E-2</v>
      </c>
      <c r="E6" s="219">
        <v>-1.6420884926693469E-2</v>
      </c>
      <c r="F6" s="220">
        <v>0</v>
      </c>
      <c r="G6" s="221">
        <f>(D6+1)*(E6+1)-1</f>
        <v>-3.1174571652793026E-2</v>
      </c>
      <c r="H6" s="134"/>
      <c r="J6" s="11"/>
      <c r="K6" s="167"/>
    </row>
    <row r="7" spans="1:19" ht="15.75" thickBot="1" x14ac:dyDescent="0.3">
      <c r="B7" s="135" t="s">
        <v>431</v>
      </c>
      <c r="F7" s="167"/>
      <c r="H7" s="11"/>
      <c r="J7" s="212" t="s">
        <v>364</v>
      </c>
      <c r="K7" s="167"/>
    </row>
    <row r="8" spans="1:19" ht="15.75" thickBot="1" x14ac:dyDescent="0.3">
      <c r="B8" s="135" t="s">
        <v>974</v>
      </c>
      <c r="F8" s="167"/>
      <c r="H8" s="11"/>
      <c r="I8" s="127"/>
      <c r="J8" s="211"/>
      <c r="K8" s="167"/>
    </row>
    <row r="9" spans="1:19" ht="15.75" thickBot="1" x14ac:dyDescent="0.3">
      <c r="F9" s="167"/>
      <c r="H9" s="11"/>
      <c r="I9" s="127"/>
      <c r="J9" s="11"/>
      <c r="K9" s="167"/>
    </row>
    <row r="10" spans="1:19" s="52" customFormat="1" ht="26.25" customHeight="1" thickBot="1" x14ac:dyDescent="0.3">
      <c r="B10" s="893" t="s">
        <v>274</v>
      </c>
      <c r="C10" s="894"/>
      <c r="D10" s="894"/>
      <c r="E10" s="894"/>
      <c r="F10" s="894"/>
      <c r="G10" s="894"/>
      <c r="H10" s="895"/>
      <c r="I10" s="136"/>
      <c r="J10" s="896" t="s">
        <v>430</v>
      </c>
      <c r="K10" s="897"/>
      <c r="L10" s="897"/>
      <c r="M10" s="898"/>
    </row>
    <row r="11" spans="1:19" ht="31.5" customHeight="1" thickBot="1" x14ac:dyDescent="0.3">
      <c r="B11" s="128" t="s">
        <v>275</v>
      </c>
      <c r="C11" s="137" t="s">
        <v>55</v>
      </c>
      <c r="D11" s="137" t="s">
        <v>56</v>
      </c>
      <c r="E11" s="137" t="s">
        <v>92</v>
      </c>
      <c r="F11" s="128" t="s">
        <v>432</v>
      </c>
      <c r="G11" s="222" t="s">
        <v>444</v>
      </c>
      <c r="H11" s="137" t="s">
        <v>271</v>
      </c>
      <c r="I11" s="127"/>
      <c r="J11" s="200" t="s">
        <v>275</v>
      </c>
      <c r="K11" s="200" t="s">
        <v>388</v>
      </c>
      <c r="L11" s="200" t="s">
        <v>389</v>
      </c>
      <c r="M11" s="200" t="s">
        <v>393</v>
      </c>
    </row>
    <row r="12" spans="1:19" x14ac:dyDescent="0.25">
      <c r="B12" s="158" t="s">
        <v>276</v>
      </c>
      <c r="C12" s="160">
        <v>2.7120600000000001E-3</v>
      </c>
      <c r="D12" s="159">
        <v>4.0331200000000003E-3</v>
      </c>
      <c r="E12" s="160">
        <v>1.0177220000000001E-2</v>
      </c>
      <c r="F12" s="213">
        <v>0</v>
      </c>
      <c r="G12" s="161">
        <f t="shared" ref="G12:G75" si="0">(1+D12)*(1+E12)-1</f>
        <v>1.4251385949526352E-2</v>
      </c>
      <c r="H12" s="132"/>
      <c r="I12" s="127"/>
      <c r="J12" s="201" t="s">
        <v>276</v>
      </c>
      <c r="K12" s="202">
        <v>-8.3152173705125492E-3</v>
      </c>
      <c r="L12" s="203">
        <v>-8.6960261588458376E-2</v>
      </c>
      <c r="M12" s="204"/>
    </row>
    <row r="13" spans="1:19" x14ac:dyDescent="0.25">
      <c r="B13" s="158" t="s">
        <v>277</v>
      </c>
      <c r="C13" s="160">
        <v>4.6639100000000003E-3</v>
      </c>
      <c r="D13" s="159">
        <v>2.5168999999999999E-3</v>
      </c>
      <c r="E13" s="160">
        <v>6.6765899999999996E-3</v>
      </c>
      <c r="F13" s="213">
        <v>0</v>
      </c>
      <c r="G13" s="161">
        <f t="shared" si="0"/>
        <v>9.2102943093710365E-3</v>
      </c>
      <c r="H13" s="132"/>
      <c r="I13" s="138"/>
      <c r="J13" s="205" t="s">
        <v>277</v>
      </c>
      <c r="K13" s="202">
        <v>-8.3152173705125492E-3</v>
      </c>
      <c r="L13" s="203">
        <v>-8.6960261588458376E-2</v>
      </c>
      <c r="M13" s="204"/>
    </row>
    <row r="14" spans="1:19" x14ac:dyDescent="0.25">
      <c r="B14" s="158" t="s">
        <v>278</v>
      </c>
      <c r="C14" s="160">
        <v>1.71356E-3</v>
      </c>
      <c r="D14" s="159">
        <v>2.29656E-3</v>
      </c>
      <c r="E14" s="160">
        <v>1.0261259999999999E-2</v>
      </c>
      <c r="F14" s="213">
        <v>0</v>
      </c>
      <c r="G14" s="161">
        <f t="shared" si="0"/>
        <v>1.2581385599265582E-2</v>
      </c>
      <c r="H14" s="132"/>
      <c r="I14" s="138"/>
      <c r="J14" s="201" t="s">
        <v>278</v>
      </c>
      <c r="K14" s="202">
        <v>-8.3152173705125492E-3</v>
      </c>
      <c r="L14" s="203">
        <v>-8.6960261588458376E-2</v>
      </c>
      <c r="M14" s="204"/>
    </row>
    <row r="15" spans="1:19" x14ac:dyDescent="0.25">
      <c r="B15" s="158" t="s">
        <v>394</v>
      </c>
      <c r="C15" s="160">
        <v>0</v>
      </c>
      <c r="D15" s="159">
        <v>0</v>
      </c>
      <c r="E15" s="160">
        <v>0</v>
      </c>
      <c r="F15" s="213">
        <v>0</v>
      </c>
      <c r="G15" s="161">
        <f t="shared" si="0"/>
        <v>0</v>
      </c>
      <c r="H15" s="132"/>
      <c r="I15" s="138"/>
      <c r="J15" s="205" t="s">
        <v>394</v>
      </c>
      <c r="K15" s="202">
        <v>-8.3152173705125492E-3</v>
      </c>
      <c r="L15" s="203">
        <v>-8.6960261588458376E-2</v>
      </c>
      <c r="M15" s="204"/>
    </row>
    <row r="16" spans="1:19" s="167" customFormat="1" x14ac:dyDescent="0.25">
      <c r="B16" s="158" t="s">
        <v>395</v>
      </c>
      <c r="C16" s="160">
        <v>0</v>
      </c>
      <c r="D16" s="159">
        <v>0</v>
      </c>
      <c r="E16" s="160">
        <v>0</v>
      </c>
      <c r="F16" s="213">
        <v>0</v>
      </c>
      <c r="G16" s="161">
        <f t="shared" si="0"/>
        <v>0</v>
      </c>
      <c r="H16" s="132"/>
      <c r="I16" s="138"/>
      <c r="J16" s="201" t="s">
        <v>395</v>
      </c>
      <c r="K16" s="202">
        <v>-8.3152173705125492E-3</v>
      </c>
      <c r="L16" s="203">
        <v>-8.6960261588458376E-2</v>
      </c>
      <c r="M16" s="204"/>
    </row>
    <row r="17" spans="2:13" s="167" customFormat="1" x14ac:dyDescent="0.25">
      <c r="B17" s="158" t="s">
        <v>396</v>
      </c>
      <c r="C17" s="160">
        <v>0</v>
      </c>
      <c r="D17" s="159">
        <v>0</v>
      </c>
      <c r="E17" s="160">
        <v>0</v>
      </c>
      <c r="F17" s="213">
        <v>0</v>
      </c>
      <c r="G17" s="161">
        <f t="shared" si="0"/>
        <v>0</v>
      </c>
      <c r="H17" s="132"/>
      <c r="I17" s="138"/>
      <c r="J17" s="205" t="s">
        <v>396</v>
      </c>
      <c r="K17" s="202">
        <v>-8.3152173705125492E-3</v>
      </c>
      <c r="L17" s="203">
        <v>-8.6960261588458376E-2</v>
      </c>
      <c r="M17" s="204"/>
    </row>
    <row r="18" spans="2:13" x14ac:dyDescent="0.25">
      <c r="B18" s="158" t="s">
        <v>279</v>
      </c>
      <c r="C18" s="160">
        <v>2.0988299999999999E-3</v>
      </c>
      <c r="D18" s="159">
        <v>1.128E-5</v>
      </c>
      <c r="E18" s="160">
        <v>1.97934E-3</v>
      </c>
      <c r="F18" s="213">
        <v>0</v>
      </c>
      <c r="G18" s="161">
        <f t="shared" si="0"/>
        <v>1.9906423269553386E-3</v>
      </c>
      <c r="H18" s="132"/>
      <c r="I18" s="138"/>
      <c r="J18" s="205" t="s">
        <v>279</v>
      </c>
      <c r="K18" s="202">
        <v>-8.3152173705125492E-3</v>
      </c>
      <c r="L18" s="203">
        <v>-8.6960261588458376E-2</v>
      </c>
      <c r="M18" s="204"/>
    </row>
    <row r="19" spans="2:13" x14ac:dyDescent="0.25">
      <c r="B19" s="158" t="s">
        <v>280</v>
      </c>
      <c r="C19" s="160">
        <v>6.8376000000000005E-4</v>
      </c>
      <c r="D19" s="159">
        <v>8.7018999999999996E-4</v>
      </c>
      <c r="E19" s="160">
        <v>3.78956E-3</v>
      </c>
      <c r="F19" s="213">
        <v>0</v>
      </c>
      <c r="G19" s="161">
        <f t="shared" si="0"/>
        <v>4.6630476372164775E-3</v>
      </c>
      <c r="H19" s="132"/>
      <c r="I19" s="138"/>
      <c r="J19" s="205" t="s">
        <v>280</v>
      </c>
      <c r="K19" s="202">
        <v>-8.3152173705125492E-3</v>
      </c>
      <c r="L19" s="203">
        <v>-8.6960261588458376E-2</v>
      </c>
      <c r="M19" s="204"/>
    </row>
    <row r="20" spans="2:13" x14ac:dyDescent="0.25">
      <c r="B20" s="158" t="s">
        <v>281</v>
      </c>
      <c r="C20" s="160">
        <v>9.0147000000000003E-4</v>
      </c>
      <c r="D20" s="159">
        <v>7.2782000000000001E-4</v>
      </c>
      <c r="E20" s="160">
        <v>2.8193300000000001E-3</v>
      </c>
      <c r="F20" s="213">
        <v>0</v>
      </c>
      <c r="G20" s="161">
        <f t="shared" si="0"/>
        <v>3.5492019647604955E-3</v>
      </c>
      <c r="H20" s="132"/>
      <c r="I20" s="138"/>
      <c r="J20" s="205" t="s">
        <v>281</v>
      </c>
      <c r="K20" s="202">
        <v>-8.3152173705125492E-3</v>
      </c>
      <c r="L20" s="203">
        <v>-8.6960261588458376E-2</v>
      </c>
      <c r="M20" s="204"/>
    </row>
    <row r="21" spans="2:13" s="167" customFormat="1" x14ac:dyDescent="0.25">
      <c r="B21" s="158" t="s">
        <v>397</v>
      </c>
      <c r="C21" s="160">
        <v>0</v>
      </c>
      <c r="D21" s="159">
        <v>0</v>
      </c>
      <c r="E21" s="160">
        <v>0</v>
      </c>
      <c r="F21" s="213">
        <v>0</v>
      </c>
      <c r="G21" s="161">
        <f t="shared" si="0"/>
        <v>0</v>
      </c>
      <c r="H21" s="132"/>
      <c r="I21" s="138"/>
      <c r="J21" s="205" t="s">
        <v>397</v>
      </c>
      <c r="K21" s="202">
        <v>-8.3152173705125492E-3</v>
      </c>
      <c r="L21" s="203">
        <v>-8.6960261588458376E-2</v>
      </c>
      <c r="M21" s="204"/>
    </row>
    <row r="22" spans="2:13" x14ac:dyDescent="0.25">
      <c r="B22" s="158" t="s">
        <v>282</v>
      </c>
      <c r="C22" s="160">
        <v>6.9434299999999996E-3</v>
      </c>
      <c r="D22" s="159">
        <v>2.0934299999999999E-3</v>
      </c>
      <c r="E22" s="160">
        <v>9.1560400000000007E-3</v>
      </c>
      <c r="F22" s="213">
        <v>0</v>
      </c>
      <c r="G22" s="161">
        <f t="shared" si="0"/>
        <v>1.1268637528817127E-2</v>
      </c>
      <c r="H22" s="132"/>
      <c r="I22" s="138"/>
      <c r="J22" s="205" t="s">
        <v>282</v>
      </c>
      <c r="K22" s="202">
        <v>-8.3152173705125492E-3</v>
      </c>
      <c r="L22" s="203">
        <v>-8.6960261588458376E-2</v>
      </c>
      <c r="M22" s="204"/>
    </row>
    <row r="23" spans="2:13" x14ac:dyDescent="0.25">
      <c r="B23" s="158" t="s">
        <v>283</v>
      </c>
      <c r="C23" s="160">
        <v>8.3929999999999994E-3</v>
      </c>
      <c r="D23" s="159">
        <v>3.2548799999999999E-3</v>
      </c>
      <c r="E23" s="160">
        <v>1.18298E-2</v>
      </c>
      <c r="F23" s="213">
        <v>0</v>
      </c>
      <c r="G23" s="161">
        <f t="shared" si="0"/>
        <v>1.5123184579423965E-2</v>
      </c>
      <c r="H23" s="132"/>
      <c r="I23" s="138"/>
      <c r="J23" s="205" t="s">
        <v>283</v>
      </c>
      <c r="K23" s="202">
        <v>-8.3152173705125492E-3</v>
      </c>
      <c r="L23" s="203">
        <v>-8.6960261588458376E-2</v>
      </c>
      <c r="M23" s="204"/>
    </row>
    <row r="24" spans="2:13" x14ac:dyDescent="0.25">
      <c r="B24" s="158" t="s">
        <v>284</v>
      </c>
      <c r="C24" s="160">
        <v>3.9857699999999996E-3</v>
      </c>
      <c r="D24" s="159">
        <v>1.46704E-3</v>
      </c>
      <c r="E24" s="160">
        <v>5.3411600000000002E-3</v>
      </c>
      <c r="F24" s="213">
        <v>0</v>
      </c>
      <c r="G24" s="161">
        <f t="shared" si="0"/>
        <v>6.8160356953663737E-3</v>
      </c>
      <c r="H24" s="132"/>
      <c r="I24" s="138"/>
      <c r="J24" s="205" t="s">
        <v>284</v>
      </c>
      <c r="K24" s="202">
        <v>-8.3152173705125492E-3</v>
      </c>
      <c r="L24" s="203">
        <v>-8.6960261588458376E-2</v>
      </c>
      <c r="M24" s="204"/>
    </row>
    <row r="25" spans="2:13" x14ac:dyDescent="0.25">
      <c r="B25" s="158" t="s">
        <v>285</v>
      </c>
      <c r="C25" s="160">
        <v>6.1396799999999998E-3</v>
      </c>
      <c r="D25" s="159">
        <v>1.7811400000000001E-3</v>
      </c>
      <c r="E25" s="160">
        <v>9.45322E-3</v>
      </c>
      <c r="F25" s="213">
        <v>0</v>
      </c>
      <c r="G25" s="161">
        <f t="shared" si="0"/>
        <v>1.1251197508270749E-2</v>
      </c>
      <c r="H25" s="132"/>
      <c r="I25" s="138"/>
      <c r="J25" s="205" t="s">
        <v>285</v>
      </c>
      <c r="K25" s="202">
        <v>-8.3152173705125492E-3</v>
      </c>
      <c r="L25" s="203">
        <v>-8.6960261588458376E-2</v>
      </c>
      <c r="M25" s="204"/>
    </row>
    <row r="26" spans="2:13" x14ac:dyDescent="0.25">
      <c r="B26" s="158" t="s">
        <v>286</v>
      </c>
      <c r="C26" s="160">
        <v>1.145872E-2</v>
      </c>
      <c r="D26" s="159">
        <v>3.9247600000000002E-3</v>
      </c>
      <c r="E26" s="160">
        <v>1.1981489999999999E-2</v>
      </c>
      <c r="F26" s="213">
        <v>0</v>
      </c>
      <c r="G26" s="161">
        <f t="shared" si="0"/>
        <v>1.5953274472692458E-2</v>
      </c>
      <c r="H26" s="132"/>
      <c r="I26" s="138"/>
      <c r="J26" s="205" t="s">
        <v>286</v>
      </c>
      <c r="K26" s="202">
        <v>-8.3152173705125492E-3</v>
      </c>
      <c r="L26" s="203">
        <v>-8.6960261588458376E-2</v>
      </c>
      <c r="M26" s="204"/>
    </row>
    <row r="27" spans="2:13" x14ac:dyDescent="0.25">
      <c r="B27" s="158" t="s">
        <v>287</v>
      </c>
      <c r="C27" s="160">
        <v>1.060436E-2</v>
      </c>
      <c r="D27" s="159">
        <v>3.65578E-3</v>
      </c>
      <c r="E27" s="160">
        <v>1.40532E-2</v>
      </c>
      <c r="F27" s="213">
        <v>0</v>
      </c>
      <c r="G27" s="161">
        <f t="shared" si="0"/>
        <v>1.7760355407496098E-2</v>
      </c>
      <c r="H27" s="132"/>
      <c r="I27" s="138"/>
      <c r="J27" s="205" t="s">
        <v>287</v>
      </c>
      <c r="K27" s="202">
        <v>-8.3152173705125492E-3</v>
      </c>
      <c r="L27" s="203">
        <v>-8.6960261588458376E-2</v>
      </c>
      <c r="M27" s="204"/>
    </row>
    <row r="28" spans="2:13" x14ac:dyDescent="0.25">
      <c r="B28" s="158" t="s">
        <v>288</v>
      </c>
      <c r="C28" s="160">
        <v>6.3163999999999998E-3</v>
      </c>
      <c r="D28" s="159">
        <v>5.24217E-3</v>
      </c>
      <c r="E28" s="160">
        <v>1.4706479999999999E-2</v>
      </c>
      <c r="F28" s="213">
        <v>0</v>
      </c>
      <c r="G28" s="161">
        <f t="shared" si="0"/>
        <v>2.0025743868261614E-2</v>
      </c>
      <c r="H28" s="132"/>
      <c r="I28" s="138"/>
      <c r="J28" s="205" t="s">
        <v>288</v>
      </c>
      <c r="K28" s="202">
        <v>-8.3152173705125492E-3</v>
      </c>
      <c r="L28" s="203">
        <v>-8.6960261588458376E-2</v>
      </c>
      <c r="M28" s="204"/>
    </row>
    <row r="29" spans="2:13" x14ac:dyDescent="0.25">
      <c r="B29" s="158" t="s">
        <v>289</v>
      </c>
      <c r="C29" s="160">
        <v>4.2221799999999999E-3</v>
      </c>
      <c r="D29" s="159">
        <v>1.2462000000000001E-4</v>
      </c>
      <c r="E29" s="160">
        <v>6.6808199999999996E-3</v>
      </c>
      <c r="F29" s="213">
        <v>0</v>
      </c>
      <c r="G29" s="161">
        <f t="shared" si="0"/>
        <v>6.8062725637882959E-3</v>
      </c>
      <c r="H29" s="132"/>
      <c r="I29" s="138"/>
      <c r="J29" s="205" t="s">
        <v>289</v>
      </c>
      <c r="K29" s="202">
        <v>-8.3152173705125492E-3</v>
      </c>
      <c r="L29" s="203">
        <v>-8.6960261588458376E-2</v>
      </c>
      <c r="M29" s="204"/>
    </row>
    <row r="30" spans="2:13" x14ac:dyDescent="0.25">
      <c r="B30" s="158" t="s">
        <v>290</v>
      </c>
      <c r="C30" s="160">
        <v>6.1125299999999997E-3</v>
      </c>
      <c r="D30" s="159">
        <v>2.0507300000000002E-3</v>
      </c>
      <c r="E30" s="160">
        <v>1.485676E-2</v>
      </c>
      <c r="F30" s="213">
        <v>0</v>
      </c>
      <c r="G30" s="161">
        <f t="shared" si="0"/>
        <v>1.6937957203434717E-2</v>
      </c>
      <c r="H30" s="132"/>
      <c r="I30" s="138"/>
      <c r="J30" s="205" t="s">
        <v>290</v>
      </c>
      <c r="K30" s="202">
        <v>-8.3152173705125492E-3</v>
      </c>
      <c r="L30" s="203">
        <v>-8.6960261588458376E-2</v>
      </c>
      <c r="M30" s="204"/>
    </row>
    <row r="31" spans="2:13" x14ac:dyDescent="0.25">
      <c r="B31" s="158" t="s">
        <v>291</v>
      </c>
      <c r="C31" s="160">
        <v>6.4304100000000001E-3</v>
      </c>
      <c r="D31" s="159">
        <v>1.27943E-3</v>
      </c>
      <c r="E31" s="160">
        <v>1.0111719999999999E-2</v>
      </c>
      <c r="F31" s="213">
        <v>0</v>
      </c>
      <c r="G31" s="161">
        <f t="shared" si="0"/>
        <v>1.1404087237919747E-2</v>
      </c>
      <c r="H31" s="132"/>
      <c r="I31" s="138"/>
      <c r="J31" s="205" t="s">
        <v>291</v>
      </c>
      <c r="K31" s="202">
        <v>-8.3152173705125492E-3</v>
      </c>
      <c r="L31" s="203">
        <v>-8.6960261588458376E-2</v>
      </c>
      <c r="M31" s="204"/>
    </row>
    <row r="32" spans="2:13" s="167" customFormat="1" x14ac:dyDescent="0.25">
      <c r="B32" s="158" t="s">
        <v>398</v>
      </c>
      <c r="C32" s="160">
        <v>0</v>
      </c>
      <c r="D32" s="159">
        <v>0</v>
      </c>
      <c r="E32" s="160">
        <v>0</v>
      </c>
      <c r="F32" s="213">
        <v>0</v>
      </c>
      <c r="G32" s="161">
        <f t="shared" si="0"/>
        <v>0</v>
      </c>
      <c r="H32" s="132"/>
      <c r="I32" s="138"/>
      <c r="J32" s="205" t="s">
        <v>398</v>
      </c>
      <c r="K32" s="202">
        <v>-8.3152173705125492E-3</v>
      </c>
      <c r="L32" s="203">
        <v>-8.6960261588458376E-2</v>
      </c>
      <c r="M32" s="204"/>
    </row>
    <row r="33" spans="2:13" x14ac:dyDescent="0.25">
      <c r="B33" s="158" t="s">
        <v>292</v>
      </c>
      <c r="C33" s="160">
        <v>3.6510800000000001E-3</v>
      </c>
      <c r="D33" s="159">
        <v>1.78039E-3</v>
      </c>
      <c r="E33" s="160">
        <v>8.9561699999999994E-3</v>
      </c>
      <c r="F33" s="213">
        <v>0</v>
      </c>
      <c r="G33" s="161">
        <f t="shared" si="0"/>
        <v>1.0752505475506213E-2</v>
      </c>
      <c r="H33" s="132"/>
      <c r="I33" s="138"/>
      <c r="J33" s="205" t="s">
        <v>292</v>
      </c>
      <c r="K33" s="202">
        <v>-8.3152173705125492E-3</v>
      </c>
      <c r="L33" s="203">
        <v>-8.6960261588458376E-2</v>
      </c>
      <c r="M33" s="204"/>
    </row>
    <row r="34" spans="2:13" x14ac:dyDescent="0.25">
      <c r="B34" s="158" t="s">
        <v>293</v>
      </c>
      <c r="C34" s="160">
        <v>2.673E-3</v>
      </c>
      <c r="D34" s="159">
        <v>1.0486E-3</v>
      </c>
      <c r="E34" s="160">
        <v>4.9345500000000002E-3</v>
      </c>
      <c r="F34" s="213">
        <v>0</v>
      </c>
      <c r="G34" s="161">
        <f t="shared" si="0"/>
        <v>5.9883243691301047E-3</v>
      </c>
      <c r="H34" s="132"/>
      <c r="I34" s="138"/>
      <c r="J34" s="205" t="s">
        <v>293</v>
      </c>
      <c r="K34" s="202">
        <v>-8.3152173705125492E-3</v>
      </c>
      <c r="L34" s="203">
        <v>-8.6960261588458376E-2</v>
      </c>
      <c r="M34" s="204"/>
    </row>
    <row r="35" spans="2:13" x14ac:dyDescent="0.25">
      <c r="B35" s="158" t="s">
        <v>294</v>
      </c>
      <c r="C35" s="160">
        <v>3.8450400000000001E-3</v>
      </c>
      <c r="D35" s="159">
        <v>9.4410999999999996E-4</v>
      </c>
      <c r="E35" s="160">
        <v>7.5987099999999998E-3</v>
      </c>
      <c r="F35" s="213">
        <v>0</v>
      </c>
      <c r="G35" s="161">
        <f t="shared" si="0"/>
        <v>8.5499940180979728E-3</v>
      </c>
      <c r="H35" s="132"/>
      <c r="I35" s="138"/>
      <c r="J35" s="205" t="s">
        <v>294</v>
      </c>
      <c r="K35" s="202">
        <v>-8.3152173705125492E-3</v>
      </c>
      <c r="L35" s="203">
        <v>-8.6960261588458376E-2</v>
      </c>
      <c r="M35" s="204"/>
    </row>
    <row r="36" spans="2:13" x14ac:dyDescent="0.25">
      <c r="B36" s="158" t="s">
        <v>295</v>
      </c>
      <c r="C36" s="160">
        <v>3.5167E-4</v>
      </c>
      <c r="D36" s="159">
        <v>6.6025000000000003E-4</v>
      </c>
      <c r="E36" s="160">
        <v>2.7523500000000002E-3</v>
      </c>
      <c r="F36" s="213">
        <v>0</v>
      </c>
      <c r="G36" s="161">
        <f t="shared" si="0"/>
        <v>3.4144172390873084E-3</v>
      </c>
      <c r="H36" s="132"/>
      <c r="I36" s="138"/>
      <c r="J36" s="205" t="s">
        <v>295</v>
      </c>
      <c r="K36" s="202">
        <v>-8.3152173705125492E-3</v>
      </c>
      <c r="L36" s="203">
        <v>-8.6960261588458376E-2</v>
      </c>
      <c r="M36" s="204"/>
    </row>
    <row r="37" spans="2:13" x14ac:dyDescent="0.25">
      <c r="B37" s="158" t="s">
        <v>296</v>
      </c>
      <c r="C37" s="160">
        <v>1.0156500000000001E-3</v>
      </c>
      <c r="D37" s="159">
        <v>1.2352000000000001E-4</v>
      </c>
      <c r="E37" s="160">
        <v>2.4360800000000002E-3</v>
      </c>
      <c r="F37" s="213">
        <v>0</v>
      </c>
      <c r="G37" s="161">
        <f t="shared" si="0"/>
        <v>2.5599009046017862E-3</v>
      </c>
      <c r="H37" s="132"/>
      <c r="I37" s="138"/>
      <c r="J37" s="205" t="s">
        <v>296</v>
      </c>
      <c r="K37" s="202">
        <v>-8.3152173705125492E-3</v>
      </c>
      <c r="L37" s="203">
        <v>-8.6960261588458376E-2</v>
      </c>
      <c r="M37" s="204"/>
    </row>
    <row r="38" spans="2:13" x14ac:dyDescent="0.25">
      <c r="B38" s="158" t="s">
        <v>297</v>
      </c>
      <c r="C38" s="160">
        <v>8.7421000000000005E-4</v>
      </c>
      <c r="D38" s="159">
        <v>5.1491999999999998E-4</v>
      </c>
      <c r="E38" s="160">
        <v>2.3954200000000001E-3</v>
      </c>
      <c r="F38" s="213">
        <v>0</v>
      </c>
      <c r="G38" s="161">
        <f t="shared" si="0"/>
        <v>2.9115734496665269E-3</v>
      </c>
      <c r="H38" s="132"/>
      <c r="I38" s="138"/>
      <c r="J38" s="205" t="s">
        <v>297</v>
      </c>
      <c r="K38" s="202">
        <v>-8.3152173705125492E-3</v>
      </c>
      <c r="L38" s="203">
        <v>-8.6960261588458376E-2</v>
      </c>
      <c r="M38" s="204"/>
    </row>
    <row r="39" spans="2:13" x14ac:dyDescent="0.25">
      <c r="B39" s="158" t="s">
        <v>298</v>
      </c>
      <c r="C39" s="160">
        <v>4.5863400000000004E-3</v>
      </c>
      <c r="D39" s="159">
        <v>1.1234999999999999E-3</v>
      </c>
      <c r="E39" s="160">
        <v>5.6908599999999998E-3</v>
      </c>
      <c r="F39" s="213">
        <v>0</v>
      </c>
      <c r="G39" s="161">
        <f t="shared" si="0"/>
        <v>6.8207536812101566E-3</v>
      </c>
      <c r="H39" s="132"/>
      <c r="I39" s="138"/>
      <c r="J39" s="205" t="s">
        <v>298</v>
      </c>
      <c r="K39" s="202">
        <v>-8.3152173705125492E-3</v>
      </c>
      <c r="L39" s="203">
        <v>-8.6960261588458376E-2</v>
      </c>
      <c r="M39" s="204"/>
    </row>
    <row r="40" spans="2:13" x14ac:dyDescent="0.25">
      <c r="B40" s="158" t="s">
        <v>299</v>
      </c>
      <c r="C40" s="160">
        <v>0</v>
      </c>
      <c r="D40" s="159">
        <v>0</v>
      </c>
      <c r="E40" s="160">
        <v>0</v>
      </c>
      <c r="F40" s="213">
        <v>0</v>
      </c>
      <c r="G40" s="161">
        <f t="shared" si="0"/>
        <v>0</v>
      </c>
      <c r="H40" s="132"/>
      <c r="I40" s="138"/>
      <c r="J40" s="205" t="s">
        <v>299</v>
      </c>
      <c r="K40" s="202">
        <v>-8.3152173705125492E-3</v>
      </c>
      <c r="L40" s="203">
        <v>-8.6960261588458376E-2</v>
      </c>
      <c r="M40" s="204"/>
    </row>
    <row r="41" spans="2:13" s="167" customFormat="1" x14ac:dyDescent="0.25">
      <c r="B41" s="158" t="s">
        <v>399</v>
      </c>
      <c r="C41" s="160">
        <v>0</v>
      </c>
      <c r="D41" s="159">
        <v>0</v>
      </c>
      <c r="E41" s="160">
        <v>0</v>
      </c>
      <c r="F41" s="213">
        <v>0</v>
      </c>
      <c r="G41" s="161">
        <f t="shared" si="0"/>
        <v>0</v>
      </c>
      <c r="H41" s="132"/>
      <c r="I41" s="138"/>
      <c r="J41" s="205" t="s">
        <v>399</v>
      </c>
      <c r="K41" s="202">
        <v>-8.3152173705125492E-3</v>
      </c>
      <c r="L41" s="203">
        <v>-8.6960261588458376E-2</v>
      </c>
      <c r="M41" s="204"/>
    </row>
    <row r="42" spans="2:13" x14ac:dyDescent="0.25">
      <c r="B42" s="158" t="s">
        <v>300</v>
      </c>
      <c r="C42" s="160">
        <v>5.160373E-2</v>
      </c>
      <c r="D42" s="159">
        <v>4.0632200000000002E-3</v>
      </c>
      <c r="E42" s="160">
        <v>2.111675E-2</v>
      </c>
      <c r="F42" s="213">
        <v>0</v>
      </c>
      <c r="G42" s="161">
        <f t="shared" si="0"/>
        <v>2.5265772000935049E-2</v>
      </c>
      <c r="H42" s="132"/>
      <c r="I42" s="138"/>
      <c r="J42" s="205" t="s">
        <v>300</v>
      </c>
      <c r="K42" s="202">
        <v>-8.3152173705125492E-3</v>
      </c>
      <c r="L42" s="203">
        <v>-8.6960261588458376E-2</v>
      </c>
      <c r="M42" s="204"/>
    </row>
    <row r="43" spans="2:13" x14ac:dyDescent="0.25">
      <c r="B43" s="158" t="s">
        <v>301</v>
      </c>
      <c r="C43" s="160">
        <v>4.6619290000000001E-2</v>
      </c>
      <c r="D43" s="159">
        <v>1.50091E-3</v>
      </c>
      <c r="E43" s="160">
        <v>1.6660899999999999E-2</v>
      </c>
      <c r="F43" s="213">
        <v>0</v>
      </c>
      <c r="G43" s="161">
        <f t="shared" si="0"/>
        <v>1.8186816511418957E-2</v>
      </c>
      <c r="H43" s="132"/>
      <c r="I43" s="138"/>
      <c r="J43" s="205" t="s">
        <v>301</v>
      </c>
      <c r="K43" s="202">
        <v>-8.3152173705125492E-3</v>
      </c>
      <c r="L43" s="203">
        <v>-8.6960261588458376E-2</v>
      </c>
      <c r="M43" s="204"/>
    </row>
    <row r="44" spans="2:13" s="167" customFormat="1" x14ac:dyDescent="0.25">
      <c r="B44" s="158" t="s">
        <v>400</v>
      </c>
      <c r="C44" s="160">
        <v>0</v>
      </c>
      <c r="D44" s="159">
        <v>0</v>
      </c>
      <c r="E44" s="160">
        <v>0</v>
      </c>
      <c r="F44" s="213">
        <v>0</v>
      </c>
      <c r="G44" s="161">
        <f t="shared" si="0"/>
        <v>0</v>
      </c>
      <c r="H44" s="132"/>
      <c r="I44" s="138"/>
      <c r="J44" s="205" t="s">
        <v>400</v>
      </c>
      <c r="K44" s="202">
        <v>-8.3152173705125492E-3</v>
      </c>
      <c r="L44" s="203">
        <v>-8.6960261588458376E-2</v>
      </c>
      <c r="M44" s="204"/>
    </row>
    <row r="45" spans="2:13" x14ac:dyDescent="0.25">
      <c r="B45" s="158" t="s">
        <v>302</v>
      </c>
      <c r="C45" s="160">
        <v>-8.9280200000000004E-2</v>
      </c>
      <c r="D45" s="159">
        <v>2.8267569999999999E-2</v>
      </c>
      <c r="E45" s="160">
        <v>0</v>
      </c>
      <c r="F45" s="213">
        <v>0</v>
      </c>
      <c r="G45" s="161">
        <f t="shared" si="0"/>
        <v>2.8267569999999909E-2</v>
      </c>
      <c r="H45" s="132"/>
      <c r="I45" s="138"/>
      <c r="J45" s="205" t="s">
        <v>302</v>
      </c>
      <c r="K45" s="202">
        <v>-8.3152173705125492E-3</v>
      </c>
      <c r="L45" s="203">
        <v>-8.6960261588458376E-2</v>
      </c>
      <c r="M45" s="204"/>
    </row>
    <row r="46" spans="2:13" x14ac:dyDescent="0.25">
      <c r="B46" s="158" t="s">
        <v>303</v>
      </c>
      <c r="C46" s="160">
        <v>0</v>
      </c>
      <c r="D46" s="159">
        <v>0</v>
      </c>
      <c r="E46" s="160">
        <v>0</v>
      </c>
      <c r="F46" s="213">
        <v>0</v>
      </c>
      <c r="G46" s="161">
        <f t="shared" si="0"/>
        <v>0</v>
      </c>
      <c r="H46" s="132"/>
      <c r="I46" s="138"/>
      <c r="J46" s="205" t="s">
        <v>303</v>
      </c>
      <c r="K46" s="202">
        <v>-8.3152173705125492E-3</v>
      </c>
      <c r="L46" s="203">
        <v>-8.6960261588458376E-2</v>
      </c>
      <c r="M46" s="204"/>
    </row>
    <row r="47" spans="2:13" x14ac:dyDescent="0.25">
      <c r="B47" s="158" t="s">
        <v>401</v>
      </c>
      <c r="C47" s="160">
        <v>0</v>
      </c>
      <c r="D47" s="159">
        <v>0</v>
      </c>
      <c r="E47" s="160">
        <v>0</v>
      </c>
      <c r="F47" s="213">
        <v>0</v>
      </c>
      <c r="G47" s="161">
        <f t="shared" si="0"/>
        <v>0</v>
      </c>
      <c r="H47" s="132"/>
      <c r="I47" s="138"/>
      <c r="J47" s="205" t="s">
        <v>401</v>
      </c>
      <c r="K47" s="202">
        <v>-8.3152173705125492E-3</v>
      </c>
      <c r="L47" s="203">
        <v>-8.6960261588458376E-2</v>
      </c>
      <c r="M47" s="204"/>
    </row>
    <row r="48" spans="2:13" s="167" customFormat="1" x14ac:dyDescent="0.25">
      <c r="B48" s="158" t="s">
        <v>402</v>
      </c>
      <c r="C48" s="160">
        <v>0</v>
      </c>
      <c r="D48" s="159">
        <v>0</v>
      </c>
      <c r="E48" s="160">
        <v>0</v>
      </c>
      <c r="F48" s="213">
        <v>0</v>
      </c>
      <c r="G48" s="161">
        <f t="shared" si="0"/>
        <v>0</v>
      </c>
      <c r="H48" s="132"/>
      <c r="I48" s="138"/>
      <c r="J48" s="205" t="s">
        <v>402</v>
      </c>
      <c r="K48" s="202">
        <v>-8.3152173705125492E-3</v>
      </c>
      <c r="L48" s="203">
        <v>-8.6960261588458376E-2</v>
      </c>
      <c r="M48" s="204"/>
    </row>
    <row r="49" spans="2:13" s="167" customFormat="1" x14ac:dyDescent="0.25">
      <c r="B49" s="158" t="s">
        <v>403</v>
      </c>
      <c r="C49" s="160">
        <v>0</v>
      </c>
      <c r="D49" s="159">
        <v>0</v>
      </c>
      <c r="E49" s="160">
        <v>0</v>
      </c>
      <c r="F49" s="213">
        <v>0</v>
      </c>
      <c r="G49" s="161">
        <f t="shared" si="0"/>
        <v>0</v>
      </c>
      <c r="H49" s="132"/>
      <c r="I49" s="138"/>
      <c r="J49" s="205" t="s">
        <v>403</v>
      </c>
      <c r="K49" s="202">
        <v>-8.3152173705125492E-3</v>
      </c>
      <c r="L49" s="203">
        <v>-8.6960261588458376E-2</v>
      </c>
      <c r="M49" s="204"/>
    </row>
    <row r="50" spans="2:13" s="167" customFormat="1" x14ac:dyDescent="0.25">
      <c r="B50" s="158" t="s">
        <v>404</v>
      </c>
      <c r="C50" s="160">
        <v>0</v>
      </c>
      <c r="D50" s="159">
        <v>0</v>
      </c>
      <c r="E50" s="160">
        <v>0</v>
      </c>
      <c r="F50" s="213">
        <v>0</v>
      </c>
      <c r="G50" s="161">
        <f t="shared" si="0"/>
        <v>0</v>
      </c>
      <c r="H50" s="132"/>
      <c r="I50" s="138"/>
      <c r="J50" s="205" t="s">
        <v>404</v>
      </c>
      <c r="K50" s="202">
        <v>-8.3152173705125492E-3</v>
      </c>
      <c r="L50" s="203">
        <v>-8.6960261588458376E-2</v>
      </c>
      <c r="M50" s="204"/>
    </row>
    <row r="51" spans="2:13" s="167" customFormat="1" x14ac:dyDescent="0.25">
      <c r="B51" s="158" t="s">
        <v>405</v>
      </c>
      <c r="C51" s="160">
        <v>0</v>
      </c>
      <c r="D51" s="159">
        <v>0</v>
      </c>
      <c r="E51" s="160">
        <v>0</v>
      </c>
      <c r="F51" s="213">
        <v>0</v>
      </c>
      <c r="G51" s="161">
        <f t="shared" si="0"/>
        <v>0</v>
      </c>
      <c r="H51" s="132"/>
      <c r="I51" s="138"/>
      <c r="J51" s="205" t="s">
        <v>405</v>
      </c>
      <c r="K51" s="202">
        <v>-8.3152173705125492E-3</v>
      </c>
      <c r="L51" s="203">
        <v>-8.6960261588458376E-2</v>
      </c>
      <c r="M51" s="204"/>
    </row>
    <row r="52" spans="2:13" s="167" customFormat="1" x14ac:dyDescent="0.25">
      <c r="B52" s="158" t="s">
        <v>406</v>
      </c>
      <c r="C52" s="160">
        <v>0</v>
      </c>
      <c r="D52" s="159">
        <v>0</v>
      </c>
      <c r="E52" s="160">
        <v>0</v>
      </c>
      <c r="F52" s="213">
        <v>0</v>
      </c>
      <c r="G52" s="161">
        <f t="shared" si="0"/>
        <v>0</v>
      </c>
      <c r="H52" s="132"/>
      <c r="I52" s="138"/>
      <c r="J52" s="205" t="s">
        <v>406</v>
      </c>
      <c r="K52" s="202">
        <v>-8.3152173705125492E-3</v>
      </c>
      <c r="L52" s="203">
        <v>-8.6960261588458376E-2</v>
      </c>
      <c r="M52" s="204"/>
    </row>
    <row r="53" spans="2:13" s="167" customFormat="1" x14ac:dyDescent="0.25">
      <c r="B53" s="158" t="s">
        <v>407</v>
      </c>
      <c r="C53" s="160">
        <v>0</v>
      </c>
      <c r="D53" s="159">
        <v>0</v>
      </c>
      <c r="E53" s="160">
        <v>0</v>
      </c>
      <c r="F53" s="213">
        <v>0</v>
      </c>
      <c r="G53" s="161">
        <f t="shared" si="0"/>
        <v>0</v>
      </c>
      <c r="H53" s="132"/>
      <c r="I53" s="138"/>
      <c r="J53" s="205" t="s">
        <v>407</v>
      </c>
      <c r="K53" s="202">
        <v>-8.3152173705125492E-3</v>
      </c>
      <c r="L53" s="203">
        <v>-8.6960261588458376E-2</v>
      </c>
      <c r="M53" s="204"/>
    </row>
    <row r="54" spans="2:13" s="167" customFormat="1" x14ac:dyDescent="0.25">
      <c r="B54" s="158" t="s">
        <v>408</v>
      </c>
      <c r="C54" s="160">
        <v>0</v>
      </c>
      <c r="D54" s="159">
        <v>0</v>
      </c>
      <c r="E54" s="160">
        <v>0</v>
      </c>
      <c r="F54" s="213">
        <v>0</v>
      </c>
      <c r="G54" s="161">
        <f t="shared" si="0"/>
        <v>0</v>
      </c>
      <c r="H54" s="132"/>
      <c r="I54" s="138"/>
      <c r="J54" s="205" t="s">
        <v>408</v>
      </c>
      <c r="K54" s="202">
        <v>-8.3152173705125492E-3</v>
      </c>
      <c r="L54" s="203">
        <v>-8.6960261588458376E-2</v>
      </c>
      <c r="M54" s="204"/>
    </row>
    <row r="55" spans="2:13" s="167" customFormat="1" x14ac:dyDescent="0.25">
      <c r="B55" s="158" t="s">
        <v>409</v>
      </c>
      <c r="C55" s="160">
        <v>0</v>
      </c>
      <c r="D55" s="159">
        <v>0</v>
      </c>
      <c r="E55" s="160">
        <v>0</v>
      </c>
      <c r="F55" s="213">
        <v>0</v>
      </c>
      <c r="G55" s="161">
        <f t="shared" si="0"/>
        <v>0</v>
      </c>
      <c r="H55" s="132"/>
      <c r="I55" s="138"/>
      <c r="J55" s="205" t="s">
        <v>409</v>
      </c>
      <c r="K55" s="202">
        <v>-8.3152173705125492E-3</v>
      </c>
      <c r="L55" s="203">
        <v>-8.6960261588458376E-2</v>
      </c>
      <c r="M55" s="204"/>
    </row>
    <row r="56" spans="2:13" s="167" customFormat="1" x14ac:dyDescent="0.25">
      <c r="B56" s="158" t="s">
        <v>410</v>
      </c>
      <c r="C56" s="160">
        <v>0</v>
      </c>
      <c r="D56" s="159">
        <v>0</v>
      </c>
      <c r="E56" s="160">
        <v>0</v>
      </c>
      <c r="F56" s="213">
        <v>0</v>
      </c>
      <c r="G56" s="161">
        <f t="shared" si="0"/>
        <v>0</v>
      </c>
      <c r="H56" s="132"/>
      <c r="I56" s="138"/>
      <c r="J56" s="205" t="s">
        <v>410</v>
      </c>
      <c r="K56" s="202">
        <v>-8.3152173705125492E-3</v>
      </c>
      <c r="L56" s="203">
        <v>-8.6960261588458376E-2</v>
      </c>
      <c r="M56" s="204"/>
    </row>
    <row r="57" spans="2:13" s="167" customFormat="1" x14ac:dyDescent="0.25">
      <c r="B57" s="158" t="s">
        <v>411</v>
      </c>
      <c r="C57" s="160">
        <v>0</v>
      </c>
      <c r="D57" s="159">
        <v>0</v>
      </c>
      <c r="E57" s="160">
        <v>0</v>
      </c>
      <c r="F57" s="213">
        <v>0</v>
      </c>
      <c r="G57" s="161">
        <f t="shared" si="0"/>
        <v>0</v>
      </c>
      <c r="H57" s="132"/>
      <c r="I57" s="138"/>
      <c r="J57" s="205" t="s">
        <v>411</v>
      </c>
      <c r="K57" s="202">
        <v>-8.3152173705125492E-3</v>
      </c>
      <c r="L57" s="203">
        <v>-8.6960261588458376E-2</v>
      </c>
      <c r="M57" s="204"/>
    </row>
    <row r="58" spans="2:13" s="167" customFormat="1" x14ac:dyDescent="0.25">
      <c r="B58" s="158" t="s">
        <v>412</v>
      </c>
      <c r="C58" s="160">
        <v>0</v>
      </c>
      <c r="D58" s="159">
        <v>0</v>
      </c>
      <c r="E58" s="160">
        <v>0</v>
      </c>
      <c r="F58" s="213">
        <v>0</v>
      </c>
      <c r="G58" s="161">
        <f t="shared" si="0"/>
        <v>0</v>
      </c>
      <c r="H58" s="132"/>
      <c r="I58" s="138"/>
      <c r="J58" s="205" t="s">
        <v>412</v>
      </c>
      <c r="K58" s="202">
        <v>-8.3152173705125492E-3</v>
      </c>
      <c r="L58" s="203">
        <v>-8.6960261588458376E-2</v>
      </c>
      <c r="M58" s="204"/>
    </row>
    <row r="59" spans="2:13" s="167" customFormat="1" x14ac:dyDescent="0.25">
      <c r="B59" s="158" t="s">
        <v>413</v>
      </c>
      <c r="C59" s="160">
        <v>0</v>
      </c>
      <c r="D59" s="159">
        <v>0</v>
      </c>
      <c r="E59" s="160">
        <v>0</v>
      </c>
      <c r="F59" s="213">
        <v>0</v>
      </c>
      <c r="G59" s="161">
        <f t="shared" si="0"/>
        <v>0</v>
      </c>
      <c r="H59" s="132"/>
      <c r="I59" s="138"/>
      <c r="J59" s="205" t="s">
        <v>413</v>
      </c>
      <c r="K59" s="202">
        <v>-8.3152173705125492E-3</v>
      </c>
      <c r="L59" s="203">
        <v>-8.6960261588458376E-2</v>
      </c>
      <c r="M59" s="204"/>
    </row>
    <row r="60" spans="2:13" s="167" customFormat="1" x14ac:dyDescent="0.25">
      <c r="B60" s="158" t="s">
        <v>414</v>
      </c>
      <c r="C60" s="160">
        <v>0</v>
      </c>
      <c r="D60" s="159">
        <v>0</v>
      </c>
      <c r="E60" s="160">
        <v>0</v>
      </c>
      <c r="F60" s="213">
        <v>0</v>
      </c>
      <c r="G60" s="161">
        <f t="shared" si="0"/>
        <v>0</v>
      </c>
      <c r="H60" s="132"/>
      <c r="I60" s="138"/>
      <c r="J60" s="205" t="s">
        <v>414</v>
      </c>
      <c r="K60" s="202">
        <v>-8.3152173705125492E-3</v>
      </c>
      <c r="L60" s="203">
        <v>-8.6960261588458376E-2</v>
      </c>
      <c r="M60" s="204"/>
    </row>
    <row r="61" spans="2:13" s="167" customFormat="1" x14ac:dyDescent="0.25">
      <c r="B61" s="158" t="s">
        <v>415</v>
      </c>
      <c r="C61" s="160">
        <v>0</v>
      </c>
      <c r="D61" s="159">
        <v>0</v>
      </c>
      <c r="E61" s="160">
        <v>0</v>
      </c>
      <c r="F61" s="213">
        <v>0</v>
      </c>
      <c r="G61" s="161">
        <f t="shared" si="0"/>
        <v>0</v>
      </c>
      <c r="H61" s="132"/>
      <c r="I61" s="138"/>
      <c r="J61" s="205" t="s">
        <v>415</v>
      </c>
      <c r="K61" s="202">
        <v>-8.3152173705125492E-3</v>
      </c>
      <c r="L61" s="203">
        <v>-8.6960261588458376E-2</v>
      </c>
      <c r="M61" s="204"/>
    </row>
    <row r="62" spans="2:13" s="167" customFormat="1" x14ac:dyDescent="0.25">
      <c r="B62" s="158" t="s">
        <v>416</v>
      </c>
      <c r="C62" s="160">
        <v>0</v>
      </c>
      <c r="D62" s="159">
        <v>0</v>
      </c>
      <c r="E62" s="160">
        <v>0</v>
      </c>
      <c r="F62" s="213">
        <v>0</v>
      </c>
      <c r="G62" s="161">
        <f t="shared" si="0"/>
        <v>0</v>
      </c>
      <c r="H62" s="132"/>
      <c r="I62" s="138"/>
      <c r="J62" s="201" t="s">
        <v>416</v>
      </c>
      <c r="K62" s="202">
        <v>-8.3152173705125492E-3</v>
      </c>
      <c r="L62" s="203">
        <v>-8.6960261588458376E-2</v>
      </c>
      <c r="M62" s="204"/>
    </row>
    <row r="63" spans="2:13" s="167" customFormat="1" x14ac:dyDescent="0.25">
      <c r="B63" s="158" t="s">
        <v>417</v>
      </c>
      <c r="C63" s="160">
        <v>0</v>
      </c>
      <c r="D63" s="159">
        <v>0</v>
      </c>
      <c r="E63" s="160">
        <v>0</v>
      </c>
      <c r="F63" s="213">
        <v>0</v>
      </c>
      <c r="G63" s="161">
        <f t="shared" si="0"/>
        <v>0</v>
      </c>
      <c r="H63" s="132"/>
      <c r="I63" s="138"/>
      <c r="J63" s="205" t="s">
        <v>417</v>
      </c>
      <c r="K63" s="202">
        <v>-8.3152173705125492E-3</v>
      </c>
      <c r="L63" s="203">
        <v>-8.6960261588458376E-2</v>
      </c>
      <c r="M63" s="204"/>
    </row>
    <row r="64" spans="2:13" x14ac:dyDescent="0.25">
      <c r="B64" s="158" t="s">
        <v>255</v>
      </c>
      <c r="C64" s="160">
        <v>0</v>
      </c>
      <c r="D64" s="159">
        <v>0</v>
      </c>
      <c r="E64" s="160">
        <v>0</v>
      </c>
      <c r="F64" s="213">
        <v>0</v>
      </c>
      <c r="G64" s="161">
        <f t="shared" si="0"/>
        <v>0</v>
      </c>
      <c r="H64" s="132"/>
      <c r="I64" s="138"/>
      <c r="J64" s="201" t="s">
        <v>255</v>
      </c>
      <c r="K64" s="202">
        <v>-8.3152173705125492E-3</v>
      </c>
      <c r="L64" s="203">
        <v>-8.6960261588458376E-2</v>
      </c>
      <c r="M64" s="204"/>
    </row>
    <row r="65" spans="2:13" x14ac:dyDescent="0.25">
      <c r="B65" s="158" t="s">
        <v>304</v>
      </c>
      <c r="C65" s="160">
        <v>6.3409999999999996E-4</v>
      </c>
      <c r="D65" s="159">
        <v>-5.5466000000000001E-4</v>
      </c>
      <c r="E65" s="160">
        <v>4.7663999999999996E-3</v>
      </c>
      <c r="F65" s="213">
        <v>0</v>
      </c>
      <c r="G65" s="161">
        <f t="shared" si="0"/>
        <v>4.2090962685761291E-3</v>
      </c>
      <c r="H65" s="132"/>
      <c r="I65" s="138"/>
      <c r="J65" s="205" t="s">
        <v>304</v>
      </c>
      <c r="K65" s="202">
        <v>-8.3152173705125492E-3</v>
      </c>
      <c r="L65" s="203">
        <v>-8.6960261588458376E-2</v>
      </c>
      <c r="M65" s="204"/>
    </row>
    <row r="66" spans="2:13" x14ac:dyDescent="0.25">
      <c r="B66" s="158" t="s">
        <v>305</v>
      </c>
      <c r="C66" s="160">
        <v>0</v>
      </c>
      <c r="D66" s="159">
        <v>0</v>
      </c>
      <c r="E66" s="160">
        <v>0</v>
      </c>
      <c r="F66" s="213">
        <v>0</v>
      </c>
      <c r="G66" s="161">
        <f t="shared" si="0"/>
        <v>0</v>
      </c>
      <c r="H66" s="132"/>
      <c r="I66" s="138"/>
      <c r="J66" s="201" t="s">
        <v>305</v>
      </c>
      <c r="K66" s="202">
        <v>-8.3152173705125492E-3</v>
      </c>
      <c r="L66" s="203">
        <v>-8.6960261588458376E-2</v>
      </c>
      <c r="M66" s="204"/>
    </row>
    <row r="67" spans="2:13" x14ac:dyDescent="0.25">
      <c r="B67" s="158" t="s">
        <v>306</v>
      </c>
      <c r="C67" s="160">
        <v>0</v>
      </c>
      <c r="D67" s="159">
        <v>0</v>
      </c>
      <c r="E67" s="160">
        <v>0</v>
      </c>
      <c r="F67" s="213">
        <v>0</v>
      </c>
      <c r="G67" s="161">
        <f t="shared" si="0"/>
        <v>0</v>
      </c>
      <c r="H67" s="132"/>
      <c r="I67" s="138"/>
      <c r="J67" s="205" t="s">
        <v>306</v>
      </c>
      <c r="K67" s="202">
        <v>-8.3152173705125492E-3</v>
      </c>
      <c r="L67" s="203">
        <v>-8.6960261588458376E-2</v>
      </c>
      <c r="M67" s="204"/>
    </row>
    <row r="68" spans="2:13" x14ac:dyDescent="0.25">
      <c r="B68" s="158" t="s">
        <v>418</v>
      </c>
      <c r="C68" s="160">
        <v>0</v>
      </c>
      <c r="D68" s="159">
        <v>0</v>
      </c>
      <c r="E68" s="160">
        <v>0</v>
      </c>
      <c r="F68" s="213">
        <v>0</v>
      </c>
      <c r="G68" s="161">
        <f t="shared" si="0"/>
        <v>0</v>
      </c>
      <c r="H68" s="132"/>
      <c r="I68" s="138"/>
      <c r="J68" s="201" t="s">
        <v>418</v>
      </c>
      <c r="K68" s="202">
        <v>-8.3152173705125492E-3</v>
      </c>
      <c r="L68" s="203">
        <v>-8.6960261588458376E-2</v>
      </c>
      <c r="M68" s="204"/>
    </row>
    <row r="69" spans="2:13" x14ac:dyDescent="0.25">
      <c r="B69" s="158" t="s">
        <v>307</v>
      </c>
      <c r="C69" s="160">
        <v>0</v>
      </c>
      <c r="D69" s="159">
        <v>0</v>
      </c>
      <c r="E69" s="160">
        <v>0</v>
      </c>
      <c r="F69" s="213">
        <v>0</v>
      </c>
      <c r="G69" s="161">
        <f t="shared" si="0"/>
        <v>0</v>
      </c>
      <c r="H69" s="132"/>
      <c r="I69" s="138"/>
      <c r="J69" s="205" t="s">
        <v>307</v>
      </c>
      <c r="K69" s="202">
        <v>-8.3152173705125492E-3</v>
      </c>
      <c r="L69" s="203">
        <v>-8.6960261588458376E-2</v>
      </c>
      <c r="M69" s="204"/>
    </row>
    <row r="70" spans="2:13" x14ac:dyDescent="0.25">
      <c r="B70" s="158" t="s">
        <v>308</v>
      </c>
      <c r="C70" s="160">
        <v>1.3678610000000001E-2</v>
      </c>
      <c r="D70" s="159">
        <v>3.1799599999999999E-3</v>
      </c>
      <c r="E70" s="160">
        <v>1.1581610000000001E-2</v>
      </c>
      <c r="F70" s="213">
        <v>0</v>
      </c>
      <c r="G70" s="161">
        <f t="shared" si="0"/>
        <v>1.4798399056535461E-2</v>
      </c>
      <c r="H70" s="132"/>
      <c r="I70" s="138"/>
      <c r="J70" s="201" t="s">
        <v>308</v>
      </c>
      <c r="K70" s="202">
        <v>-8.3152173705125492E-3</v>
      </c>
      <c r="L70" s="203">
        <v>-8.6960261588458376E-2</v>
      </c>
      <c r="M70" s="204"/>
    </row>
    <row r="71" spans="2:13" s="167" customFormat="1" x14ac:dyDescent="0.25">
      <c r="B71" s="158" t="s">
        <v>310</v>
      </c>
      <c r="C71" s="160">
        <v>1.153917E-2</v>
      </c>
      <c r="D71" s="159">
        <v>7.3352599999999997E-3</v>
      </c>
      <c r="E71" s="160">
        <v>2.1468190000000002E-2</v>
      </c>
      <c r="F71" s="213">
        <v>0</v>
      </c>
      <c r="G71" s="161">
        <f t="shared" si="0"/>
        <v>2.896092475537948E-2</v>
      </c>
      <c r="H71" s="132"/>
      <c r="I71" s="138"/>
      <c r="J71" s="205" t="s">
        <v>310</v>
      </c>
      <c r="K71" s="202">
        <v>-8.3152173705125492E-3</v>
      </c>
      <c r="L71" s="203">
        <v>-8.6960261588458376E-2</v>
      </c>
      <c r="M71" s="204"/>
    </row>
    <row r="72" spans="2:13" s="167" customFormat="1" x14ac:dyDescent="0.25">
      <c r="B72" s="158" t="s">
        <v>419</v>
      </c>
      <c r="C72" s="160">
        <v>0</v>
      </c>
      <c r="D72" s="159">
        <v>0</v>
      </c>
      <c r="E72" s="160">
        <v>0</v>
      </c>
      <c r="F72" s="213">
        <v>0</v>
      </c>
      <c r="G72" s="161">
        <f t="shared" si="0"/>
        <v>0</v>
      </c>
      <c r="H72" s="132"/>
      <c r="I72" s="138"/>
      <c r="J72" s="201" t="s">
        <v>419</v>
      </c>
      <c r="K72" s="202">
        <v>-8.3152173705125492E-3</v>
      </c>
      <c r="L72" s="203">
        <v>-8.6960261588458376E-2</v>
      </c>
      <c r="M72" s="204"/>
    </row>
    <row r="73" spans="2:13" x14ac:dyDescent="0.25">
      <c r="B73" s="158" t="s">
        <v>309</v>
      </c>
      <c r="C73" s="160">
        <v>1.3777E-4</v>
      </c>
      <c r="D73" s="159">
        <v>1.0210200000000001E-3</v>
      </c>
      <c r="E73" s="160">
        <v>5.2826599999999998E-3</v>
      </c>
      <c r="F73" s="213">
        <v>0</v>
      </c>
      <c r="G73" s="161">
        <f t="shared" si="0"/>
        <v>6.3090737015132348E-3</v>
      </c>
      <c r="H73" s="132"/>
      <c r="I73" s="138"/>
      <c r="J73" s="205" t="s">
        <v>309</v>
      </c>
      <c r="K73" s="202">
        <v>-8.3152173705125492E-3</v>
      </c>
      <c r="L73" s="203">
        <v>-8.6960261588458376E-2</v>
      </c>
      <c r="M73" s="204"/>
    </row>
    <row r="74" spans="2:13" s="167" customFormat="1" x14ac:dyDescent="0.25">
      <c r="B74" s="158" t="s">
        <v>420</v>
      </c>
      <c r="C74" s="160">
        <v>0</v>
      </c>
      <c r="D74" s="159">
        <v>0</v>
      </c>
      <c r="E74" s="160">
        <v>0</v>
      </c>
      <c r="F74" s="213">
        <v>0</v>
      </c>
      <c r="G74" s="161">
        <f t="shared" si="0"/>
        <v>0</v>
      </c>
      <c r="H74" s="132"/>
      <c r="I74" s="138"/>
      <c r="J74" s="201" t="s">
        <v>420</v>
      </c>
      <c r="K74" s="202">
        <v>-8.3152173705125492E-3</v>
      </c>
      <c r="L74" s="203">
        <v>-8.6960261588458376E-2</v>
      </c>
      <c r="M74" s="204"/>
    </row>
    <row r="75" spans="2:13" s="167" customFormat="1" x14ac:dyDescent="0.25">
      <c r="B75" s="158" t="s">
        <v>421</v>
      </c>
      <c r="C75" s="160">
        <v>0</v>
      </c>
      <c r="D75" s="159">
        <v>0</v>
      </c>
      <c r="E75" s="160">
        <v>0</v>
      </c>
      <c r="F75" s="213">
        <v>0</v>
      </c>
      <c r="G75" s="161">
        <f t="shared" si="0"/>
        <v>0</v>
      </c>
      <c r="H75" s="132"/>
      <c r="I75" s="138"/>
      <c r="J75" s="205" t="s">
        <v>421</v>
      </c>
      <c r="K75" s="202">
        <v>-8.3152173705125492E-3</v>
      </c>
      <c r="L75" s="203">
        <v>-8.6960261588458376E-2</v>
      </c>
      <c r="M75" s="204"/>
    </row>
    <row r="76" spans="2:13" s="167" customFormat="1" x14ac:dyDescent="0.25">
      <c r="B76" s="158" t="s">
        <v>422</v>
      </c>
      <c r="C76" s="160">
        <v>0</v>
      </c>
      <c r="D76" s="159">
        <v>0</v>
      </c>
      <c r="E76" s="160">
        <v>0</v>
      </c>
      <c r="F76" s="213">
        <v>0</v>
      </c>
      <c r="G76" s="161">
        <f t="shared" ref="G76:G84" si="1">(1+D76)*(1+E76)-1</f>
        <v>0</v>
      </c>
      <c r="H76" s="132"/>
      <c r="I76" s="138"/>
      <c r="J76" s="201" t="s">
        <v>422</v>
      </c>
      <c r="K76" s="202">
        <v>-8.3152173705125492E-3</v>
      </c>
      <c r="L76" s="203">
        <v>-8.6960261588458376E-2</v>
      </c>
      <c r="M76" s="204"/>
    </row>
    <row r="77" spans="2:13" s="167" customFormat="1" x14ac:dyDescent="0.25">
      <c r="B77" s="158" t="s">
        <v>423</v>
      </c>
      <c r="C77" s="160">
        <v>0</v>
      </c>
      <c r="D77" s="159">
        <v>0</v>
      </c>
      <c r="E77" s="160">
        <v>0</v>
      </c>
      <c r="F77" s="213">
        <v>0</v>
      </c>
      <c r="G77" s="161">
        <f t="shared" si="1"/>
        <v>0</v>
      </c>
      <c r="H77" s="132"/>
      <c r="I77" s="138"/>
      <c r="J77" s="205" t="s">
        <v>423</v>
      </c>
      <c r="K77" s="202">
        <v>-8.3152173705125492E-3</v>
      </c>
      <c r="L77" s="203">
        <v>-8.6960261588458376E-2</v>
      </c>
      <c r="M77" s="204"/>
    </row>
    <row r="78" spans="2:13" s="167" customFormat="1" x14ac:dyDescent="0.25">
      <c r="B78" s="158" t="s">
        <v>424</v>
      </c>
      <c r="C78" s="160">
        <v>0</v>
      </c>
      <c r="D78" s="159">
        <v>0</v>
      </c>
      <c r="E78" s="160">
        <v>0</v>
      </c>
      <c r="F78" s="213">
        <v>0</v>
      </c>
      <c r="G78" s="161">
        <f t="shared" si="1"/>
        <v>0</v>
      </c>
      <c r="H78" s="132"/>
      <c r="I78" s="138"/>
      <c r="J78" s="201" t="s">
        <v>424</v>
      </c>
      <c r="K78" s="202">
        <v>-8.3152173705125492E-3</v>
      </c>
      <c r="L78" s="203">
        <v>-8.6960261588458376E-2</v>
      </c>
      <c r="M78" s="204"/>
    </row>
    <row r="79" spans="2:13" s="167" customFormat="1" x14ac:dyDescent="0.25">
      <c r="B79" s="158" t="s">
        <v>425</v>
      </c>
      <c r="C79" s="160">
        <v>0</v>
      </c>
      <c r="D79" s="159">
        <v>0</v>
      </c>
      <c r="E79" s="160">
        <v>0</v>
      </c>
      <c r="F79" s="213">
        <v>0</v>
      </c>
      <c r="G79" s="161">
        <f t="shared" si="1"/>
        <v>0</v>
      </c>
      <c r="H79" s="132"/>
      <c r="I79" s="138"/>
      <c r="J79" s="205" t="s">
        <v>425</v>
      </c>
      <c r="K79" s="202">
        <v>-8.3152173705125492E-3</v>
      </c>
      <c r="L79" s="203">
        <v>-8.6960261588458376E-2</v>
      </c>
      <c r="M79" s="204"/>
    </row>
    <row r="80" spans="2:13" s="167" customFormat="1" x14ac:dyDescent="0.25">
      <c r="B80" s="158" t="s">
        <v>426</v>
      </c>
      <c r="C80" s="160">
        <v>0</v>
      </c>
      <c r="D80" s="159">
        <v>0</v>
      </c>
      <c r="E80" s="160">
        <v>0</v>
      </c>
      <c r="F80" s="213">
        <v>0</v>
      </c>
      <c r="G80" s="161">
        <f t="shared" si="1"/>
        <v>0</v>
      </c>
      <c r="H80" s="132"/>
      <c r="I80" s="138"/>
      <c r="J80" s="201" t="s">
        <v>426</v>
      </c>
      <c r="K80" s="202">
        <v>-8.3152173705125492E-3</v>
      </c>
      <c r="L80" s="203">
        <v>-8.6960261588458376E-2</v>
      </c>
      <c r="M80" s="204"/>
    </row>
    <row r="81" spans="2:14" s="167" customFormat="1" x14ac:dyDescent="0.25">
      <c r="B81" s="158" t="s">
        <v>427</v>
      </c>
      <c r="C81" s="160">
        <v>0</v>
      </c>
      <c r="D81" s="159">
        <v>0</v>
      </c>
      <c r="E81" s="160">
        <v>0</v>
      </c>
      <c r="F81" s="213">
        <v>0</v>
      </c>
      <c r="G81" s="161">
        <f t="shared" si="1"/>
        <v>0</v>
      </c>
      <c r="H81" s="132"/>
      <c r="I81" s="138"/>
      <c r="J81" s="205" t="s">
        <v>427</v>
      </c>
      <c r="K81" s="202">
        <v>-8.3152173705125492E-3</v>
      </c>
      <c r="L81" s="203">
        <v>-8.6960261588458376E-2</v>
      </c>
      <c r="M81" s="204"/>
    </row>
    <row r="82" spans="2:14" s="167" customFormat="1" x14ac:dyDescent="0.25">
      <c r="B82" s="158" t="s">
        <v>428</v>
      </c>
      <c r="C82" s="160">
        <v>0</v>
      </c>
      <c r="D82" s="159">
        <v>0</v>
      </c>
      <c r="E82" s="160">
        <v>0</v>
      </c>
      <c r="F82" s="213">
        <v>0</v>
      </c>
      <c r="G82" s="161">
        <f t="shared" si="1"/>
        <v>0</v>
      </c>
      <c r="H82" s="132"/>
      <c r="I82" s="138"/>
      <c r="J82" s="201" t="s">
        <v>428</v>
      </c>
      <c r="K82" s="202">
        <v>-8.3152173705125492E-3</v>
      </c>
      <c r="L82" s="203">
        <v>-8.6960261588458376E-2</v>
      </c>
      <c r="M82" s="204"/>
    </row>
    <row r="83" spans="2:14" ht="15.75" thickBot="1" x14ac:dyDescent="0.3">
      <c r="B83" s="158" t="s">
        <v>429</v>
      </c>
      <c r="C83" s="160">
        <v>0</v>
      </c>
      <c r="D83" s="159">
        <v>0</v>
      </c>
      <c r="E83" s="160">
        <v>0</v>
      </c>
      <c r="F83" s="213">
        <v>0</v>
      </c>
      <c r="G83" s="161">
        <f t="shared" si="1"/>
        <v>0</v>
      </c>
      <c r="H83" s="132"/>
      <c r="I83" s="127"/>
      <c r="J83" s="206" t="s">
        <v>429</v>
      </c>
      <c r="K83" s="207">
        <v>-8.3152173705125492E-3</v>
      </c>
      <c r="L83" s="208">
        <v>-8.6960261588458376E-2</v>
      </c>
      <c r="M83" s="209"/>
    </row>
    <row r="84" spans="2:14" ht="15.75" thickBot="1" x14ac:dyDescent="0.3">
      <c r="B84" s="162" t="s">
        <v>363</v>
      </c>
      <c r="C84" s="164">
        <v>0</v>
      </c>
      <c r="D84" s="163">
        <v>2.8299999999999999E-2</v>
      </c>
      <c r="E84" s="164">
        <v>0.11086894010165449</v>
      </c>
      <c r="F84" s="214">
        <v>0</v>
      </c>
      <c r="G84" s="165">
        <f t="shared" si="1"/>
        <v>0.14230653110653124</v>
      </c>
      <c r="H84" s="134"/>
      <c r="I84" s="127"/>
      <c r="J84" s="11"/>
      <c r="K84" s="167"/>
    </row>
    <row r="85" spans="2:14" x14ac:dyDescent="0.25">
      <c r="C85" s="256"/>
      <c r="D85" s="256"/>
      <c r="E85" s="256"/>
      <c r="F85" s="256"/>
      <c r="G85" s="256"/>
    </row>
    <row r="86" spans="2:14" s="167" customFormat="1" x14ac:dyDescent="0.25">
      <c r="B86" s="187" t="s">
        <v>433</v>
      </c>
      <c r="H86" s="127"/>
    </row>
    <row r="87" spans="2:14" ht="15.75" thickBot="1" x14ac:dyDescent="0.3"/>
    <row r="88" spans="2:14" ht="21.75" customHeight="1" thickBot="1" x14ac:dyDescent="0.3">
      <c r="B88" s="899" t="s">
        <v>434</v>
      </c>
      <c r="C88" s="900"/>
      <c r="D88" s="901"/>
      <c r="E88" s="136"/>
      <c r="F88"/>
      <c r="G88"/>
      <c r="H88"/>
      <c r="I88"/>
      <c r="J88"/>
      <c r="K88"/>
      <c r="L88"/>
      <c r="M88"/>
    </row>
    <row r="89" spans="2:14" ht="30" customHeight="1" thickBot="1" x14ac:dyDescent="0.3">
      <c r="B89" s="188" t="s">
        <v>267</v>
      </c>
      <c r="C89" s="189" t="s">
        <v>388</v>
      </c>
      <c r="D89" s="190" t="s">
        <v>389</v>
      </c>
      <c r="F89"/>
      <c r="G89"/>
      <c r="H89"/>
      <c r="I89"/>
      <c r="J89"/>
      <c r="K89"/>
      <c r="L89"/>
      <c r="M89"/>
      <c r="N89" s="167"/>
    </row>
    <row r="90" spans="2:14" x14ac:dyDescent="0.25">
      <c r="B90" s="191" t="s">
        <v>390</v>
      </c>
      <c r="C90" s="192">
        <v>1.1702913986164E-2</v>
      </c>
      <c r="D90" s="193">
        <v>-6.8529657693413348E-2</v>
      </c>
      <c r="F90"/>
      <c r="G90"/>
      <c r="H90"/>
      <c r="I90"/>
      <c r="J90"/>
      <c r="K90"/>
      <c r="L90"/>
      <c r="M90"/>
      <c r="N90" s="167"/>
    </row>
    <row r="91" spans="2:14" x14ac:dyDescent="0.25">
      <c r="B91" s="191" t="s">
        <v>391</v>
      </c>
      <c r="C91" s="194">
        <v>6.68831432242611E-3</v>
      </c>
      <c r="D91" s="195">
        <v>-7.3146577147473857E-2</v>
      </c>
      <c r="F91"/>
      <c r="G91"/>
      <c r="H91"/>
      <c r="I91"/>
      <c r="J91"/>
      <c r="K91"/>
      <c r="L91"/>
      <c r="M91"/>
      <c r="N91" s="167"/>
    </row>
    <row r="92" spans="2:14" x14ac:dyDescent="0.25">
      <c r="B92" s="191" t="s">
        <v>311</v>
      </c>
      <c r="C92" s="194">
        <v>3.6740734670521699E-3</v>
      </c>
      <c r="D92" s="195">
        <v>3.6740734670521746E-3</v>
      </c>
      <c r="E92" s="167"/>
      <c r="F92"/>
      <c r="G92"/>
      <c r="H92"/>
      <c r="I92"/>
      <c r="J92"/>
      <c r="K92"/>
      <c r="L92"/>
      <c r="M92"/>
      <c r="N92" s="167"/>
    </row>
    <row r="93" spans="2:14" x14ac:dyDescent="0.25">
      <c r="B93" s="196" t="s">
        <v>392</v>
      </c>
      <c r="C93" s="194">
        <v>0</v>
      </c>
      <c r="D93" s="195">
        <v>0</v>
      </c>
      <c r="E93" s="167"/>
      <c r="F93"/>
      <c r="G93"/>
      <c r="H93"/>
      <c r="I93"/>
      <c r="J93"/>
      <c r="K93"/>
      <c r="L93"/>
      <c r="M93"/>
      <c r="N93" s="167"/>
    </row>
    <row r="94" spans="2:14" x14ac:dyDescent="0.25">
      <c r="B94" s="191" t="s">
        <v>312</v>
      </c>
      <c r="C94" s="194">
        <v>0</v>
      </c>
      <c r="D94" s="195">
        <v>0</v>
      </c>
      <c r="E94" s="167"/>
      <c r="F94"/>
      <c r="G94"/>
      <c r="H94"/>
      <c r="I94"/>
      <c r="J94"/>
      <c r="K94"/>
      <c r="L94"/>
      <c r="M94"/>
      <c r="N94" s="167"/>
    </row>
    <row r="95" spans="2:14" x14ac:dyDescent="0.25">
      <c r="B95" s="191" t="s">
        <v>313</v>
      </c>
      <c r="C95" s="194">
        <v>0</v>
      </c>
      <c r="D95" s="195">
        <v>0</v>
      </c>
      <c r="F95"/>
      <c r="G95"/>
      <c r="H95"/>
      <c r="I95"/>
      <c r="J95"/>
      <c r="K95"/>
      <c r="L95"/>
      <c r="M95"/>
    </row>
    <row r="96" spans="2:14" ht="15.75" thickBot="1" x14ac:dyDescent="0.3">
      <c r="B96" s="197" t="s">
        <v>314</v>
      </c>
      <c r="C96" s="198">
        <v>0</v>
      </c>
      <c r="D96" s="199">
        <v>0</v>
      </c>
      <c r="F96"/>
      <c r="G96"/>
      <c r="H96"/>
      <c r="I96"/>
      <c r="J96"/>
      <c r="K96"/>
      <c r="L96"/>
      <c r="M96"/>
    </row>
    <row r="97" spans="4:13" x14ac:dyDescent="0.25">
      <c r="D97" s="167"/>
      <c r="F97"/>
      <c r="G97"/>
      <c r="H97"/>
      <c r="I97"/>
      <c r="J97"/>
      <c r="K97"/>
      <c r="L97"/>
      <c r="M97"/>
    </row>
    <row r="98" spans="4:13" x14ac:dyDescent="0.25">
      <c r="D98" s="167"/>
      <c r="F98"/>
      <c r="G98"/>
      <c r="H98"/>
      <c r="I98"/>
      <c r="J98"/>
      <c r="K98"/>
      <c r="L98"/>
      <c r="M98"/>
    </row>
    <row r="99" spans="4:13" x14ac:dyDescent="0.25">
      <c r="J99" s="176"/>
    </row>
  </sheetData>
  <mergeCells count="4">
    <mergeCell ref="B2:H2"/>
    <mergeCell ref="B10:H10"/>
    <mergeCell ref="J10:M10"/>
    <mergeCell ref="B88:D88"/>
  </mergeCells>
  <hyperlinks>
    <hyperlink ref="A1" location="Navigation!A1" display="Home"/>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78"/>
  <sheetViews>
    <sheetView zoomScaleNormal="100" workbookViewId="0"/>
  </sheetViews>
  <sheetFormatPr defaultRowHeight="15" x14ac:dyDescent="0.25"/>
  <cols>
    <col min="2" max="2" width="76.28515625" customWidth="1"/>
    <col min="3" max="3" width="21.7109375" customWidth="1"/>
    <col min="5" max="5" width="28.7109375" customWidth="1"/>
    <col min="6" max="6" width="34.5703125" customWidth="1"/>
    <col min="7" max="7" width="42.5703125" customWidth="1"/>
  </cols>
  <sheetData>
    <row r="1" spans="1:7" ht="18.75" x14ac:dyDescent="0.3">
      <c r="A1" s="464" t="s">
        <v>903</v>
      </c>
      <c r="B1" s="465"/>
      <c r="C1" s="466"/>
      <c r="D1" s="175"/>
      <c r="E1" s="466"/>
      <c r="F1" s="466"/>
      <c r="G1" s="466"/>
    </row>
    <row r="2" spans="1:7" x14ac:dyDescent="0.25">
      <c r="A2" s="173" t="s">
        <v>377</v>
      </c>
      <c r="B2" s="465"/>
      <c r="C2" s="167"/>
      <c r="D2" s="175"/>
      <c r="E2" s="466"/>
      <c r="F2" s="466"/>
      <c r="G2" s="466"/>
    </row>
    <row r="3" spans="1:7" ht="38.25" x14ac:dyDescent="0.25">
      <c r="A3" s="467" t="s">
        <v>197</v>
      </c>
      <c r="B3" s="172" t="s">
        <v>352</v>
      </c>
      <c r="C3" s="467" t="s">
        <v>904</v>
      </c>
      <c r="D3" s="175"/>
      <c r="E3" s="467" t="s">
        <v>905</v>
      </c>
      <c r="F3" s="467" t="s">
        <v>906</v>
      </c>
      <c r="G3" s="467" t="s">
        <v>907</v>
      </c>
    </row>
    <row r="4" spans="1:7" ht="15.75" x14ac:dyDescent="0.25">
      <c r="A4" s="468">
        <v>1</v>
      </c>
      <c r="B4" s="468" t="s">
        <v>169</v>
      </c>
      <c r="C4" s="469">
        <v>0</v>
      </c>
      <c r="D4" s="470"/>
      <c r="E4" s="471"/>
      <c r="F4" s="471"/>
      <c r="G4" s="471"/>
    </row>
    <row r="5" spans="1:7" x14ac:dyDescent="0.25">
      <c r="A5" s="472" t="s">
        <v>179</v>
      </c>
      <c r="B5" s="473" t="s">
        <v>316</v>
      </c>
      <c r="C5" s="469">
        <v>0</v>
      </c>
      <c r="D5" s="470"/>
      <c r="E5" s="885">
        <v>0</v>
      </c>
      <c r="F5" s="885">
        <v>0</v>
      </c>
      <c r="G5" s="885">
        <v>0</v>
      </c>
    </row>
    <row r="6" spans="1:7" x14ac:dyDescent="0.25">
      <c r="A6" s="472" t="s">
        <v>180</v>
      </c>
      <c r="B6" s="473" t="s">
        <v>317</v>
      </c>
      <c r="C6" s="469">
        <v>0</v>
      </c>
      <c r="D6" s="470"/>
      <c r="E6" s="885" t="s">
        <v>978</v>
      </c>
      <c r="F6" s="885" t="s">
        <v>979</v>
      </c>
      <c r="G6" s="885" t="s">
        <v>980</v>
      </c>
    </row>
    <row r="7" spans="1:7" ht="63.75" x14ac:dyDescent="0.25">
      <c r="A7" s="472" t="s">
        <v>181</v>
      </c>
      <c r="B7" s="473" t="s">
        <v>318</v>
      </c>
      <c r="C7" s="469" t="s">
        <v>908</v>
      </c>
      <c r="D7" s="470"/>
      <c r="E7" s="885" t="s">
        <v>981</v>
      </c>
      <c r="F7" s="885" t="s">
        <v>979</v>
      </c>
      <c r="G7" s="885" t="s">
        <v>982</v>
      </c>
    </row>
    <row r="8" spans="1:7" ht="63.75" x14ac:dyDescent="0.25">
      <c r="A8" s="472" t="s">
        <v>182</v>
      </c>
      <c r="B8" s="473" t="s">
        <v>319</v>
      </c>
      <c r="C8" s="469">
        <v>0</v>
      </c>
      <c r="D8" s="470"/>
      <c r="E8" s="885" t="s">
        <v>983</v>
      </c>
      <c r="F8" s="885" t="s">
        <v>984</v>
      </c>
      <c r="G8" s="885" t="s">
        <v>985</v>
      </c>
    </row>
    <row r="9" spans="1:7" ht="63.75" x14ac:dyDescent="0.25">
      <c r="A9" s="472" t="s">
        <v>183</v>
      </c>
      <c r="B9" s="473" t="s">
        <v>320</v>
      </c>
      <c r="C9" s="469" t="s">
        <v>909</v>
      </c>
      <c r="D9" s="470"/>
      <c r="E9" s="885" t="s">
        <v>986</v>
      </c>
      <c r="F9" s="885" t="s">
        <v>984</v>
      </c>
      <c r="G9" s="885" t="s">
        <v>987</v>
      </c>
    </row>
    <row r="10" spans="1:7" ht="38.25" x14ac:dyDescent="0.25">
      <c r="A10" s="472" t="s">
        <v>184</v>
      </c>
      <c r="B10" s="473" t="s">
        <v>321</v>
      </c>
      <c r="C10" s="469">
        <v>0</v>
      </c>
      <c r="D10" s="470"/>
      <c r="E10" s="885">
        <v>0</v>
      </c>
      <c r="F10" s="885" t="s">
        <v>984</v>
      </c>
      <c r="G10" s="885" t="s">
        <v>988</v>
      </c>
    </row>
    <row r="11" spans="1:7" ht="38.25" x14ac:dyDescent="0.25">
      <c r="A11" s="472" t="s">
        <v>97</v>
      </c>
      <c r="B11" s="473" t="s">
        <v>98</v>
      </c>
      <c r="C11" s="469">
        <v>0</v>
      </c>
      <c r="D11" s="470"/>
      <c r="E11" s="885">
        <v>0</v>
      </c>
      <c r="F11" s="885" t="s">
        <v>984</v>
      </c>
      <c r="G11" s="885" t="s">
        <v>989</v>
      </c>
    </row>
    <row r="12" spans="1:7" ht="51" x14ac:dyDescent="0.25">
      <c r="A12" s="472" t="s">
        <v>99</v>
      </c>
      <c r="B12" s="473" t="s">
        <v>322</v>
      </c>
      <c r="C12" s="469">
        <v>0</v>
      </c>
      <c r="D12" s="470"/>
      <c r="E12" s="885" t="s">
        <v>990</v>
      </c>
      <c r="F12" s="885" t="s">
        <v>979</v>
      </c>
      <c r="G12" s="885" t="s">
        <v>991</v>
      </c>
    </row>
    <row r="13" spans="1:7" ht="63.75" x14ac:dyDescent="0.25">
      <c r="A13" s="472" t="s">
        <v>101</v>
      </c>
      <c r="B13" s="473" t="s">
        <v>323</v>
      </c>
      <c r="C13" s="469" t="s">
        <v>910</v>
      </c>
      <c r="D13" s="470"/>
      <c r="E13" s="885" t="s">
        <v>992</v>
      </c>
      <c r="F13" s="885" t="s">
        <v>984</v>
      </c>
      <c r="G13" s="885" t="s">
        <v>985</v>
      </c>
    </row>
    <row r="14" spans="1:7" ht="63.75" x14ac:dyDescent="0.25">
      <c r="A14" s="472" t="s">
        <v>103</v>
      </c>
      <c r="B14" s="473" t="s">
        <v>104</v>
      </c>
      <c r="C14" s="469">
        <v>0</v>
      </c>
      <c r="D14" s="470"/>
      <c r="E14" s="885" t="s">
        <v>993</v>
      </c>
      <c r="F14" s="885" t="s">
        <v>984</v>
      </c>
      <c r="G14" s="885" t="s">
        <v>994</v>
      </c>
    </row>
    <row r="15" spans="1:7" ht="30" x14ac:dyDescent="0.25">
      <c r="A15" s="472" t="s">
        <v>105</v>
      </c>
      <c r="B15" s="473" t="s">
        <v>106</v>
      </c>
      <c r="C15" s="469">
        <v>0</v>
      </c>
      <c r="D15" s="470"/>
      <c r="E15" s="885" t="s">
        <v>995</v>
      </c>
      <c r="F15" s="885" t="s">
        <v>996</v>
      </c>
      <c r="G15" s="885" t="s">
        <v>996</v>
      </c>
    </row>
    <row r="16" spans="1:7" ht="51" x14ac:dyDescent="0.25">
      <c r="A16" s="472" t="s">
        <v>185</v>
      </c>
      <c r="B16" s="473" t="s">
        <v>324</v>
      </c>
      <c r="C16" s="469">
        <v>0</v>
      </c>
      <c r="D16" s="470"/>
      <c r="E16" s="885" t="s">
        <v>997</v>
      </c>
      <c r="F16" s="885" t="s">
        <v>782</v>
      </c>
      <c r="G16" s="885">
        <v>0</v>
      </c>
    </row>
    <row r="17" spans="1:7" ht="63.75" x14ac:dyDescent="0.25">
      <c r="A17" s="472" t="s">
        <v>186</v>
      </c>
      <c r="B17" s="473" t="s">
        <v>325</v>
      </c>
      <c r="C17" s="469">
        <v>0</v>
      </c>
      <c r="D17" s="470"/>
      <c r="E17" s="885" t="s">
        <v>998</v>
      </c>
      <c r="F17" s="885" t="s">
        <v>979</v>
      </c>
      <c r="G17" s="885" t="s">
        <v>999</v>
      </c>
    </row>
    <row r="18" spans="1:7" ht="63.75" x14ac:dyDescent="0.25">
      <c r="A18" s="472" t="s">
        <v>187</v>
      </c>
      <c r="B18" s="473" t="s">
        <v>326</v>
      </c>
      <c r="C18" s="469" t="s">
        <v>911</v>
      </c>
      <c r="D18" s="470"/>
      <c r="E18" s="885" t="s">
        <v>1000</v>
      </c>
      <c r="F18" s="885" t="s">
        <v>979</v>
      </c>
      <c r="G18" s="885" t="s">
        <v>1001</v>
      </c>
    </row>
    <row r="19" spans="1:7" ht="51" x14ac:dyDescent="0.25">
      <c r="A19" s="472" t="s">
        <v>188</v>
      </c>
      <c r="B19" s="473" t="s">
        <v>327</v>
      </c>
      <c r="C19" s="469">
        <v>0</v>
      </c>
      <c r="D19" s="470"/>
      <c r="E19" s="885" t="s">
        <v>1002</v>
      </c>
      <c r="F19" s="885" t="s">
        <v>984</v>
      </c>
      <c r="G19" s="885" t="s">
        <v>1003</v>
      </c>
    </row>
    <row r="20" spans="1:7" ht="63.75" x14ac:dyDescent="0.25">
      <c r="A20" s="472" t="s">
        <v>189</v>
      </c>
      <c r="B20" s="473" t="s">
        <v>328</v>
      </c>
      <c r="C20" s="469" t="s">
        <v>912</v>
      </c>
      <c r="D20" s="470"/>
      <c r="E20" s="885" t="s">
        <v>1004</v>
      </c>
      <c r="F20" s="885" t="s">
        <v>984</v>
      </c>
      <c r="G20" s="885" t="s">
        <v>1005</v>
      </c>
    </row>
    <row r="21" spans="1:7" ht="63.75" x14ac:dyDescent="0.25">
      <c r="A21" s="472" t="s">
        <v>190</v>
      </c>
      <c r="B21" s="473" t="s">
        <v>329</v>
      </c>
      <c r="C21" s="469">
        <v>0</v>
      </c>
      <c r="D21" s="470"/>
      <c r="E21" s="885" t="s">
        <v>1006</v>
      </c>
      <c r="F21" s="885" t="s">
        <v>984</v>
      </c>
      <c r="G21" s="885" t="s">
        <v>1007</v>
      </c>
    </row>
    <row r="22" spans="1:7" ht="63.75" x14ac:dyDescent="0.25">
      <c r="A22" s="472" t="s">
        <v>107</v>
      </c>
      <c r="B22" s="473" t="s">
        <v>108</v>
      </c>
      <c r="C22" s="469">
        <v>0</v>
      </c>
      <c r="D22" s="470"/>
      <c r="E22" s="885" t="s">
        <v>1008</v>
      </c>
      <c r="F22" s="885" t="s">
        <v>984</v>
      </c>
      <c r="G22" s="885" t="s">
        <v>1009</v>
      </c>
    </row>
    <row r="23" spans="1:7" ht="51" x14ac:dyDescent="0.25">
      <c r="A23" s="472" t="s">
        <v>109</v>
      </c>
      <c r="B23" s="473" t="s">
        <v>110</v>
      </c>
      <c r="C23" s="469">
        <v>0</v>
      </c>
      <c r="D23" s="470"/>
      <c r="E23" s="885" t="s">
        <v>1010</v>
      </c>
      <c r="F23" s="885" t="s">
        <v>984</v>
      </c>
      <c r="G23" s="885" t="s">
        <v>1011</v>
      </c>
    </row>
    <row r="24" spans="1:7" ht="63.75" x14ac:dyDescent="0.25">
      <c r="A24" s="472" t="s">
        <v>111</v>
      </c>
      <c r="B24" s="473" t="s">
        <v>112</v>
      </c>
      <c r="C24" s="469">
        <v>0</v>
      </c>
      <c r="D24" s="470"/>
      <c r="E24" s="885" t="s">
        <v>1012</v>
      </c>
      <c r="F24" s="885" t="s">
        <v>984</v>
      </c>
      <c r="G24" s="885" t="s">
        <v>1013</v>
      </c>
    </row>
    <row r="25" spans="1:7" ht="63.75" x14ac:dyDescent="0.25">
      <c r="A25" s="472" t="s">
        <v>115</v>
      </c>
      <c r="B25" s="473" t="s">
        <v>116</v>
      </c>
      <c r="C25" s="469">
        <v>0</v>
      </c>
      <c r="D25" s="470"/>
      <c r="E25" s="885" t="s">
        <v>1014</v>
      </c>
      <c r="F25" s="885" t="s">
        <v>984</v>
      </c>
      <c r="G25" s="885" t="s">
        <v>1009</v>
      </c>
    </row>
    <row r="26" spans="1:7" ht="63.75" x14ac:dyDescent="0.25">
      <c r="A26" s="472" t="s">
        <v>117</v>
      </c>
      <c r="B26" s="473" t="s">
        <v>118</v>
      </c>
      <c r="C26" s="469">
        <v>0</v>
      </c>
      <c r="D26" s="470"/>
      <c r="E26" s="885" t="s">
        <v>1015</v>
      </c>
      <c r="F26" s="885" t="s">
        <v>984</v>
      </c>
      <c r="G26" s="885" t="s">
        <v>1016</v>
      </c>
    </row>
    <row r="27" spans="1:7" ht="51" x14ac:dyDescent="0.25">
      <c r="A27" s="472" t="s">
        <v>113</v>
      </c>
      <c r="B27" s="473" t="s">
        <v>114</v>
      </c>
      <c r="C27" s="469">
        <v>0</v>
      </c>
      <c r="D27" s="470"/>
      <c r="E27" s="885" t="s">
        <v>1017</v>
      </c>
      <c r="F27" s="885" t="s">
        <v>979</v>
      </c>
      <c r="G27" s="885" t="s">
        <v>1018</v>
      </c>
    </row>
    <row r="28" spans="1:7" ht="51" x14ac:dyDescent="0.25">
      <c r="A28" s="472" t="s">
        <v>442</v>
      </c>
      <c r="B28" s="473" t="s">
        <v>443</v>
      </c>
      <c r="C28" s="469">
        <v>0</v>
      </c>
      <c r="D28" s="470"/>
      <c r="E28" s="885" t="s">
        <v>1019</v>
      </c>
      <c r="F28" s="885" t="s">
        <v>1020</v>
      </c>
      <c r="G28" s="885" t="s">
        <v>1021</v>
      </c>
    </row>
    <row r="29" spans="1:7" ht="51" x14ac:dyDescent="0.25">
      <c r="A29" s="472" t="s">
        <v>119</v>
      </c>
      <c r="B29" s="473" t="s">
        <v>120</v>
      </c>
      <c r="C29" s="469">
        <v>0</v>
      </c>
      <c r="D29" s="470"/>
      <c r="E29" s="885" t="s">
        <v>1022</v>
      </c>
      <c r="F29" s="885" t="s">
        <v>984</v>
      </c>
      <c r="G29" s="885" t="s">
        <v>1023</v>
      </c>
    </row>
    <row r="30" spans="1:7" x14ac:dyDescent="0.25">
      <c r="A30" s="472" t="s">
        <v>121</v>
      </c>
      <c r="B30" s="473" t="s">
        <v>330</v>
      </c>
      <c r="C30" s="469">
        <v>0</v>
      </c>
      <c r="D30" s="470"/>
      <c r="E30" s="885">
        <v>0</v>
      </c>
      <c r="F30" s="885">
        <v>0</v>
      </c>
      <c r="G30" s="885">
        <v>0</v>
      </c>
    </row>
    <row r="31" spans="1:7" ht="51" x14ac:dyDescent="0.25">
      <c r="A31" s="472" t="s">
        <v>123</v>
      </c>
      <c r="B31" s="473" t="s">
        <v>331</v>
      </c>
      <c r="C31" s="469">
        <v>0</v>
      </c>
      <c r="D31" s="470"/>
      <c r="E31" s="885" t="s">
        <v>1024</v>
      </c>
      <c r="F31" s="885">
        <v>0</v>
      </c>
      <c r="G31" s="885" t="s">
        <v>1025</v>
      </c>
    </row>
    <row r="32" spans="1:7" ht="51" x14ac:dyDescent="0.25">
      <c r="A32" s="472" t="s">
        <v>125</v>
      </c>
      <c r="B32" s="473" t="s">
        <v>332</v>
      </c>
      <c r="C32" s="469">
        <v>0</v>
      </c>
      <c r="D32" s="470"/>
      <c r="E32" s="885" t="s">
        <v>1026</v>
      </c>
      <c r="F32" s="885">
        <v>0</v>
      </c>
      <c r="G32" s="885" t="s">
        <v>1027</v>
      </c>
    </row>
    <row r="33" spans="1:7" ht="51" x14ac:dyDescent="0.25">
      <c r="A33" s="472" t="s">
        <v>127</v>
      </c>
      <c r="B33" s="473" t="s">
        <v>333</v>
      </c>
      <c r="C33" s="469">
        <v>0</v>
      </c>
      <c r="D33" s="470"/>
      <c r="E33" s="885" t="s">
        <v>1028</v>
      </c>
      <c r="F33" s="885" t="s">
        <v>1029</v>
      </c>
      <c r="G33" s="885">
        <v>0</v>
      </c>
    </row>
    <row r="34" spans="1:7" ht="38.25" x14ac:dyDescent="0.25">
      <c r="A34" s="472" t="s">
        <v>129</v>
      </c>
      <c r="B34" s="473" t="s">
        <v>334</v>
      </c>
      <c r="C34" s="469">
        <v>0</v>
      </c>
      <c r="D34" s="470"/>
      <c r="E34" s="885" t="s">
        <v>1030</v>
      </c>
      <c r="F34" s="885" t="s">
        <v>1029</v>
      </c>
      <c r="G34" s="885">
        <v>0</v>
      </c>
    </row>
    <row r="35" spans="1:7" ht="76.5" x14ac:dyDescent="0.25">
      <c r="A35" s="472" t="s">
        <v>131</v>
      </c>
      <c r="B35" s="473" t="s">
        <v>335</v>
      </c>
      <c r="C35" s="469">
        <v>0</v>
      </c>
      <c r="D35" s="470"/>
      <c r="E35" s="885" t="s">
        <v>1031</v>
      </c>
      <c r="F35" s="885" t="s">
        <v>1032</v>
      </c>
      <c r="G35" s="885">
        <v>0</v>
      </c>
    </row>
    <row r="36" spans="1:7" ht="76.5" x14ac:dyDescent="0.25">
      <c r="A36" s="472" t="s">
        <v>133</v>
      </c>
      <c r="B36" s="473" t="s">
        <v>336</v>
      </c>
      <c r="C36" s="469">
        <v>0</v>
      </c>
      <c r="D36" s="470"/>
      <c r="E36" s="885" t="s">
        <v>1031</v>
      </c>
      <c r="F36" s="885" t="s">
        <v>1032</v>
      </c>
      <c r="G36" s="885">
        <v>0</v>
      </c>
    </row>
    <row r="37" spans="1:7" ht="76.5" x14ac:dyDescent="0.25">
      <c r="A37" s="472" t="s">
        <v>135</v>
      </c>
      <c r="B37" s="473" t="s">
        <v>337</v>
      </c>
      <c r="C37" s="469">
        <v>0</v>
      </c>
      <c r="D37" s="470"/>
      <c r="E37" s="885" t="s">
        <v>1031</v>
      </c>
      <c r="F37" s="885" t="s">
        <v>1032</v>
      </c>
      <c r="G37" s="885">
        <v>0</v>
      </c>
    </row>
    <row r="38" spans="1:7" ht="76.5" x14ac:dyDescent="0.25">
      <c r="A38" s="472" t="s">
        <v>137</v>
      </c>
      <c r="B38" s="473" t="s">
        <v>338</v>
      </c>
      <c r="C38" s="469">
        <v>0</v>
      </c>
      <c r="D38" s="470"/>
      <c r="E38" s="885" t="s">
        <v>1031</v>
      </c>
      <c r="F38" s="885" t="s">
        <v>1032</v>
      </c>
      <c r="G38" s="885">
        <v>0</v>
      </c>
    </row>
    <row r="39" spans="1:7" ht="76.5" x14ac:dyDescent="0.25">
      <c r="A39" s="472" t="s">
        <v>139</v>
      </c>
      <c r="B39" s="473" t="s">
        <v>339</v>
      </c>
      <c r="C39" s="469">
        <v>0</v>
      </c>
      <c r="D39" s="470"/>
      <c r="E39" s="885" t="s">
        <v>1031</v>
      </c>
      <c r="F39" s="885" t="s">
        <v>1032</v>
      </c>
      <c r="G39" s="885">
        <v>0</v>
      </c>
    </row>
    <row r="40" spans="1:7" ht="76.5" x14ac:dyDescent="0.25">
      <c r="A40" s="472" t="s">
        <v>141</v>
      </c>
      <c r="B40" s="473" t="s">
        <v>340</v>
      </c>
      <c r="C40" s="469">
        <v>0</v>
      </c>
      <c r="D40" s="470"/>
      <c r="E40" s="885" t="s">
        <v>1031</v>
      </c>
      <c r="F40" s="885" t="s">
        <v>1032</v>
      </c>
      <c r="G40" s="885">
        <v>0</v>
      </c>
    </row>
    <row r="41" spans="1:7" ht="38.25" x14ac:dyDescent="0.25">
      <c r="A41" s="472" t="s">
        <v>191</v>
      </c>
      <c r="B41" s="473" t="s">
        <v>341</v>
      </c>
      <c r="C41" s="469">
        <v>0</v>
      </c>
      <c r="D41" s="470"/>
      <c r="E41" s="885" t="s">
        <v>1033</v>
      </c>
      <c r="F41" s="885" t="s">
        <v>1032</v>
      </c>
      <c r="G41" s="885">
        <v>0</v>
      </c>
    </row>
    <row r="42" spans="1:7" ht="38.25" x14ac:dyDescent="0.25">
      <c r="A42" s="472" t="s">
        <v>192</v>
      </c>
      <c r="B42" s="473" t="s">
        <v>342</v>
      </c>
      <c r="C42" s="469">
        <v>0</v>
      </c>
      <c r="D42" s="470"/>
      <c r="E42" s="885" t="s">
        <v>1034</v>
      </c>
      <c r="F42" s="885" t="s">
        <v>1032</v>
      </c>
      <c r="G42" s="885">
        <v>0</v>
      </c>
    </row>
    <row r="43" spans="1:7" ht="51" x14ac:dyDescent="0.25">
      <c r="A43" s="472" t="s">
        <v>193</v>
      </c>
      <c r="B43" s="473" t="s">
        <v>343</v>
      </c>
      <c r="C43" s="469">
        <v>0</v>
      </c>
      <c r="D43" s="470"/>
      <c r="E43" s="885" t="s">
        <v>1035</v>
      </c>
      <c r="F43" s="885">
        <v>0</v>
      </c>
      <c r="G43" s="885" t="s">
        <v>1036</v>
      </c>
    </row>
    <row r="44" spans="1:7" ht="38.25" x14ac:dyDescent="0.25">
      <c r="A44" s="472" t="s">
        <v>194</v>
      </c>
      <c r="B44" s="473" t="s">
        <v>344</v>
      </c>
      <c r="C44" s="469">
        <v>0</v>
      </c>
      <c r="D44" s="470"/>
      <c r="E44" s="885" t="s">
        <v>1037</v>
      </c>
      <c r="F44" s="885">
        <v>0</v>
      </c>
      <c r="G44" s="885" t="s">
        <v>1038</v>
      </c>
    </row>
    <row r="45" spans="1:7" ht="51" x14ac:dyDescent="0.25">
      <c r="A45" s="472" t="s">
        <v>195</v>
      </c>
      <c r="B45" s="473" t="s">
        <v>345</v>
      </c>
      <c r="C45" s="469">
        <v>0</v>
      </c>
      <c r="D45" s="470"/>
      <c r="E45" s="885" t="s">
        <v>1039</v>
      </c>
      <c r="F45" s="885">
        <v>0</v>
      </c>
      <c r="G45" s="885" t="s">
        <v>1040</v>
      </c>
    </row>
    <row r="46" spans="1:7" ht="51" x14ac:dyDescent="0.25">
      <c r="A46" s="472" t="s">
        <v>196</v>
      </c>
      <c r="B46" s="473" t="s">
        <v>346</v>
      </c>
      <c r="C46" s="469">
        <v>0</v>
      </c>
      <c r="D46" s="470"/>
      <c r="E46" s="885">
        <v>0</v>
      </c>
      <c r="F46" s="885" t="s">
        <v>1041</v>
      </c>
      <c r="G46" s="885" t="s">
        <v>1042</v>
      </c>
    </row>
    <row r="47" spans="1:7" ht="15.75" x14ac:dyDescent="0.25">
      <c r="A47" s="468">
        <v>2</v>
      </c>
      <c r="B47" s="468" t="s">
        <v>143</v>
      </c>
      <c r="C47" s="474"/>
      <c r="D47" s="470"/>
      <c r="E47" s="885">
        <v>0</v>
      </c>
      <c r="F47" s="885">
        <v>0</v>
      </c>
      <c r="G47" s="885">
        <v>0</v>
      </c>
    </row>
    <row r="48" spans="1:7" x14ac:dyDescent="0.25">
      <c r="A48" s="472" t="s">
        <v>32</v>
      </c>
      <c r="B48" s="473" t="s">
        <v>146</v>
      </c>
      <c r="C48" s="475">
        <v>0</v>
      </c>
      <c r="D48" s="470"/>
      <c r="E48" s="885">
        <v>0</v>
      </c>
      <c r="F48" s="885">
        <v>0</v>
      </c>
      <c r="G48" s="885">
        <v>0</v>
      </c>
    </row>
    <row r="49" spans="1:7" x14ac:dyDescent="0.25">
      <c r="A49" s="472" t="s">
        <v>33</v>
      </c>
      <c r="B49" s="473" t="s">
        <v>347</v>
      </c>
      <c r="C49" s="475">
        <v>0</v>
      </c>
      <c r="D49" s="470"/>
      <c r="E49" s="885">
        <v>0</v>
      </c>
      <c r="F49" s="885">
        <v>0</v>
      </c>
      <c r="G49" s="885">
        <v>0</v>
      </c>
    </row>
    <row r="50" spans="1:7" x14ac:dyDescent="0.25">
      <c r="A50" s="472" t="s">
        <v>34</v>
      </c>
      <c r="B50" s="473" t="s">
        <v>348</v>
      </c>
      <c r="C50" s="475">
        <v>0</v>
      </c>
      <c r="D50" s="470"/>
      <c r="E50" s="885">
        <v>0</v>
      </c>
      <c r="F50" s="885">
        <v>0</v>
      </c>
      <c r="G50" s="885">
        <v>0</v>
      </c>
    </row>
    <row r="51" spans="1:7" ht="30" x14ac:dyDescent="0.25">
      <c r="A51" s="472" t="s">
        <v>35</v>
      </c>
      <c r="B51" s="473" t="s">
        <v>349</v>
      </c>
      <c r="C51" s="475">
        <v>0</v>
      </c>
      <c r="D51" s="470"/>
      <c r="E51" s="885">
        <v>0</v>
      </c>
      <c r="F51" s="885">
        <v>0</v>
      </c>
      <c r="G51" s="885">
        <v>0</v>
      </c>
    </row>
    <row r="52" spans="1:7" x14ac:dyDescent="0.25">
      <c r="A52" s="472" t="s">
        <v>36</v>
      </c>
      <c r="B52" s="473" t="s">
        <v>147</v>
      </c>
      <c r="C52" s="475">
        <v>0</v>
      </c>
      <c r="D52" s="470"/>
      <c r="E52" s="885">
        <v>0</v>
      </c>
      <c r="F52" s="885">
        <v>0</v>
      </c>
      <c r="G52" s="885">
        <v>0</v>
      </c>
    </row>
    <row r="53" spans="1:7" x14ac:dyDescent="0.25">
      <c r="A53" s="472" t="s">
        <v>38</v>
      </c>
      <c r="B53" s="473" t="s">
        <v>148</v>
      </c>
      <c r="C53" s="475">
        <v>0</v>
      </c>
      <c r="D53" s="470"/>
      <c r="E53" s="885">
        <v>0</v>
      </c>
      <c r="F53" s="885">
        <v>0</v>
      </c>
      <c r="G53" s="885">
        <v>0</v>
      </c>
    </row>
    <row r="54" spans="1:7" ht="15.75" x14ac:dyDescent="0.25">
      <c r="A54" s="468">
        <v>3</v>
      </c>
      <c r="B54" s="468" t="s">
        <v>149</v>
      </c>
      <c r="C54" s="474"/>
      <c r="D54" s="470"/>
      <c r="E54" s="885">
        <v>0</v>
      </c>
      <c r="F54" s="885">
        <v>0</v>
      </c>
      <c r="G54" s="885">
        <v>0</v>
      </c>
    </row>
    <row r="55" spans="1:7" x14ac:dyDescent="0.25">
      <c r="A55" s="472" t="s">
        <v>0</v>
      </c>
      <c r="B55" s="473" t="s">
        <v>150</v>
      </c>
      <c r="C55" s="475">
        <v>0</v>
      </c>
      <c r="D55" s="470"/>
      <c r="E55" s="885">
        <v>0</v>
      </c>
      <c r="F55" s="885">
        <v>0</v>
      </c>
      <c r="G55" s="885">
        <v>0</v>
      </c>
    </row>
    <row r="56" spans="1:7" x14ac:dyDescent="0.25">
      <c r="A56" s="472" t="s">
        <v>1</v>
      </c>
      <c r="B56" s="473" t="s">
        <v>151</v>
      </c>
      <c r="C56" s="475">
        <v>0</v>
      </c>
      <c r="D56" s="470"/>
      <c r="E56" s="885">
        <v>0</v>
      </c>
      <c r="F56" s="885">
        <v>0</v>
      </c>
      <c r="G56" s="885">
        <v>0</v>
      </c>
    </row>
    <row r="57" spans="1:7" x14ac:dyDescent="0.25">
      <c r="A57" s="472" t="s">
        <v>2</v>
      </c>
      <c r="B57" s="473" t="s">
        <v>152</v>
      </c>
      <c r="C57" s="475">
        <v>0</v>
      </c>
      <c r="D57" s="470"/>
      <c r="E57" s="885">
        <v>0</v>
      </c>
      <c r="F57" s="885">
        <v>0</v>
      </c>
      <c r="G57" s="885">
        <v>0</v>
      </c>
    </row>
    <row r="58" spans="1:7" ht="30" x14ac:dyDescent="0.25">
      <c r="A58" s="472" t="s">
        <v>3</v>
      </c>
      <c r="B58" s="473" t="s">
        <v>153</v>
      </c>
      <c r="C58" s="475">
        <v>0</v>
      </c>
      <c r="D58" s="470"/>
      <c r="E58" s="885">
        <v>0</v>
      </c>
      <c r="F58" s="885">
        <v>0</v>
      </c>
      <c r="G58" s="885">
        <v>0</v>
      </c>
    </row>
    <row r="59" spans="1:7" x14ac:dyDescent="0.25">
      <c r="A59" s="472" t="s">
        <v>4</v>
      </c>
      <c r="B59" s="473" t="s">
        <v>154</v>
      </c>
      <c r="C59" s="475">
        <v>0</v>
      </c>
      <c r="D59" s="470"/>
      <c r="E59" s="885">
        <v>0</v>
      </c>
      <c r="F59" s="885">
        <v>0</v>
      </c>
      <c r="G59" s="885">
        <v>0</v>
      </c>
    </row>
    <row r="60" spans="1:7" x14ac:dyDescent="0.25">
      <c r="A60" s="472" t="s">
        <v>43</v>
      </c>
      <c r="B60" s="473" t="s">
        <v>64</v>
      </c>
      <c r="C60" s="475">
        <v>0</v>
      </c>
      <c r="D60" s="470"/>
      <c r="E60" s="885">
        <v>0</v>
      </c>
      <c r="F60" s="885">
        <v>0</v>
      </c>
      <c r="G60" s="885">
        <v>0</v>
      </c>
    </row>
    <row r="61" spans="1:7" x14ac:dyDescent="0.25">
      <c r="A61" s="472" t="s">
        <v>5</v>
      </c>
      <c r="B61" s="473" t="s">
        <v>155</v>
      </c>
      <c r="C61" s="475">
        <v>0</v>
      </c>
      <c r="D61" s="470"/>
      <c r="E61" s="885">
        <v>0</v>
      </c>
      <c r="F61" s="885">
        <v>0</v>
      </c>
      <c r="G61" s="885">
        <v>0</v>
      </c>
    </row>
    <row r="62" spans="1:7" x14ac:dyDescent="0.25">
      <c r="A62" s="472" t="s">
        <v>45</v>
      </c>
      <c r="B62" s="473" t="s">
        <v>156</v>
      </c>
      <c r="C62" s="475">
        <v>0</v>
      </c>
      <c r="D62" s="470"/>
      <c r="E62" s="885">
        <v>0</v>
      </c>
      <c r="F62" s="885">
        <v>0</v>
      </c>
      <c r="G62" s="885">
        <v>0</v>
      </c>
    </row>
    <row r="63" spans="1:7" x14ac:dyDescent="0.25">
      <c r="A63" s="472" t="s">
        <v>46</v>
      </c>
      <c r="B63" s="473" t="s">
        <v>157</v>
      </c>
      <c r="C63" s="475">
        <v>0</v>
      </c>
      <c r="D63" s="470"/>
      <c r="E63" s="885">
        <v>0</v>
      </c>
      <c r="F63" s="885">
        <v>0</v>
      </c>
      <c r="G63" s="885">
        <v>0</v>
      </c>
    </row>
    <row r="64" spans="1:7" x14ac:dyDescent="0.25">
      <c r="A64" s="472" t="s">
        <v>6</v>
      </c>
      <c r="B64" s="473" t="s">
        <v>68</v>
      </c>
      <c r="C64" s="475">
        <v>0</v>
      </c>
      <c r="D64" s="470"/>
      <c r="E64" s="885">
        <v>0</v>
      </c>
      <c r="F64" s="885">
        <v>0</v>
      </c>
      <c r="G64" s="885">
        <v>0</v>
      </c>
    </row>
    <row r="65" spans="1:7" x14ac:dyDescent="0.25">
      <c r="A65" s="472" t="s">
        <v>7</v>
      </c>
      <c r="B65" s="473" t="s">
        <v>158</v>
      </c>
      <c r="C65" s="475">
        <v>0</v>
      </c>
      <c r="D65" s="470"/>
      <c r="E65" s="885">
        <v>0</v>
      </c>
      <c r="F65" s="885">
        <v>0</v>
      </c>
      <c r="G65" s="885">
        <v>0</v>
      </c>
    </row>
    <row r="66" spans="1:7" x14ac:dyDescent="0.25">
      <c r="A66" s="472" t="s">
        <v>47</v>
      </c>
      <c r="B66" s="473" t="s">
        <v>159</v>
      </c>
      <c r="C66" s="475">
        <v>0</v>
      </c>
      <c r="D66" s="470"/>
      <c r="E66" s="885">
        <v>0</v>
      </c>
      <c r="F66" s="885">
        <v>0</v>
      </c>
      <c r="G66" s="885">
        <v>0</v>
      </c>
    </row>
    <row r="67" spans="1:7" x14ac:dyDescent="0.25">
      <c r="A67" s="472" t="s">
        <v>8</v>
      </c>
      <c r="B67" s="473" t="s">
        <v>160</v>
      </c>
      <c r="C67" s="475">
        <v>0</v>
      </c>
      <c r="D67" s="470"/>
      <c r="E67" s="885">
        <v>0</v>
      </c>
      <c r="F67" s="885">
        <v>0</v>
      </c>
      <c r="G67" s="885">
        <v>0</v>
      </c>
    </row>
    <row r="68" spans="1:7" ht="30" x14ac:dyDescent="0.25">
      <c r="A68" s="472" t="s">
        <v>9</v>
      </c>
      <c r="B68" s="473" t="s">
        <v>161</v>
      </c>
      <c r="C68" s="475">
        <v>0</v>
      </c>
      <c r="D68" s="470"/>
      <c r="E68" s="885">
        <v>0</v>
      </c>
      <c r="F68" s="885">
        <v>0</v>
      </c>
      <c r="G68" s="885">
        <v>0</v>
      </c>
    </row>
    <row r="69" spans="1:7" x14ac:dyDescent="0.25">
      <c r="A69" s="472" t="s">
        <v>10</v>
      </c>
      <c r="B69" s="473" t="s">
        <v>162</v>
      </c>
      <c r="C69" s="475">
        <v>0</v>
      </c>
      <c r="D69" s="470"/>
      <c r="E69" s="885">
        <v>0</v>
      </c>
      <c r="F69" s="885">
        <v>0</v>
      </c>
      <c r="G69" s="885">
        <v>0</v>
      </c>
    </row>
    <row r="70" spans="1:7" ht="30" x14ac:dyDescent="0.25">
      <c r="A70" s="472" t="s">
        <v>11</v>
      </c>
      <c r="B70" s="473" t="s">
        <v>163</v>
      </c>
      <c r="C70" s="475">
        <v>0</v>
      </c>
      <c r="D70" s="470"/>
      <c r="E70" s="885">
        <v>0</v>
      </c>
      <c r="F70" s="885">
        <v>0</v>
      </c>
      <c r="G70" s="885">
        <v>0</v>
      </c>
    </row>
    <row r="71" spans="1:7" x14ac:dyDescent="0.25">
      <c r="A71" s="472" t="s">
        <v>12</v>
      </c>
      <c r="B71" s="473" t="s">
        <v>164</v>
      </c>
      <c r="C71" s="475">
        <v>0</v>
      </c>
      <c r="D71" s="470"/>
      <c r="E71" s="885">
        <v>0</v>
      </c>
      <c r="F71" s="885">
        <v>0</v>
      </c>
      <c r="G71" s="885">
        <v>0</v>
      </c>
    </row>
    <row r="72" spans="1:7" ht="30" x14ac:dyDescent="0.25">
      <c r="A72" s="472" t="s">
        <v>13</v>
      </c>
      <c r="B72" s="473" t="s">
        <v>165</v>
      </c>
      <c r="C72" s="475">
        <v>0</v>
      </c>
      <c r="D72" s="470"/>
      <c r="E72" s="885">
        <v>0</v>
      </c>
      <c r="F72" s="885">
        <v>0</v>
      </c>
      <c r="G72" s="885">
        <v>0</v>
      </c>
    </row>
    <row r="73" spans="1:7" x14ac:dyDescent="0.25">
      <c r="A73" s="472" t="s">
        <v>48</v>
      </c>
      <c r="B73" s="473" t="s">
        <v>166</v>
      </c>
      <c r="C73" s="475">
        <v>0</v>
      </c>
      <c r="D73" s="470"/>
      <c r="E73" s="885">
        <v>0</v>
      </c>
      <c r="F73" s="885">
        <v>0</v>
      </c>
      <c r="G73" s="885">
        <v>0</v>
      </c>
    </row>
    <row r="74" spans="1:7" x14ac:dyDescent="0.25">
      <c r="A74" s="472" t="s">
        <v>49</v>
      </c>
      <c r="B74" s="473" t="s">
        <v>167</v>
      </c>
      <c r="C74" s="475">
        <v>0</v>
      </c>
      <c r="D74" s="470"/>
      <c r="E74" s="885">
        <v>0</v>
      </c>
      <c r="F74" s="885">
        <v>0</v>
      </c>
      <c r="G74" s="885">
        <v>0</v>
      </c>
    </row>
    <row r="75" spans="1:7" x14ac:dyDescent="0.25">
      <c r="A75" s="472" t="s">
        <v>51</v>
      </c>
      <c r="B75" s="473" t="s">
        <v>168</v>
      </c>
      <c r="C75" s="475">
        <v>0</v>
      </c>
      <c r="D75" s="470"/>
      <c r="E75" s="885">
        <v>0</v>
      </c>
      <c r="F75" s="885">
        <v>0</v>
      </c>
      <c r="G75" s="885">
        <v>0</v>
      </c>
    </row>
    <row r="76" spans="1:7" ht="15.75" x14ac:dyDescent="0.25">
      <c r="A76" s="468">
        <v>4</v>
      </c>
      <c r="B76" s="468" t="s">
        <v>477</v>
      </c>
      <c r="C76" s="476"/>
      <c r="D76" s="470"/>
      <c r="E76" s="885">
        <v>0</v>
      </c>
      <c r="F76" s="885">
        <v>0</v>
      </c>
      <c r="G76" s="885">
        <v>0</v>
      </c>
    </row>
    <row r="77" spans="1:7" x14ac:dyDescent="0.25">
      <c r="A77" s="472" t="s">
        <v>379</v>
      </c>
      <c r="B77" s="473" t="s">
        <v>383</v>
      </c>
      <c r="C77" s="475">
        <v>0</v>
      </c>
      <c r="D77" s="470"/>
      <c r="E77" s="885">
        <v>0</v>
      </c>
      <c r="F77" s="885">
        <v>0</v>
      </c>
      <c r="G77" s="885">
        <v>0</v>
      </c>
    </row>
    <row r="78" spans="1:7" x14ac:dyDescent="0.25">
      <c r="A78" s="472" t="s">
        <v>381</v>
      </c>
      <c r="B78" s="473" t="s">
        <v>385</v>
      </c>
      <c r="C78" s="475">
        <v>0</v>
      </c>
      <c r="D78" s="470"/>
      <c r="E78" s="885">
        <v>0</v>
      </c>
      <c r="F78" s="885">
        <v>0</v>
      </c>
      <c r="G78" s="885">
        <v>0</v>
      </c>
    </row>
  </sheetData>
  <hyperlinks>
    <hyperlink ref="A2" location="Navigation!A1" display="Home"/>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sheetPr>
  <dimension ref="A1:F47"/>
  <sheetViews>
    <sheetView zoomScaleNormal="100" workbookViewId="0"/>
  </sheetViews>
  <sheetFormatPr defaultColWidth="9.140625" defaultRowHeight="12.75" x14ac:dyDescent="0.2"/>
  <cols>
    <col min="1" max="1" width="7.5703125" style="124" bestFit="1" customWidth="1"/>
    <col min="2" max="2" width="20.140625" style="124" bestFit="1" customWidth="1"/>
    <col min="3" max="3" width="7.5703125" style="124" bestFit="1" customWidth="1"/>
    <col min="4" max="4" width="11.42578125" style="124" customWidth="1"/>
    <col min="5" max="5" width="21.42578125" style="124" customWidth="1"/>
    <col min="6" max="6" width="14" style="124" customWidth="1"/>
    <col min="7" max="16384" width="9.140625" style="124"/>
  </cols>
  <sheetData>
    <row r="1" spans="1:6" x14ac:dyDescent="0.2">
      <c r="A1" s="173" t="s">
        <v>377</v>
      </c>
    </row>
    <row r="3" spans="1:6" ht="25.5" x14ac:dyDescent="0.2">
      <c r="A3" s="299" t="s">
        <v>449</v>
      </c>
      <c r="B3" s="299" t="s">
        <v>448</v>
      </c>
      <c r="C3" s="300" t="s">
        <v>450</v>
      </c>
      <c r="D3" s="300" t="s">
        <v>451</v>
      </c>
      <c r="E3" s="300" t="s">
        <v>452</v>
      </c>
      <c r="F3" s="302" t="s">
        <v>268</v>
      </c>
    </row>
    <row r="4" spans="1:6" x14ac:dyDescent="0.2">
      <c r="A4" s="125" t="s">
        <v>179</v>
      </c>
      <c r="B4" s="327">
        <f t="shared" ref="B4:B45" si="0">VLOOKUP(A4,Unbundled_2015_16_Tariff,4,FALSE)</f>
        <v>22</v>
      </c>
      <c r="C4" s="125" t="s">
        <v>179</v>
      </c>
      <c r="D4" s="125">
        <f>COUNTIF($C$4:$C$45,C4)</f>
        <v>1</v>
      </c>
      <c r="E4" s="327">
        <f>IF(D4=1,B4)</f>
        <v>22</v>
      </c>
      <c r="F4" s="301"/>
    </row>
    <row r="5" spans="1:6" x14ac:dyDescent="0.2">
      <c r="A5" s="125" t="s">
        <v>180</v>
      </c>
      <c r="B5" s="327">
        <f t="shared" si="0"/>
        <v>22</v>
      </c>
      <c r="C5" s="125" t="s">
        <v>180</v>
      </c>
      <c r="D5" s="125">
        <f t="shared" ref="D5:D45" si="1">COUNTIF($C$4:$C$45,C5)</f>
        <v>1</v>
      </c>
      <c r="E5" s="327">
        <f t="shared" ref="E5:E44" si="2">IF(D5=1,B5)</f>
        <v>22</v>
      </c>
      <c r="F5" s="301"/>
    </row>
    <row r="6" spans="1:6" x14ac:dyDescent="0.2">
      <c r="A6" s="125" t="s">
        <v>181</v>
      </c>
      <c r="B6" s="327">
        <f t="shared" si="0"/>
        <v>22</v>
      </c>
      <c r="C6" s="125" t="s">
        <v>181</v>
      </c>
      <c r="D6" s="125">
        <f t="shared" si="1"/>
        <v>1</v>
      </c>
      <c r="E6" s="327">
        <f t="shared" si="2"/>
        <v>22</v>
      </c>
      <c r="F6" s="301"/>
    </row>
    <row r="7" spans="1:6" x14ac:dyDescent="0.2">
      <c r="A7" s="125" t="s">
        <v>182</v>
      </c>
      <c r="B7" s="327">
        <f t="shared" si="0"/>
        <v>22</v>
      </c>
      <c r="C7" s="125" t="s">
        <v>182</v>
      </c>
      <c r="D7" s="125">
        <f t="shared" si="1"/>
        <v>1</v>
      </c>
      <c r="E7" s="327">
        <f t="shared" si="2"/>
        <v>22</v>
      </c>
      <c r="F7" s="301"/>
    </row>
    <row r="8" spans="1:6" x14ac:dyDescent="0.2">
      <c r="A8" s="125" t="s">
        <v>183</v>
      </c>
      <c r="B8" s="327">
        <f t="shared" si="0"/>
        <v>22</v>
      </c>
      <c r="C8" s="125" t="s">
        <v>183</v>
      </c>
      <c r="D8" s="125">
        <f t="shared" si="1"/>
        <v>1</v>
      </c>
      <c r="E8" s="327">
        <f t="shared" si="2"/>
        <v>22</v>
      </c>
      <c r="F8" s="301"/>
    </row>
    <row r="9" spans="1:6" x14ac:dyDescent="0.2">
      <c r="A9" s="125" t="s">
        <v>184</v>
      </c>
      <c r="B9" s="327">
        <f t="shared" si="0"/>
        <v>22</v>
      </c>
      <c r="C9" s="125" t="s">
        <v>184</v>
      </c>
      <c r="D9" s="125">
        <f t="shared" si="1"/>
        <v>1</v>
      </c>
      <c r="E9" s="327">
        <f t="shared" si="2"/>
        <v>22</v>
      </c>
      <c r="F9" s="301"/>
    </row>
    <row r="10" spans="1:6" x14ac:dyDescent="0.2">
      <c r="A10" s="125" t="s">
        <v>97</v>
      </c>
      <c r="B10" s="327">
        <f t="shared" si="0"/>
        <v>22</v>
      </c>
      <c r="C10" s="125" t="s">
        <v>97</v>
      </c>
      <c r="D10" s="125">
        <f t="shared" si="1"/>
        <v>1</v>
      </c>
      <c r="E10" s="327">
        <f t="shared" si="2"/>
        <v>22</v>
      </c>
      <c r="F10" s="301"/>
    </row>
    <row r="11" spans="1:6" x14ac:dyDescent="0.2">
      <c r="A11" s="125" t="s">
        <v>99</v>
      </c>
      <c r="B11" s="327">
        <f t="shared" si="0"/>
        <v>22</v>
      </c>
      <c r="C11" s="125" t="s">
        <v>99</v>
      </c>
      <c r="D11" s="125">
        <f t="shared" si="1"/>
        <v>1</v>
      </c>
      <c r="E11" s="327">
        <f t="shared" si="2"/>
        <v>22</v>
      </c>
      <c r="F11" s="301"/>
    </row>
    <row r="12" spans="1:6" x14ac:dyDescent="0.2">
      <c r="A12" s="125" t="s">
        <v>101</v>
      </c>
      <c r="B12" s="327">
        <f t="shared" si="0"/>
        <v>28</v>
      </c>
      <c r="C12" s="125" t="s">
        <v>101</v>
      </c>
      <c r="D12" s="125">
        <f t="shared" si="1"/>
        <v>1</v>
      </c>
      <c r="E12" s="327">
        <f t="shared" si="2"/>
        <v>28</v>
      </c>
      <c r="F12" s="301"/>
    </row>
    <row r="13" spans="1:6" x14ac:dyDescent="0.2">
      <c r="A13" s="125" t="s">
        <v>103</v>
      </c>
      <c r="B13" s="327">
        <f t="shared" si="0"/>
        <v>28</v>
      </c>
      <c r="C13" s="125" t="s">
        <v>103</v>
      </c>
      <c r="D13" s="125">
        <f t="shared" si="1"/>
        <v>1</v>
      </c>
      <c r="E13" s="327">
        <f t="shared" si="2"/>
        <v>28</v>
      </c>
      <c r="F13" s="301"/>
    </row>
    <row r="14" spans="1:6" x14ac:dyDescent="0.2">
      <c r="A14" s="125" t="s">
        <v>105</v>
      </c>
      <c r="B14" s="327">
        <f t="shared" si="0"/>
        <v>28</v>
      </c>
      <c r="C14" s="125" t="s">
        <v>105</v>
      </c>
      <c r="D14" s="125">
        <f t="shared" si="1"/>
        <v>1</v>
      </c>
      <c r="E14" s="327">
        <f t="shared" si="2"/>
        <v>28</v>
      </c>
      <c r="F14" s="301"/>
    </row>
    <row r="15" spans="1:6" x14ac:dyDescent="0.2">
      <c r="A15" s="125" t="s">
        <v>185</v>
      </c>
      <c r="B15" s="327">
        <f t="shared" si="0"/>
        <v>20</v>
      </c>
      <c r="C15" s="125" t="s">
        <v>185</v>
      </c>
      <c r="D15" s="125">
        <f t="shared" si="1"/>
        <v>1</v>
      </c>
      <c r="E15" s="327">
        <f t="shared" si="2"/>
        <v>20</v>
      </c>
      <c r="F15" s="301"/>
    </row>
    <row r="16" spans="1:6" x14ac:dyDescent="0.2">
      <c r="A16" s="125" t="s">
        <v>186</v>
      </c>
      <c r="B16" s="327">
        <f t="shared" si="0"/>
        <v>20</v>
      </c>
      <c r="C16" s="125" t="s">
        <v>186</v>
      </c>
      <c r="D16" s="125">
        <f t="shared" si="1"/>
        <v>1</v>
      </c>
      <c r="E16" s="327">
        <f t="shared" si="2"/>
        <v>20</v>
      </c>
      <c r="F16" s="301"/>
    </row>
    <row r="17" spans="1:6" x14ac:dyDescent="0.2">
      <c r="A17" s="125" t="s">
        <v>187</v>
      </c>
      <c r="B17" s="327">
        <f t="shared" si="0"/>
        <v>20</v>
      </c>
      <c r="C17" s="125" t="s">
        <v>187</v>
      </c>
      <c r="D17" s="125">
        <f t="shared" si="1"/>
        <v>1</v>
      </c>
      <c r="E17" s="327">
        <f t="shared" si="2"/>
        <v>20</v>
      </c>
      <c r="F17" s="301"/>
    </row>
    <row r="18" spans="1:6" x14ac:dyDescent="0.2">
      <c r="A18" s="125" t="s">
        <v>188</v>
      </c>
      <c r="B18" s="327">
        <f t="shared" si="0"/>
        <v>20</v>
      </c>
      <c r="C18" s="125" t="s">
        <v>188</v>
      </c>
      <c r="D18" s="125">
        <f t="shared" si="1"/>
        <v>1</v>
      </c>
      <c r="E18" s="327">
        <f t="shared" si="2"/>
        <v>20</v>
      </c>
      <c r="F18" s="301"/>
    </row>
    <row r="19" spans="1:6" x14ac:dyDescent="0.2">
      <c r="A19" s="125" t="s">
        <v>189</v>
      </c>
      <c r="B19" s="327">
        <f t="shared" si="0"/>
        <v>20</v>
      </c>
      <c r="C19" s="125" t="s">
        <v>189</v>
      </c>
      <c r="D19" s="125">
        <f t="shared" si="1"/>
        <v>1</v>
      </c>
      <c r="E19" s="327">
        <f t="shared" si="2"/>
        <v>20</v>
      </c>
      <c r="F19" s="301"/>
    </row>
    <row r="20" spans="1:6" x14ac:dyDescent="0.2">
      <c r="A20" s="125" t="s">
        <v>190</v>
      </c>
      <c r="B20" s="327">
        <f t="shared" si="0"/>
        <v>20</v>
      </c>
      <c r="C20" s="125" t="s">
        <v>190</v>
      </c>
      <c r="D20" s="125">
        <f t="shared" si="1"/>
        <v>1</v>
      </c>
      <c r="E20" s="327">
        <f t="shared" si="2"/>
        <v>20</v>
      </c>
      <c r="F20" s="301"/>
    </row>
    <row r="21" spans="1:6" x14ac:dyDescent="0.2">
      <c r="A21" s="125" t="s">
        <v>107</v>
      </c>
      <c r="B21" s="327">
        <f t="shared" si="0"/>
        <v>20</v>
      </c>
      <c r="C21" s="125" t="s">
        <v>107</v>
      </c>
      <c r="D21" s="125">
        <f t="shared" si="1"/>
        <v>1</v>
      </c>
      <c r="E21" s="327">
        <f t="shared" si="2"/>
        <v>20</v>
      </c>
      <c r="F21" s="301"/>
    </row>
    <row r="22" spans="1:6" x14ac:dyDescent="0.2">
      <c r="A22" s="125" t="s">
        <v>109</v>
      </c>
      <c r="B22" s="327">
        <f t="shared" si="0"/>
        <v>20</v>
      </c>
      <c r="C22" s="125" t="s">
        <v>109</v>
      </c>
      <c r="D22" s="125">
        <f t="shared" si="1"/>
        <v>1</v>
      </c>
      <c r="E22" s="327">
        <f t="shared" si="2"/>
        <v>20</v>
      </c>
      <c r="F22" s="301"/>
    </row>
    <row r="23" spans="1:6" x14ac:dyDescent="0.2">
      <c r="A23" s="125" t="s">
        <v>111</v>
      </c>
      <c r="B23" s="327">
        <f t="shared" si="0"/>
        <v>27</v>
      </c>
      <c r="C23" s="125" t="s">
        <v>111</v>
      </c>
      <c r="D23" s="125">
        <f t="shared" si="1"/>
        <v>1</v>
      </c>
      <c r="E23" s="327">
        <f t="shared" si="2"/>
        <v>27</v>
      </c>
      <c r="F23" s="301"/>
    </row>
    <row r="24" spans="1:6" x14ac:dyDescent="0.2">
      <c r="A24" s="125" t="s">
        <v>115</v>
      </c>
      <c r="B24" s="327">
        <f t="shared" si="0"/>
        <v>27</v>
      </c>
      <c r="C24" s="125" t="s">
        <v>115</v>
      </c>
      <c r="D24" s="125">
        <f t="shared" si="1"/>
        <v>1</v>
      </c>
      <c r="E24" s="327">
        <f t="shared" si="2"/>
        <v>27</v>
      </c>
      <c r="F24" s="301"/>
    </row>
    <row r="25" spans="1:6" x14ac:dyDescent="0.2">
      <c r="A25" s="125" t="s">
        <v>117</v>
      </c>
      <c r="B25" s="327">
        <f t="shared" si="0"/>
        <v>27</v>
      </c>
      <c r="C25" s="125" t="s">
        <v>117</v>
      </c>
      <c r="D25" s="125">
        <f t="shared" si="1"/>
        <v>1</v>
      </c>
      <c r="E25" s="327">
        <f t="shared" si="2"/>
        <v>27</v>
      </c>
      <c r="F25" s="301"/>
    </row>
    <row r="26" spans="1:6" x14ac:dyDescent="0.2">
      <c r="A26" s="125" t="s">
        <v>119</v>
      </c>
      <c r="B26" s="327">
        <f t="shared" si="0"/>
        <v>11</v>
      </c>
      <c r="C26" s="125" t="s">
        <v>119</v>
      </c>
      <c r="D26" s="125">
        <f t="shared" si="1"/>
        <v>1</v>
      </c>
      <c r="E26" s="327">
        <f t="shared" si="2"/>
        <v>11</v>
      </c>
      <c r="F26" s="301"/>
    </row>
    <row r="27" spans="1:6" x14ac:dyDescent="0.2">
      <c r="A27" s="125" t="s">
        <v>121</v>
      </c>
      <c r="B27" s="327">
        <f t="shared" si="0"/>
        <v>0</v>
      </c>
      <c r="C27" s="125" t="s">
        <v>121</v>
      </c>
      <c r="D27" s="125">
        <f t="shared" si="1"/>
        <v>1</v>
      </c>
      <c r="E27" s="327">
        <f t="shared" si="2"/>
        <v>0</v>
      </c>
      <c r="F27" s="301"/>
    </row>
    <row r="28" spans="1:6" x14ac:dyDescent="0.2">
      <c r="A28" s="125" t="s">
        <v>123</v>
      </c>
      <c r="B28" s="327">
        <f t="shared" si="0"/>
        <v>0</v>
      </c>
      <c r="C28" s="125" t="s">
        <v>123</v>
      </c>
      <c r="D28" s="125">
        <f t="shared" si="1"/>
        <v>1</v>
      </c>
      <c r="E28" s="327">
        <f>IF(D28=1,B28)</f>
        <v>0</v>
      </c>
      <c r="F28" s="301"/>
    </row>
    <row r="29" spans="1:6" x14ac:dyDescent="0.2">
      <c r="A29" s="125" t="s">
        <v>125</v>
      </c>
      <c r="B29" s="327">
        <f t="shared" si="0"/>
        <v>0</v>
      </c>
      <c r="C29" s="125" t="s">
        <v>125</v>
      </c>
      <c r="D29" s="125">
        <f t="shared" si="1"/>
        <v>1</v>
      </c>
      <c r="E29" s="327">
        <f t="shared" si="2"/>
        <v>0</v>
      </c>
      <c r="F29" s="301"/>
    </row>
    <row r="30" spans="1:6" x14ac:dyDescent="0.2">
      <c r="A30" s="125" t="s">
        <v>127</v>
      </c>
      <c r="B30" s="327">
        <f t="shared" si="0"/>
        <v>0</v>
      </c>
      <c r="C30" s="125" t="s">
        <v>127</v>
      </c>
      <c r="D30" s="125">
        <f t="shared" si="1"/>
        <v>1</v>
      </c>
      <c r="E30" s="327">
        <f t="shared" si="2"/>
        <v>0</v>
      </c>
      <c r="F30" s="301"/>
    </row>
    <row r="31" spans="1:6" x14ac:dyDescent="0.2">
      <c r="A31" s="125" t="s">
        <v>129</v>
      </c>
      <c r="B31" s="327">
        <f t="shared" si="0"/>
        <v>0</v>
      </c>
      <c r="C31" s="125" t="s">
        <v>129</v>
      </c>
      <c r="D31" s="125">
        <f t="shared" si="1"/>
        <v>1</v>
      </c>
      <c r="E31" s="327">
        <f t="shared" si="2"/>
        <v>0</v>
      </c>
      <c r="F31" s="301"/>
    </row>
    <row r="32" spans="1:6" x14ac:dyDescent="0.2">
      <c r="A32" s="125" t="s">
        <v>131</v>
      </c>
      <c r="B32" s="327">
        <f t="shared" si="0"/>
        <v>19</v>
      </c>
      <c r="C32" s="125" t="s">
        <v>131</v>
      </c>
      <c r="D32" s="125">
        <f t="shared" si="1"/>
        <v>1</v>
      </c>
      <c r="E32" s="327">
        <f>IF(D32=1,B32)</f>
        <v>19</v>
      </c>
      <c r="F32" s="301"/>
    </row>
    <row r="33" spans="1:6" x14ac:dyDescent="0.2">
      <c r="A33" s="125" t="s">
        <v>133</v>
      </c>
      <c r="B33" s="327">
        <f t="shared" si="0"/>
        <v>19</v>
      </c>
      <c r="C33" s="125" t="s">
        <v>133</v>
      </c>
      <c r="D33" s="125">
        <f t="shared" si="1"/>
        <v>1</v>
      </c>
      <c r="E33" s="327">
        <f t="shared" si="2"/>
        <v>19</v>
      </c>
      <c r="F33" s="301"/>
    </row>
    <row r="34" spans="1:6" x14ac:dyDescent="0.2">
      <c r="A34" s="125" t="s">
        <v>135</v>
      </c>
      <c r="B34" s="327">
        <f t="shared" si="0"/>
        <v>25</v>
      </c>
      <c r="C34" s="125" t="s">
        <v>135</v>
      </c>
      <c r="D34" s="125">
        <f t="shared" si="1"/>
        <v>1</v>
      </c>
      <c r="E34" s="327">
        <f t="shared" si="2"/>
        <v>25</v>
      </c>
      <c r="F34" s="301"/>
    </row>
    <row r="35" spans="1:6" x14ac:dyDescent="0.2">
      <c r="A35" s="125" t="s">
        <v>137</v>
      </c>
      <c r="B35" s="327">
        <f t="shared" si="0"/>
        <v>25</v>
      </c>
      <c r="C35" s="125" t="s">
        <v>137</v>
      </c>
      <c r="D35" s="125">
        <f t="shared" si="1"/>
        <v>1</v>
      </c>
      <c r="E35" s="327">
        <f t="shared" si="2"/>
        <v>25</v>
      </c>
      <c r="F35" s="301"/>
    </row>
    <row r="36" spans="1:6" x14ac:dyDescent="0.2">
      <c r="A36" s="125" t="s">
        <v>139</v>
      </c>
      <c r="B36" s="327">
        <f t="shared" si="0"/>
        <v>52</v>
      </c>
      <c r="C36" s="125" t="s">
        <v>139</v>
      </c>
      <c r="D36" s="125">
        <f t="shared" si="1"/>
        <v>1</v>
      </c>
      <c r="E36" s="327">
        <f t="shared" si="2"/>
        <v>52</v>
      </c>
      <c r="F36" s="301"/>
    </row>
    <row r="37" spans="1:6" x14ac:dyDescent="0.2">
      <c r="A37" s="125" t="s">
        <v>141</v>
      </c>
      <c r="B37" s="327">
        <f t="shared" si="0"/>
        <v>52</v>
      </c>
      <c r="C37" s="125" t="s">
        <v>141</v>
      </c>
      <c r="D37" s="125">
        <f t="shared" si="1"/>
        <v>1</v>
      </c>
      <c r="E37" s="327">
        <f t="shared" si="2"/>
        <v>52</v>
      </c>
      <c r="F37" s="301"/>
    </row>
    <row r="38" spans="1:6" x14ac:dyDescent="0.2">
      <c r="A38" s="301" t="s">
        <v>113</v>
      </c>
      <c r="B38" s="328">
        <f t="shared" si="0"/>
        <v>27</v>
      </c>
      <c r="C38" s="125" t="s">
        <v>113</v>
      </c>
      <c r="D38" s="125">
        <f t="shared" si="1"/>
        <v>1</v>
      </c>
      <c r="E38" s="327">
        <f t="shared" si="2"/>
        <v>27</v>
      </c>
      <c r="F38" s="301"/>
    </row>
    <row r="39" spans="1:6" x14ac:dyDescent="0.2">
      <c r="A39" s="301" t="s">
        <v>191</v>
      </c>
      <c r="B39" s="328">
        <f t="shared" si="0"/>
        <v>0</v>
      </c>
      <c r="C39" s="301" t="s">
        <v>191</v>
      </c>
      <c r="D39" s="301">
        <f t="shared" si="1"/>
        <v>1</v>
      </c>
      <c r="E39" s="328">
        <f t="shared" si="2"/>
        <v>0</v>
      </c>
      <c r="F39" s="301"/>
    </row>
    <row r="40" spans="1:6" x14ac:dyDescent="0.2">
      <c r="A40" s="301" t="s">
        <v>192</v>
      </c>
      <c r="B40" s="328">
        <f t="shared" si="0"/>
        <v>0</v>
      </c>
      <c r="C40" s="301" t="s">
        <v>192</v>
      </c>
      <c r="D40" s="301">
        <f t="shared" si="1"/>
        <v>1</v>
      </c>
      <c r="E40" s="328">
        <f t="shared" ref="E40" si="3">IF(D40=1,B40)</f>
        <v>0</v>
      </c>
      <c r="F40" s="301"/>
    </row>
    <row r="41" spans="1:6" x14ac:dyDescent="0.2">
      <c r="A41" s="301" t="s">
        <v>193</v>
      </c>
      <c r="B41" s="328">
        <f t="shared" si="0"/>
        <v>0</v>
      </c>
      <c r="C41" s="301" t="s">
        <v>193</v>
      </c>
      <c r="D41" s="301">
        <f t="shared" si="1"/>
        <v>1</v>
      </c>
      <c r="E41" s="328">
        <f t="shared" si="2"/>
        <v>0</v>
      </c>
      <c r="F41" s="301"/>
    </row>
    <row r="42" spans="1:6" x14ac:dyDescent="0.2">
      <c r="A42" s="301" t="s">
        <v>194</v>
      </c>
      <c r="B42" s="328">
        <f t="shared" si="0"/>
        <v>22</v>
      </c>
      <c r="C42" s="301" t="s">
        <v>194</v>
      </c>
      <c r="D42" s="301">
        <f t="shared" si="1"/>
        <v>1</v>
      </c>
      <c r="E42" s="328">
        <f>IF(D42=1,B42)</f>
        <v>22</v>
      </c>
      <c r="F42" s="301"/>
    </row>
    <row r="43" spans="1:6" x14ac:dyDescent="0.2">
      <c r="A43" s="301" t="s">
        <v>195</v>
      </c>
      <c r="B43" s="328">
        <f t="shared" si="0"/>
        <v>22</v>
      </c>
      <c r="C43" s="301" t="s">
        <v>195</v>
      </c>
      <c r="D43" s="301">
        <f t="shared" si="1"/>
        <v>1</v>
      </c>
      <c r="E43" s="328">
        <f t="shared" si="2"/>
        <v>22</v>
      </c>
      <c r="F43" s="301"/>
    </row>
    <row r="44" spans="1:6" x14ac:dyDescent="0.2">
      <c r="A44" s="301" t="s">
        <v>196</v>
      </c>
      <c r="B44" s="328">
        <f t="shared" si="0"/>
        <v>22</v>
      </c>
      <c r="C44" s="301" t="s">
        <v>196</v>
      </c>
      <c r="D44" s="301">
        <f t="shared" si="1"/>
        <v>1</v>
      </c>
      <c r="E44" s="328">
        <f t="shared" si="2"/>
        <v>22</v>
      </c>
      <c r="F44" s="301"/>
    </row>
    <row r="45" spans="1:6" x14ac:dyDescent="0.2">
      <c r="A45" s="301" t="s">
        <v>107</v>
      </c>
      <c r="B45" s="328">
        <f t="shared" si="0"/>
        <v>20</v>
      </c>
      <c r="C45" s="301" t="s">
        <v>442</v>
      </c>
      <c r="D45" s="301">
        <f t="shared" si="1"/>
        <v>1</v>
      </c>
      <c r="E45" s="328">
        <f t="shared" ref="E45" si="4">IF(D45=1,B45)</f>
        <v>20</v>
      </c>
      <c r="F45" s="301"/>
    </row>
    <row r="47" spans="1:6" ht="15" x14ac:dyDescent="0.25">
      <c r="A47" s="124" t="s">
        <v>453</v>
      </c>
      <c r="C47" s="166" t="s">
        <v>454</v>
      </c>
    </row>
  </sheetData>
  <sortState ref="A2:A42">
    <sortCondition ref="A2"/>
  </sortState>
  <hyperlinks>
    <hyperlink ref="C47" r:id="rId1"/>
    <hyperlink ref="A1" location="Navigation!A1" display="Hom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A1:W59"/>
  <sheetViews>
    <sheetView zoomScaleNormal="100" workbookViewId="0"/>
  </sheetViews>
  <sheetFormatPr defaultRowHeight="15" x14ac:dyDescent="0.25"/>
  <cols>
    <col min="1" max="1" width="1.140625" customWidth="1"/>
    <col min="2" max="2" width="13.140625" customWidth="1"/>
    <col min="3" max="3" width="69.140625" bestFit="1" customWidth="1"/>
    <col min="4" max="4" width="13.42578125" style="11" customWidth="1"/>
    <col min="5" max="6" width="13.42578125" customWidth="1"/>
    <col min="7" max="7" width="1" style="11" customWidth="1"/>
    <col min="8" max="8" width="10" bestFit="1" customWidth="1"/>
    <col min="9" max="9" width="14.42578125" customWidth="1"/>
    <col min="10" max="10" width="1.140625" customWidth="1"/>
    <col min="11" max="13" width="14.42578125" customWidth="1"/>
    <col min="14" max="14" width="1.140625" style="5" customWidth="1"/>
    <col min="15" max="15" width="17.42578125" customWidth="1"/>
    <col min="16" max="16" width="17.42578125" bestFit="1" customWidth="1"/>
    <col min="17" max="17" width="17.42578125" style="11" bestFit="1" customWidth="1"/>
    <col min="18" max="18" width="1.140625" customWidth="1"/>
    <col min="19" max="19" width="15.85546875" customWidth="1"/>
    <col min="20" max="20" width="1" customWidth="1"/>
    <col min="21" max="21" width="13.28515625" customWidth="1"/>
    <col min="22" max="22" width="0.85546875" customWidth="1"/>
    <col min="23" max="23" width="11.28515625" style="167" bestFit="1" customWidth="1"/>
  </cols>
  <sheetData>
    <row r="1" spans="1:23" ht="12" customHeight="1" x14ac:dyDescent="0.25">
      <c r="B1" s="173" t="s">
        <v>377</v>
      </c>
    </row>
    <row r="2" spans="1:23" s="15" customFormat="1" ht="22.5" customHeight="1" x14ac:dyDescent="0.4">
      <c r="B2" s="84" t="s">
        <v>246</v>
      </c>
      <c r="C2" s="85"/>
      <c r="D2" s="85"/>
      <c r="E2" s="85"/>
      <c r="F2" s="85"/>
      <c r="G2" s="85"/>
      <c r="H2" s="85"/>
      <c r="I2" s="85"/>
      <c r="J2" s="85"/>
      <c r="K2" s="85"/>
      <c r="L2" s="85"/>
      <c r="M2" s="85"/>
      <c r="N2" s="83"/>
      <c r="O2" s="83"/>
      <c r="P2" s="83"/>
      <c r="Q2" s="83"/>
      <c r="R2" s="83"/>
      <c r="S2" s="83"/>
      <c r="T2" s="83"/>
      <c r="U2" s="83"/>
      <c r="V2" s="83"/>
      <c r="W2" s="83"/>
    </row>
    <row r="3" spans="1:23" s="14" customFormat="1" ht="12" customHeight="1" x14ac:dyDescent="0.25">
      <c r="A3" s="15"/>
      <c r="B3" s="15"/>
      <c r="C3" s="15"/>
    </row>
    <row r="4" spans="1:23" s="14" customFormat="1" ht="12" customHeight="1" x14ac:dyDescent="0.25">
      <c r="B4" s="317" t="s">
        <v>57</v>
      </c>
      <c r="C4" s="318" t="s">
        <v>247</v>
      </c>
    </row>
    <row r="5" spans="1:23" s="14" customFormat="1" ht="12" customHeight="1" x14ac:dyDescent="0.25">
      <c r="B5" s="317" t="s">
        <v>232</v>
      </c>
      <c r="C5" s="318" t="s">
        <v>248</v>
      </c>
    </row>
    <row r="6" spans="1:23" s="14" customFormat="1" ht="12" customHeight="1" thickBot="1" x14ac:dyDescent="0.3">
      <c r="B6" s="317"/>
    </row>
    <row r="7" spans="1:23" s="14" customFormat="1" ht="30.75" thickBot="1" x14ac:dyDescent="0.3">
      <c r="A7" s="5"/>
      <c r="B7" s="859" t="str">
        <f>'Price Adjustments'!B3</f>
        <v>Adjustment Type</v>
      </c>
      <c r="C7" s="129" t="str">
        <f>'Price Adjustments'!D3</f>
        <v>2014/15</v>
      </c>
      <c r="D7" s="128" t="str">
        <f>'Price Adjustments'!E3</f>
        <v>2015/16</v>
      </c>
      <c r="E7" s="128" t="str">
        <f>'Price Adjustments'!F3</f>
        <v>2016/17</v>
      </c>
      <c r="F7"/>
      <c r="G7"/>
    </row>
    <row r="8" spans="1:23" s="14" customFormat="1" ht="12" customHeight="1" x14ac:dyDescent="0.25">
      <c r="A8" s="5"/>
      <c r="B8" s="855" t="str">
        <f>'Price Adjustments'!B4</f>
        <v>Inflation</v>
      </c>
      <c r="C8" s="303">
        <f>'Price Adjustments'!D4</f>
        <v>2.5000000000000001E-2</v>
      </c>
      <c r="D8" s="303">
        <f>'Price Adjustments'!E4</f>
        <v>1.92529689878824E-2</v>
      </c>
      <c r="E8" s="304">
        <f>'Price Adjustments'!F4</f>
        <v>0</v>
      </c>
      <c r="F8"/>
      <c r="G8" s="11"/>
    </row>
    <row r="9" spans="1:23" s="14" customFormat="1" ht="12" customHeight="1" x14ac:dyDescent="0.25">
      <c r="A9" s="5"/>
      <c r="B9" s="855" t="str">
        <f>'Price Adjustments'!B5</f>
        <v>Efficiency*</v>
      </c>
      <c r="C9" s="303">
        <f>'Price Adjustments'!D5</f>
        <v>-0.04</v>
      </c>
      <c r="D9" s="303">
        <f>'Price Adjustments'!E5</f>
        <v>-3.5000000000000003E-2</v>
      </c>
      <c r="E9" s="304">
        <f>'Price Adjustments'!F5</f>
        <v>0</v>
      </c>
      <c r="F9"/>
      <c r="G9" s="11"/>
    </row>
    <row r="10" spans="1:23" s="14" customFormat="1" ht="51" x14ac:dyDescent="0.25">
      <c r="A10" s="5"/>
      <c r="B10" s="856" t="str">
        <f>'Price Adjustments'!B6</f>
        <v>Inflation and Efficiency (total adjustment)</v>
      </c>
      <c r="C10" s="303">
        <f>'Price Adjustments'!D6</f>
        <v>-1.4999999999999999E-2</v>
      </c>
      <c r="D10" s="303">
        <f>'Price Adjustments'!E6</f>
        <v>-1.6420884926693469E-2</v>
      </c>
      <c r="E10" s="304">
        <f>'Price Adjustments'!F6</f>
        <v>0</v>
      </c>
      <c r="F10"/>
      <c r="G10" s="11"/>
    </row>
    <row r="11" spans="1:23" s="14" customFormat="1" ht="12" customHeight="1" thickBot="1" x14ac:dyDescent="0.3">
      <c r="A11" s="5"/>
      <c r="B11" s="860"/>
      <c r="C11" s="133"/>
      <c r="D11" s="133"/>
      <c r="E11" s="853"/>
      <c r="F11"/>
      <c r="G11" s="11"/>
    </row>
    <row r="12" spans="1:23" s="14" customFormat="1" ht="12" customHeight="1" x14ac:dyDescent="0.25"/>
    <row r="13" spans="1:23" s="107" customFormat="1" ht="12" customHeight="1" x14ac:dyDescent="0.25">
      <c r="D13" s="579"/>
      <c r="E13" s="579" t="str">
        <f>E20</f>
        <v>Total Cost (£)</v>
      </c>
      <c r="F13" s="630"/>
      <c r="G13" s="630"/>
      <c r="H13" s="861"/>
      <c r="I13" s="579"/>
      <c r="J13" s="630"/>
      <c r="K13" s="579" t="s">
        <v>954</v>
      </c>
      <c r="L13" s="630"/>
    </row>
    <row r="14" spans="1:23" s="14" customFormat="1" ht="12" customHeight="1" x14ac:dyDescent="0.25">
      <c r="D14" s="579" t="s">
        <v>262</v>
      </c>
      <c r="E14" s="862">
        <f>SUM(E21:E27)</f>
        <v>231862460.69724447</v>
      </c>
      <c r="F14" s="565"/>
      <c r="G14" s="565"/>
      <c r="H14" s="565"/>
      <c r="I14" s="579" t="s">
        <v>262</v>
      </c>
      <c r="J14" s="565"/>
      <c r="K14" s="863">
        <f>SUM(K21:K27)</f>
        <v>221554629.09634498</v>
      </c>
      <c r="L14" s="864">
        <f>$E14/K14</f>
        <v>1.0465250112035214</v>
      </c>
    </row>
    <row r="15" spans="1:23" s="14" customFormat="1" ht="12" customHeight="1" x14ac:dyDescent="0.25">
      <c r="D15" s="579" t="s">
        <v>263</v>
      </c>
      <c r="E15" s="865">
        <f>SUM(E28:E41)</f>
        <v>91957692.972591296</v>
      </c>
      <c r="F15" s="565"/>
      <c r="G15" s="565"/>
      <c r="H15" s="565"/>
      <c r="I15" s="579" t="s">
        <v>263</v>
      </c>
      <c r="J15" s="565"/>
      <c r="K15" s="866">
        <f>SUM(K28:K41)</f>
        <v>91445115.59217149</v>
      </c>
      <c r="L15" s="867">
        <f>E15/K15</f>
        <v>1.0056053008091301</v>
      </c>
    </row>
    <row r="16" spans="1:23" s="14" customFormat="1" ht="12" customHeight="1" x14ac:dyDescent="0.25">
      <c r="C16" s="178"/>
      <c r="D16" s="579" t="s">
        <v>977</v>
      </c>
      <c r="E16" s="868">
        <f>SUM(E21:E41)</f>
        <v>323820153.66983569</v>
      </c>
      <c r="F16" s="565"/>
      <c r="G16" s="861"/>
      <c r="H16" s="565"/>
      <c r="I16" s="579" t="s">
        <v>977</v>
      </c>
      <c r="J16" s="565"/>
      <c r="K16" s="869">
        <f>SUM(K21:K41)</f>
        <v>312999744.68851644</v>
      </c>
      <c r="L16" s="870">
        <f>E16/K16</f>
        <v>1.0345700249439094</v>
      </c>
    </row>
    <row r="17" spans="1:23" s="107" customFormat="1" ht="26.25" x14ac:dyDescent="0.4">
      <c r="B17" s="319"/>
      <c r="C17" s="14"/>
      <c r="D17" s="565"/>
      <c r="E17" s="565"/>
      <c r="F17" s="565"/>
      <c r="G17" s="565"/>
      <c r="H17" s="630"/>
      <c r="I17" s="579" t="s">
        <v>455</v>
      </c>
      <c r="J17" s="630"/>
      <c r="K17" s="871">
        <f>K16-K15-K14</f>
        <v>0</v>
      </c>
      <c r="L17" s="565"/>
      <c r="M17" s="14"/>
      <c r="N17" s="14"/>
      <c r="P17" s="14"/>
      <c r="Q17" s="14"/>
      <c r="R17" s="14"/>
      <c r="S17" s="14"/>
      <c r="W17" s="14"/>
    </row>
    <row r="18" spans="1:23" s="107" customFormat="1" ht="12" customHeight="1" x14ac:dyDescent="0.25">
      <c r="B18" s="332">
        <v>1</v>
      </c>
      <c r="C18" s="332">
        <f>B18+1</f>
        <v>2</v>
      </c>
      <c r="D18" s="332">
        <f t="shared" ref="D18:W18" si="0">C18+1</f>
        <v>3</v>
      </c>
      <c r="E18" s="332">
        <f t="shared" si="0"/>
        <v>4</v>
      </c>
      <c r="F18" s="332">
        <f t="shared" si="0"/>
        <v>5</v>
      </c>
      <c r="G18" s="332">
        <f t="shared" si="0"/>
        <v>6</v>
      </c>
      <c r="H18" s="332">
        <f t="shared" si="0"/>
        <v>7</v>
      </c>
      <c r="I18" s="332">
        <f t="shared" si="0"/>
        <v>8</v>
      </c>
      <c r="J18" s="332">
        <f t="shared" si="0"/>
        <v>9</v>
      </c>
      <c r="K18" s="332">
        <f t="shared" si="0"/>
        <v>10</v>
      </c>
      <c r="L18" s="332">
        <f t="shared" si="0"/>
        <v>11</v>
      </c>
      <c r="M18" s="332">
        <f t="shared" si="0"/>
        <v>12</v>
      </c>
      <c r="N18" s="332">
        <f t="shared" si="0"/>
        <v>13</v>
      </c>
      <c r="O18" s="332">
        <f t="shared" si="0"/>
        <v>14</v>
      </c>
      <c r="P18" s="332">
        <f t="shared" si="0"/>
        <v>15</v>
      </c>
      <c r="Q18" s="332">
        <f t="shared" si="0"/>
        <v>16</v>
      </c>
      <c r="R18" s="332">
        <f t="shared" si="0"/>
        <v>17</v>
      </c>
      <c r="S18" s="332">
        <f t="shared" si="0"/>
        <v>18</v>
      </c>
      <c r="T18" s="332">
        <f t="shared" si="0"/>
        <v>19</v>
      </c>
      <c r="U18" s="332">
        <f t="shared" si="0"/>
        <v>20</v>
      </c>
      <c r="V18" s="332">
        <f t="shared" si="0"/>
        <v>21</v>
      </c>
      <c r="W18" s="332">
        <f t="shared" si="0"/>
        <v>22</v>
      </c>
    </row>
    <row r="19" spans="1:23" s="107" customFormat="1" ht="33.75" customHeight="1" thickBot="1" x14ac:dyDescent="0.3">
      <c r="C19" s="148"/>
      <c r="D19" s="905" t="s">
        <v>244</v>
      </c>
      <c r="E19" s="906"/>
      <c r="F19" s="523" t="s">
        <v>245</v>
      </c>
      <c r="G19" s="521"/>
      <c r="H19" s="907" t="s">
        <v>939</v>
      </c>
      <c r="I19" s="908"/>
      <c r="J19" s="522"/>
      <c r="K19" s="902" t="s">
        <v>940</v>
      </c>
      <c r="L19" s="903"/>
      <c r="M19" s="904"/>
      <c r="O19" s="902" t="s">
        <v>266</v>
      </c>
      <c r="P19" s="903"/>
      <c r="Q19" s="904"/>
    </row>
    <row r="20" spans="1:23" ht="66" customHeight="1" thickBot="1" x14ac:dyDescent="0.3">
      <c r="B20" s="32" t="s">
        <v>467</v>
      </c>
      <c r="C20" s="86" t="s">
        <v>58</v>
      </c>
      <c r="D20" s="33" t="s">
        <v>251</v>
      </c>
      <c r="E20" s="33" t="s">
        <v>920</v>
      </c>
      <c r="F20" s="78" t="s">
        <v>959</v>
      </c>
      <c r="G20" s="525"/>
      <c r="H20" s="33" t="s">
        <v>938</v>
      </c>
      <c r="I20" s="33" t="s">
        <v>925</v>
      </c>
      <c r="J20" s="526"/>
      <c r="K20" s="34" t="s">
        <v>923</v>
      </c>
      <c r="L20" s="34" t="s">
        <v>924</v>
      </c>
      <c r="M20" s="34" t="s">
        <v>937</v>
      </c>
      <c r="N20" s="527"/>
      <c r="O20" s="96" t="str">
        <f>$B$10&amp; " "&amp;$C$7&amp;" &amp; "&amp;$D$7</f>
        <v>Inflation and Efficiency (total adjustment) 2014/15 &amp; 2015/16</v>
      </c>
      <c r="P20" s="97" t="s">
        <v>461</v>
      </c>
      <c r="Q20" s="98" t="s">
        <v>265</v>
      </c>
      <c r="R20" s="528"/>
      <c r="S20" s="70" t="s">
        <v>922</v>
      </c>
      <c r="T20" s="529"/>
      <c r="U20" s="331" t="s">
        <v>474</v>
      </c>
      <c r="V20" s="525"/>
      <c r="W20" s="70" t="s">
        <v>921</v>
      </c>
    </row>
    <row r="21" spans="1:23" x14ac:dyDescent="0.25">
      <c r="B21" s="37" t="s">
        <v>0</v>
      </c>
      <c r="C21" s="90" t="s">
        <v>150</v>
      </c>
      <c r="D21" s="530">
        <f>VLOOKUP(B21,Input_Rad!$E$14:$I$59,2,FALSE)</f>
        <v>27538</v>
      </c>
      <c r="E21" s="531">
        <f>VLOOKUP(B21,Input_Rad!$E$14:$I$59,3,FALSE)</f>
        <v>2817959.4713673401</v>
      </c>
      <c r="F21" s="532">
        <f>E21/D21</f>
        <v>102.32985225387974</v>
      </c>
      <c r="G21" s="525"/>
      <c r="H21" s="533" t="s">
        <v>256</v>
      </c>
      <c r="I21" s="532">
        <f t="shared" ref="I21:I41" si="1">IF(H21="No",F21,0)</f>
        <v>102.32985225387974</v>
      </c>
      <c r="J21" s="525"/>
      <c r="K21" s="530">
        <f t="shared" ref="K21:K41" si="2">I21*D21</f>
        <v>2817959.4713673401</v>
      </c>
      <c r="L21" s="531">
        <f t="shared" ref="L21:L27" si="3">K21*$L$14</f>
        <v>2949065.0673437747</v>
      </c>
      <c r="M21" s="532">
        <f t="shared" ref="M21:M41" si="4">L21/D21</f>
        <v>107.09074977644617</v>
      </c>
      <c r="N21" s="529"/>
      <c r="O21" s="534">
        <f t="shared" ref="O21:O41" si="5">(1+$C$10)*(1+$D$10)-1</f>
        <v>-3.1174571652793026E-2</v>
      </c>
      <c r="P21" s="535">
        <v>0</v>
      </c>
      <c r="Q21" s="536">
        <f>(1+O21)*(1+P21)-1</f>
        <v>-3.1174571652793026E-2</v>
      </c>
      <c r="R21" s="529"/>
      <c r="S21" s="537">
        <f t="shared" ref="S21:S41" si="6">M21*(1+Q21)</f>
        <v>103.75224152418902</v>
      </c>
      <c r="T21" s="529"/>
      <c r="U21" s="538">
        <f t="shared" ref="U21:U41" si="7">QR1_Unbundled</f>
        <v>3.6740734670521746E-3</v>
      </c>
      <c r="V21" s="525"/>
      <c r="W21" s="539">
        <f>S21*(1+U21)</f>
        <v>104.13343488192022</v>
      </c>
    </row>
    <row r="22" spans="1:23" x14ac:dyDescent="0.25">
      <c r="A22" s="11"/>
      <c r="B22" s="38" t="s">
        <v>1</v>
      </c>
      <c r="C22" s="91" t="s">
        <v>151</v>
      </c>
      <c r="D22" s="540">
        <f>VLOOKUP(B22,Input_Rad!$E$14:$I$59,2,FALSE)</f>
        <v>259359</v>
      </c>
      <c r="E22" s="541">
        <f>VLOOKUP(B22,Input_Rad!$E$14:$I$59,3,FALSE)</f>
        <v>24758158.747202199</v>
      </c>
      <c r="F22" s="542">
        <f t="shared" ref="F22:F27" si="8">E22/D22</f>
        <v>95.459030714963419</v>
      </c>
      <c r="G22" s="525"/>
      <c r="H22" s="543" t="s">
        <v>256</v>
      </c>
      <c r="I22" s="542">
        <f t="shared" si="1"/>
        <v>95.459030714963419</v>
      </c>
      <c r="J22" s="525"/>
      <c r="K22" s="540">
        <f t="shared" si="2"/>
        <v>24758158.747202199</v>
      </c>
      <c r="L22" s="541">
        <f t="shared" si="3"/>
        <v>25910032.360294342</v>
      </c>
      <c r="M22" s="542">
        <f t="shared" si="4"/>
        <v>99.900263188454389</v>
      </c>
      <c r="N22" s="529"/>
      <c r="O22" s="534">
        <f t="shared" si="5"/>
        <v>-3.1174571652793026E-2</v>
      </c>
      <c r="P22" s="535">
        <v>0</v>
      </c>
      <c r="Q22" s="536">
        <f t="shared" ref="Q22:Q41" si="9">(1+O22)*(1+P22)-1</f>
        <v>-3.1174571652793026E-2</v>
      </c>
      <c r="R22" s="529"/>
      <c r="S22" s="544">
        <f t="shared" si="6"/>
        <v>96.785915275553037</v>
      </c>
      <c r="T22" s="529"/>
      <c r="U22" s="545">
        <f t="shared" si="7"/>
        <v>3.6740734670521746E-3</v>
      </c>
      <c r="V22" s="525"/>
      <c r="W22" s="546">
        <f t="shared" ref="W22:W41" si="10">S22*(1+U22)</f>
        <v>97.14151383885131</v>
      </c>
    </row>
    <row r="23" spans="1:23" x14ac:dyDescent="0.25">
      <c r="A23" s="11"/>
      <c r="B23" s="38" t="s">
        <v>2</v>
      </c>
      <c r="C23" s="91" t="s">
        <v>152</v>
      </c>
      <c r="D23" s="540">
        <f>VLOOKUP(B23,Input_Rad!$E$14:$I$59,2,FALSE)</f>
        <v>1138930</v>
      </c>
      <c r="E23" s="541">
        <f>VLOOKUP(B23,Input_Rad!$E$14:$I$59,3,FALSE)</f>
        <v>138444762.182515</v>
      </c>
      <c r="F23" s="542">
        <f t="shared" si="8"/>
        <v>121.55686669287401</v>
      </c>
      <c r="G23" s="525"/>
      <c r="H23" s="543" t="s">
        <v>256</v>
      </c>
      <c r="I23" s="542">
        <f t="shared" si="1"/>
        <v>121.55686669287401</v>
      </c>
      <c r="J23" s="525"/>
      <c r="K23" s="540">
        <f t="shared" si="2"/>
        <v>138444762.182515</v>
      </c>
      <c r="L23" s="541">
        <f t="shared" si="3"/>
        <v>144885906.29412535</v>
      </c>
      <c r="M23" s="542">
        <f t="shared" si="4"/>
        <v>127.21230127762492</v>
      </c>
      <c r="N23" s="529"/>
      <c r="O23" s="534">
        <f t="shared" si="5"/>
        <v>-3.1174571652793026E-2</v>
      </c>
      <c r="P23" s="535">
        <v>0</v>
      </c>
      <c r="Q23" s="536">
        <f t="shared" si="9"/>
        <v>-3.1174571652793026E-2</v>
      </c>
      <c r="R23" s="529"/>
      <c r="S23" s="544">
        <f t="shared" si="6"/>
        <v>123.2465122763289</v>
      </c>
      <c r="T23" s="529"/>
      <c r="U23" s="545">
        <f t="shared" si="7"/>
        <v>3.6740734670521746E-3</v>
      </c>
      <c r="V23" s="525"/>
      <c r="W23" s="546">
        <f t="shared" si="10"/>
        <v>123.69932901699008</v>
      </c>
    </row>
    <row r="24" spans="1:23" x14ac:dyDescent="0.25">
      <c r="A24" s="11"/>
      <c r="B24" s="38" t="s">
        <v>3</v>
      </c>
      <c r="C24" s="91" t="s">
        <v>153</v>
      </c>
      <c r="D24" s="540">
        <f>VLOOKUP(B24,Input_Rad!$E$14:$I$59,2,FALSE)</f>
        <v>1591</v>
      </c>
      <c r="E24" s="541">
        <f>VLOOKUP(B24,Input_Rad!$E$14:$I$59,3,FALSE)</f>
        <v>827183.35213674197</v>
      </c>
      <c r="F24" s="542">
        <f t="shared" si="8"/>
        <v>519.91411196526838</v>
      </c>
      <c r="G24" s="525"/>
      <c r="H24" s="543" t="s">
        <v>256</v>
      </c>
      <c r="I24" s="542">
        <f t="shared" si="1"/>
        <v>519.91411196526838</v>
      </c>
      <c r="J24" s="525"/>
      <c r="K24" s="540">
        <f t="shared" si="2"/>
        <v>827183.35213674197</v>
      </c>
      <c r="L24" s="541">
        <f t="shared" si="3"/>
        <v>865668.06686227024</v>
      </c>
      <c r="M24" s="542">
        <f t="shared" si="4"/>
        <v>544.10312184932138</v>
      </c>
      <c r="N24" s="529"/>
      <c r="O24" s="534">
        <f t="shared" si="5"/>
        <v>-3.1174571652793026E-2</v>
      </c>
      <c r="P24" s="535">
        <v>0</v>
      </c>
      <c r="Q24" s="536">
        <f t="shared" si="9"/>
        <v>-3.1174571652793026E-2</v>
      </c>
      <c r="R24" s="529"/>
      <c r="S24" s="544">
        <f t="shared" si="6"/>
        <v>527.1409400907213</v>
      </c>
      <c r="T24" s="529"/>
      <c r="U24" s="545">
        <f t="shared" si="7"/>
        <v>3.6740734670521746E-3</v>
      </c>
      <c r="V24" s="525"/>
      <c r="W24" s="546">
        <f t="shared" si="10"/>
        <v>529.07769463210559</v>
      </c>
    </row>
    <row r="25" spans="1:23" x14ac:dyDescent="0.25">
      <c r="A25" s="11"/>
      <c r="B25" s="38" t="s">
        <v>4</v>
      </c>
      <c r="C25" s="91" t="s">
        <v>154</v>
      </c>
      <c r="D25" s="540">
        <f>VLOOKUP(B25,Input_Rad!$E$14:$I$59,2,FALSE)</f>
        <v>1905</v>
      </c>
      <c r="E25" s="541">
        <f>VLOOKUP(B25,Input_Rad!$E$14:$I$59,3,FALSE)</f>
        <v>746621.31913309195</v>
      </c>
      <c r="F25" s="542">
        <f t="shared" si="8"/>
        <v>391.92720164466772</v>
      </c>
      <c r="G25" s="525"/>
      <c r="H25" s="543" t="s">
        <v>256</v>
      </c>
      <c r="I25" s="542">
        <f t="shared" si="1"/>
        <v>391.92720164466772</v>
      </c>
      <c r="J25" s="525"/>
      <c r="K25" s="540">
        <f t="shared" si="2"/>
        <v>746621.31913309195</v>
      </c>
      <c r="L25" s="541">
        <f t="shared" si="3"/>
        <v>781357.8843705469</v>
      </c>
      <c r="M25" s="542">
        <f t="shared" si="4"/>
        <v>410.1616190921506</v>
      </c>
      <c r="N25" s="529"/>
      <c r="O25" s="534">
        <f t="shared" si="5"/>
        <v>-3.1174571652793026E-2</v>
      </c>
      <c r="P25" s="535">
        <v>0</v>
      </c>
      <c r="Q25" s="536">
        <f t="shared" si="9"/>
        <v>-3.1174571652793026E-2</v>
      </c>
      <c r="R25" s="529"/>
      <c r="S25" s="544">
        <f t="shared" si="6"/>
        <v>397.37500630853674</v>
      </c>
      <c r="T25" s="529"/>
      <c r="U25" s="545">
        <f t="shared" si="7"/>
        <v>3.6740734670521746E-3</v>
      </c>
      <c r="V25" s="525"/>
      <c r="W25" s="546">
        <f t="shared" si="10"/>
        <v>398.83499127568462</v>
      </c>
    </row>
    <row r="26" spans="1:23" x14ac:dyDescent="0.25">
      <c r="A26" s="11"/>
      <c r="B26" s="38" t="s">
        <v>43</v>
      </c>
      <c r="C26" s="91" t="s">
        <v>64</v>
      </c>
      <c r="D26" s="540">
        <f>VLOOKUP(B26,Input_Rad!$E$14:$I$59,2,FALSE)</f>
        <v>51338</v>
      </c>
      <c r="E26" s="541">
        <f>VLOOKUP(B26,Input_Rad!$E$14:$I$59,3,FALSE)</f>
        <v>10307831.600899501</v>
      </c>
      <c r="F26" s="542">
        <f t="shared" si="8"/>
        <v>200.78366124312402</v>
      </c>
      <c r="G26" s="525"/>
      <c r="H26" s="543" t="s">
        <v>264</v>
      </c>
      <c r="I26" s="542">
        <f t="shared" si="1"/>
        <v>0</v>
      </c>
      <c r="J26" s="525"/>
      <c r="K26" s="540">
        <f t="shared" si="2"/>
        <v>0</v>
      </c>
      <c r="L26" s="541">
        <f t="shared" si="3"/>
        <v>0</v>
      </c>
      <c r="M26" s="542">
        <f t="shared" si="4"/>
        <v>0</v>
      </c>
      <c r="N26" s="529"/>
      <c r="O26" s="534">
        <f t="shared" si="5"/>
        <v>-3.1174571652793026E-2</v>
      </c>
      <c r="P26" s="535">
        <v>0</v>
      </c>
      <c r="Q26" s="536">
        <f t="shared" si="9"/>
        <v>-3.1174571652793026E-2</v>
      </c>
      <c r="R26" s="529"/>
      <c r="S26" s="544">
        <f t="shared" si="6"/>
        <v>0</v>
      </c>
      <c r="T26" s="529"/>
      <c r="U26" s="545">
        <f t="shared" si="7"/>
        <v>3.6740734670521746E-3</v>
      </c>
      <c r="V26" s="525"/>
      <c r="W26" s="546">
        <f t="shared" si="10"/>
        <v>0</v>
      </c>
    </row>
    <row r="27" spans="1:23" ht="15" customHeight="1" thickBot="1" x14ac:dyDescent="0.3">
      <c r="A27" s="11"/>
      <c r="B27" s="39" t="s">
        <v>5</v>
      </c>
      <c r="C27" s="92" t="s">
        <v>155</v>
      </c>
      <c r="D27" s="547">
        <f>VLOOKUP(B27,Input_Rad!$E$14:$I$59,2,FALSE)</f>
        <v>337065</v>
      </c>
      <c r="E27" s="548">
        <f>VLOOKUP(B27,Input_Rad!$E$14:$I$59,3,FALSE)</f>
        <v>53959944.023990601</v>
      </c>
      <c r="F27" s="549">
        <f t="shared" si="8"/>
        <v>160.08765082103037</v>
      </c>
      <c r="G27" s="525"/>
      <c r="H27" s="550" t="s">
        <v>256</v>
      </c>
      <c r="I27" s="549">
        <f t="shared" si="1"/>
        <v>160.08765082103037</v>
      </c>
      <c r="J27" s="525"/>
      <c r="K27" s="547">
        <f t="shared" si="2"/>
        <v>53959944.023990601</v>
      </c>
      <c r="L27" s="548">
        <f t="shared" si="3"/>
        <v>56470431.024248153</v>
      </c>
      <c r="M27" s="549">
        <f t="shared" si="4"/>
        <v>167.53573056902422</v>
      </c>
      <c r="N27" s="529"/>
      <c r="O27" s="551">
        <f t="shared" si="5"/>
        <v>-3.1174571652793026E-2</v>
      </c>
      <c r="P27" s="552">
        <v>0</v>
      </c>
      <c r="Q27" s="553">
        <f t="shared" si="9"/>
        <v>-3.1174571652793026E-2</v>
      </c>
      <c r="R27" s="529"/>
      <c r="S27" s="554">
        <f t="shared" si="6"/>
        <v>162.31287593199716</v>
      </c>
      <c r="T27" s="529"/>
      <c r="U27" s="555">
        <f t="shared" si="7"/>
        <v>3.6740734670521746E-3</v>
      </c>
      <c r="V27" s="525"/>
      <c r="W27" s="556">
        <f t="shared" si="10"/>
        <v>162.90922536281983</v>
      </c>
    </row>
    <row r="28" spans="1:23" x14ac:dyDescent="0.25">
      <c r="A28" s="11"/>
      <c r="B28" s="87" t="s">
        <v>45</v>
      </c>
      <c r="C28" s="90" t="s">
        <v>156</v>
      </c>
      <c r="D28" s="530">
        <f>VLOOKUP(B28,Input_Rad!$E$14:$I$59,2,FALSE)</f>
        <v>14755</v>
      </c>
      <c r="E28" s="531">
        <f>VLOOKUP(B28,Input_Rad!$E$14:$I$59,3,FALSE)</f>
        <v>15958143.465674801</v>
      </c>
      <c r="F28" s="532">
        <f t="shared" ref="F28:F41" si="11">E28/D28</f>
        <v>1081.5414073652864</v>
      </c>
      <c r="G28" s="525"/>
      <c r="H28" s="533" t="s">
        <v>256</v>
      </c>
      <c r="I28" s="532">
        <f t="shared" si="1"/>
        <v>1081.5414073652864</v>
      </c>
      <c r="J28" s="525"/>
      <c r="K28" s="530">
        <f t="shared" si="2"/>
        <v>15958143.465674801</v>
      </c>
      <c r="L28" s="531">
        <f t="shared" ref="L28:L41" si="12">K28*$L$15</f>
        <v>16047593.660155162</v>
      </c>
      <c r="M28" s="532">
        <f t="shared" si="4"/>
        <v>1087.6037722910987</v>
      </c>
      <c r="N28" s="529"/>
      <c r="O28" s="557">
        <f t="shared" si="5"/>
        <v>-3.1174571652793026E-2</v>
      </c>
      <c r="P28" s="558">
        <v>0</v>
      </c>
      <c r="Q28" s="559">
        <f t="shared" si="9"/>
        <v>-3.1174571652793026E-2</v>
      </c>
      <c r="R28" s="529"/>
      <c r="S28" s="537">
        <f t="shared" si="6"/>
        <v>1053.6981905619618</v>
      </c>
      <c r="T28" s="529"/>
      <c r="U28" s="560">
        <f t="shared" si="7"/>
        <v>3.6740734670521746E-3</v>
      </c>
      <c r="V28" s="525"/>
      <c r="W28" s="539">
        <f t="shared" si="10"/>
        <v>1057.5695551261865</v>
      </c>
    </row>
    <row r="29" spans="1:23" x14ac:dyDescent="0.25">
      <c r="A29" s="11"/>
      <c r="B29" s="88" t="s">
        <v>46</v>
      </c>
      <c r="C29" s="91" t="s">
        <v>157</v>
      </c>
      <c r="D29" s="540">
        <f>VLOOKUP(B29,Input_Rad!$E$14:$I$59,2,FALSE)</f>
        <v>6403</v>
      </c>
      <c r="E29" s="541">
        <f>VLOOKUP(B29,Input_Rad!$E$14:$I$59,3,FALSE)</f>
        <v>10297236.869986</v>
      </c>
      <c r="F29" s="542">
        <f t="shared" si="11"/>
        <v>1608.1894221436826</v>
      </c>
      <c r="G29" s="525"/>
      <c r="H29" s="543" t="s">
        <v>256</v>
      </c>
      <c r="I29" s="542">
        <f t="shared" si="1"/>
        <v>1608.1894221436826</v>
      </c>
      <c r="J29" s="525"/>
      <c r="K29" s="540">
        <f t="shared" si="2"/>
        <v>10297236.869986</v>
      </c>
      <c r="L29" s="541">
        <f t="shared" si="12"/>
        <v>10354955.980145136</v>
      </c>
      <c r="M29" s="542">
        <f t="shared" si="4"/>
        <v>1617.203807612859</v>
      </c>
      <c r="N29" s="529"/>
      <c r="O29" s="534">
        <f t="shared" si="5"/>
        <v>-3.1174571652793026E-2</v>
      </c>
      <c r="P29" s="535">
        <v>0</v>
      </c>
      <c r="Q29" s="536">
        <f t="shared" si="9"/>
        <v>-3.1174571652793026E-2</v>
      </c>
      <c r="R29" s="529"/>
      <c r="S29" s="544">
        <f t="shared" si="6"/>
        <v>1566.7881716352622</v>
      </c>
      <c r="T29" s="529"/>
      <c r="U29" s="545">
        <f t="shared" si="7"/>
        <v>3.6740734670521746E-3</v>
      </c>
      <c r="V29" s="525"/>
      <c r="W29" s="546">
        <f t="shared" si="10"/>
        <v>1572.5446664851586</v>
      </c>
    </row>
    <row r="30" spans="1:23" x14ac:dyDescent="0.25">
      <c r="A30" s="11"/>
      <c r="B30" s="88" t="s">
        <v>6</v>
      </c>
      <c r="C30" s="91" t="s">
        <v>68</v>
      </c>
      <c r="D30" s="540">
        <f>VLOOKUP(B30,Input_Rad!$E$14:$I$59,2,FALSE)</f>
        <v>177</v>
      </c>
      <c r="E30" s="541">
        <f>VLOOKUP(B30,Input_Rad!$E$14:$I$59,3,FALSE)</f>
        <v>282689.17683497601</v>
      </c>
      <c r="F30" s="542">
        <f t="shared" si="11"/>
        <v>1597.1139934179434</v>
      </c>
      <c r="G30" s="525"/>
      <c r="H30" s="543" t="s">
        <v>256</v>
      </c>
      <c r="I30" s="542">
        <f t="shared" si="1"/>
        <v>1597.1139934179434</v>
      </c>
      <c r="J30" s="525"/>
      <c r="K30" s="540">
        <f t="shared" si="2"/>
        <v>282689.17683497601</v>
      </c>
      <c r="L30" s="541">
        <f t="shared" si="12"/>
        <v>284273.73470662144</v>
      </c>
      <c r="M30" s="542">
        <f t="shared" si="4"/>
        <v>1606.0662977775223</v>
      </c>
      <c r="N30" s="529"/>
      <c r="O30" s="534">
        <f t="shared" si="5"/>
        <v>-3.1174571652793026E-2</v>
      </c>
      <c r="P30" s="535">
        <v>0</v>
      </c>
      <c r="Q30" s="536">
        <f t="shared" si="9"/>
        <v>-3.1174571652793026E-2</v>
      </c>
      <c r="R30" s="529"/>
      <c r="S30" s="544">
        <f t="shared" si="6"/>
        <v>1555.997868898321</v>
      </c>
      <c r="T30" s="529"/>
      <c r="U30" s="545">
        <f t="shared" si="7"/>
        <v>3.6740734670521746E-3</v>
      </c>
      <c r="V30" s="525"/>
      <c r="W30" s="546">
        <f t="shared" si="10"/>
        <v>1561.71471938323</v>
      </c>
    </row>
    <row r="31" spans="1:23" x14ac:dyDescent="0.25">
      <c r="A31" s="11"/>
      <c r="B31" s="88" t="s">
        <v>7</v>
      </c>
      <c r="C31" s="91" t="s">
        <v>158</v>
      </c>
      <c r="D31" s="540">
        <f>VLOOKUP(B31,Input_Rad!$E$14:$I$59,2,FALSE)</f>
        <v>146</v>
      </c>
      <c r="E31" s="541">
        <f>VLOOKUP(B31,Input_Rad!$E$14:$I$59,3,FALSE)</f>
        <v>180525.033234773</v>
      </c>
      <c r="F31" s="542">
        <f t="shared" si="11"/>
        <v>1236.4728303751576</v>
      </c>
      <c r="G31" s="525"/>
      <c r="H31" s="543" t="s">
        <v>256</v>
      </c>
      <c r="I31" s="542">
        <f t="shared" si="1"/>
        <v>1236.4728303751576</v>
      </c>
      <c r="J31" s="525"/>
      <c r="K31" s="540">
        <f t="shared" si="2"/>
        <v>180525.033234773</v>
      </c>
      <c r="L31" s="541">
        <f t="shared" si="12"/>
        <v>181536.93034963211</v>
      </c>
      <c r="M31" s="542">
        <f t="shared" si="4"/>
        <v>1243.4036325317268</v>
      </c>
      <c r="N31" s="529"/>
      <c r="O31" s="534">
        <f t="shared" si="5"/>
        <v>-3.1174571652793026E-2</v>
      </c>
      <c r="P31" s="535">
        <v>0</v>
      </c>
      <c r="Q31" s="536">
        <f t="shared" si="9"/>
        <v>-3.1174571652793026E-2</v>
      </c>
      <c r="R31" s="529"/>
      <c r="S31" s="544">
        <f t="shared" si="6"/>
        <v>1204.6410568960234</v>
      </c>
      <c r="T31" s="529"/>
      <c r="U31" s="545">
        <f t="shared" si="7"/>
        <v>3.6740734670521746E-3</v>
      </c>
      <c r="V31" s="525"/>
      <c r="W31" s="546">
        <f t="shared" si="10"/>
        <v>1209.0669966404869</v>
      </c>
    </row>
    <row r="32" spans="1:23" x14ac:dyDescent="0.25">
      <c r="A32" s="11"/>
      <c r="B32" s="88" t="s">
        <v>47</v>
      </c>
      <c r="C32" s="91" t="s">
        <v>159</v>
      </c>
      <c r="D32" s="540">
        <f>VLOOKUP(B32,Input_Rad!$E$14:$I$59,2,FALSE)</f>
        <v>17</v>
      </c>
      <c r="E32" s="541">
        <f>VLOOKUP(B32,Input_Rad!$E$14:$I$59,3,FALSE)</f>
        <v>11675.6691577905</v>
      </c>
      <c r="F32" s="542">
        <f t="shared" si="11"/>
        <v>686.80406810532349</v>
      </c>
      <c r="G32" s="525"/>
      <c r="H32" s="543" t="s">
        <v>256</v>
      </c>
      <c r="I32" s="542">
        <f t="shared" si="1"/>
        <v>686.80406810532349</v>
      </c>
      <c r="J32" s="525"/>
      <c r="K32" s="540">
        <f t="shared" si="2"/>
        <v>11675.6691577905</v>
      </c>
      <c r="L32" s="541">
        <f t="shared" si="12"/>
        <v>11741.114795567799</v>
      </c>
      <c r="M32" s="542">
        <f t="shared" si="4"/>
        <v>690.65381150398821</v>
      </c>
      <c r="N32" s="529"/>
      <c r="O32" s="534">
        <f t="shared" si="5"/>
        <v>-3.1174571652793026E-2</v>
      </c>
      <c r="P32" s="535">
        <v>0</v>
      </c>
      <c r="Q32" s="536">
        <f t="shared" si="9"/>
        <v>-3.1174571652793026E-2</v>
      </c>
      <c r="R32" s="529"/>
      <c r="S32" s="544">
        <f t="shared" si="6"/>
        <v>669.12297476998253</v>
      </c>
      <c r="T32" s="529"/>
      <c r="U32" s="545">
        <f t="shared" si="7"/>
        <v>3.6740734670521746E-3</v>
      </c>
      <c r="V32" s="525"/>
      <c r="W32" s="546">
        <f t="shared" si="10"/>
        <v>671.58138173777991</v>
      </c>
    </row>
    <row r="33" spans="1:23" x14ac:dyDescent="0.25">
      <c r="A33" s="11"/>
      <c r="B33" s="88" t="s">
        <v>8</v>
      </c>
      <c r="C33" s="91" t="s">
        <v>160</v>
      </c>
      <c r="D33" s="540">
        <f>VLOOKUP(B33,Input_Rad!$E$14:$I$59,2,FALSE)</f>
        <v>9701</v>
      </c>
      <c r="E33" s="541">
        <f>VLOOKUP(B33,Input_Rad!$E$14:$I$59,3,FALSE)</f>
        <v>3807839.5458341101</v>
      </c>
      <c r="F33" s="542">
        <f t="shared" si="11"/>
        <v>392.52031190950521</v>
      </c>
      <c r="G33" s="525"/>
      <c r="H33" s="543" t="s">
        <v>256</v>
      </c>
      <c r="I33" s="542">
        <f t="shared" si="1"/>
        <v>392.52031190950521</v>
      </c>
      <c r="J33" s="525"/>
      <c r="K33" s="540">
        <f t="shared" si="2"/>
        <v>3807839.5458341101</v>
      </c>
      <c r="L33" s="541">
        <f t="shared" si="12"/>
        <v>3829183.631921412</v>
      </c>
      <c r="M33" s="542">
        <f t="shared" si="4"/>
        <v>394.72050633145159</v>
      </c>
      <c r="N33" s="529"/>
      <c r="O33" s="534">
        <f t="shared" si="5"/>
        <v>-3.1174571652793026E-2</v>
      </c>
      <c r="P33" s="535">
        <v>0</v>
      </c>
      <c r="Q33" s="536">
        <f t="shared" si="9"/>
        <v>-3.1174571652793026E-2</v>
      </c>
      <c r="R33" s="529"/>
      <c r="S33" s="544">
        <f t="shared" si="6"/>
        <v>382.41526362399503</v>
      </c>
      <c r="T33" s="529"/>
      <c r="U33" s="545">
        <f t="shared" si="7"/>
        <v>3.6740734670521746E-3</v>
      </c>
      <c r="V33" s="525"/>
      <c r="W33" s="546">
        <f t="shared" si="10"/>
        <v>383.82028539747171</v>
      </c>
    </row>
    <row r="34" spans="1:23" x14ac:dyDescent="0.25">
      <c r="A34" s="11"/>
      <c r="B34" s="88" t="s">
        <v>9</v>
      </c>
      <c r="C34" s="91" t="s">
        <v>161</v>
      </c>
      <c r="D34" s="540">
        <f>VLOOKUP(B34,Input_Rad!$E$14:$I$59,2,FALSE)</f>
        <v>1586</v>
      </c>
      <c r="E34" s="541">
        <f>VLOOKUP(B34,Input_Rad!$E$14:$I$59,3,FALSE)</f>
        <v>939415.61158147804</v>
      </c>
      <c r="F34" s="542">
        <f t="shared" si="11"/>
        <v>592.31753567558519</v>
      </c>
      <c r="G34" s="525"/>
      <c r="H34" s="543" t="s">
        <v>256</v>
      </c>
      <c r="I34" s="542">
        <f t="shared" si="1"/>
        <v>592.31753567558519</v>
      </c>
      <c r="J34" s="525"/>
      <c r="K34" s="540">
        <f t="shared" si="2"/>
        <v>939415.61158147815</v>
      </c>
      <c r="L34" s="541">
        <f t="shared" si="12"/>
        <v>944681.31866918528</v>
      </c>
      <c r="M34" s="542">
        <f t="shared" si="4"/>
        <v>595.63765363756954</v>
      </c>
      <c r="N34" s="529"/>
      <c r="O34" s="534">
        <f t="shared" si="5"/>
        <v>-3.1174571652793026E-2</v>
      </c>
      <c r="P34" s="535">
        <v>0</v>
      </c>
      <c r="Q34" s="536">
        <f t="shared" si="9"/>
        <v>-3.1174571652793026E-2</v>
      </c>
      <c r="R34" s="529"/>
      <c r="S34" s="544">
        <f t="shared" si="6"/>
        <v>577.06890492514367</v>
      </c>
      <c r="T34" s="529"/>
      <c r="U34" s="545">
        <f t="shared" si="7"/>
        <v>3.6740734670521746E-3</v>
      </c>
      <c r="V34" s="525"/>
      <c r="W34" s="546">
        <f t="shared" si="10"/>
        <v>579.18909847738996</v>
      </c>
    </row>
    <row r="35" spans="1:23" x14ac:dyDescent="0.25">
      <c r="A35" s="11"/>
      <c r="B35" s="88" t="s">
        <v>10</v>
      </c>
      <c r="C35" s="91" t="s">
        <v>162</v>
      </c>
      <c r="D35" s="540">
        <f>VLOOKUP(B35,Input_Rad!$E$14:$I$59,2,FALSE)</f>
        <v>37853</v>
      </c>
      <c r="E35" s="541">
        <f>VLOOKUP(B35,Input_Rad!$E$14:$I$59,3,FALSE)</f>
        <v>11123962.746501001</v>
      </c>
      <c r="F35" s="542">
        <f t="shared" si="11"/>
        <v>293.87268503159595</v>
      </c>
      <c r="G35" s="525"/>
      <c r="H35" s="543" t="s">
        <v>256</v>
      </c>
      <c r="I35" s="542">
        <f t="shared" si="1"/>
        <v>293.87268503159595</v>
      </c>
      <c r="J35" s="525"/>
      <c r="K35" s="540">
        <f t="shared" si="2"/>
        <v>11123962.746501001</v>
      </c>
      <c r="L35" s="541">
        <f t="shared" si="12"/>
        <v>11186315.903884696</v>
      </c>
      <c r="M35" s="542">
        <f t="shared" si="4"/>
        <v>295.51992983078475</v>
      </c>
      <c r="N35" s="529"/>
      <c r="O35" s="534">
        <f t="shared" si="5"/>
        <v>-3.1174571652793026E-2</v>
      </c>
      <c r="P35" s="535">
        <v>0</v>
      </c>
      <c r="Q35" s="536">
        <f t="shared" si="9"/>
        <v>-3.1174571652793026E-2</v>
      </c>
      <c r="R35" s="529"/>
      <c r="S35" s="544">
        <f t="shared" si="6"/>
        <v>286.30722260344658</v>
      </c>
      <c r="T35" s="529"/>
      <c r="U35" s="545">
        <f t="shared" si="7"/>
        <v>3.6740734670521746E-3</v>
      </c>
      <c r="V35" s="525"/>
      <c r="W35" s="546">
        <f t="shared" si="10"/>
        <v>287.3591363734393</v>
      </c>
    </row>
    <row r="36" spans="1:23" x14ac:dyDescent="0.25">
      <c r="A36" s="11"/>
      <c r="B36" s="88" t="s">
        <v>11</v>
      </c>
      <c r="C36" s="91" t="s">
        <v>163</v>
      </c>
      <c r="D36" s="540">
        <f>VLOOKUP(B36,Input_Rad!$E$14:$I$59,2,FALSE)</f>
        <v>6672</v>
      </c>
      <c r="E36" s="541">
        <f>VLOOKUP(B36,Input_Rad!$E$14:$I$59,3,FALSE)</f>
        <v>3254275.22548373</v>
      </c>
      <c r="F36" s="542">
        <f t="shared" si="11"/>
        <v>487.75108295619452</v>
      </c>
      <c r="G36" s="525"/>
      <c r="H36" s="543" t="s">
        <v>256</v>
      </c>
      <c r="I36" s="542">
        <f t="shared" si="1"/>
        <v>487.75108295619452</v>
      </c>
      <c r="J36" s="525"/>
      <c r="K36" s="540">
        <f t="shared" si="2"/>
        <v>3254275.22548373</v>
      </c>
      <c r="L36" s="541">
        <f t="shared" si="12"/>
        <v>3272516.4170382661</v>
      </c>
      <c r="M36" s="542">
        <f t="shared" si="4"/>
        <v>490.485074496143</v>
      </c>
      <c r="N36" s="529"/>
      <c r="O36" s="534">
        <f t="shared" si="5"/>
        <v>-3.1174571652793026E-2</v>
      </c>
      <c r="P36" s="535">
        <v>0</v>
      </c>
      <c r="Q36" s="536">
        <f t="shared" si="9"/>
        <v>-3.1174571652793026E-2</v>
      </c>
      <c r="R36" s="529"/>
      <c r="S36" s="544">
        <f t="shared" si="6"/>
        <v>475.19441239663746</v>
      </c>
      <c r="T36" s="529"/>
      <c r="U36" s="545">
        <f t="shared" si="7"/>
        <v>3.6740734670521746E-3</v>
      </c>
      <c r="V36" s="525"/>
      <c r="W36" s="546">
        <f t="shared" si="10"/>
        <v>476.94031157891538</v>
      </c>
    </row>
    <row r="37" spans="1:23" x14ac:dyDescent="0.25">
      <c r="A37" s="11"/>
      <c r="B37" s="88" t="s">
        <v>12</v>
      </c>
      <c r="C37" s="91" t="s">
        <v>164</v>
      </c>
      <c r="D37" s="540">
        <f>VLOOKUP(B37,Input_Rad!$E$14:$I$59,2,FALSE)</f>
        <v>4875</v>
      </c>
      <c r="E37" s="541">
        <f>VLOOKUP(B37,Input_Rad!$E$14:$I$59,3,FALSE)</f>
        <v>1149372.80543823</v>
      </c>
      <c r="F37" s="542">
        <f t="shared" si="11"/>
        <v>235.76878060271386</v>
      </c>
      <c r="G37" s="525"/>
      <c r="H37" s="543" t="s">
        <v>256</v>
      </c>
      <c r="I37" s="542">
        <f t="shared" si="1"/>
        <v>235.76878060271386</v>
      </c>
      <c r="J37" s="525"/>
      <c r="K37" s="540">
        <f t="shared" si="2"/>
        <v>1149372.80543823</v>
      </c>
      <c r="L37" s="541">
        <f t="shared" si="12"/>
        <v>1155815.3857545452</v>
      </c>
      <c r="M37" s="542">
        <f t="shared" si="4"/>
        <v>237.09033553939389</v>
      </c>
      <c r="N37" s="529"/>
      <c r="O37" s="534">
        <f t="shared" si="5"/>
        <v>-3.1174571652793026E-2</v>
      </c>
      <c r="P37" s="535">
        <v>0</v>
      </c>
      <c r="Q37" s="536">
        <f t="shared" si="9"/>
        <v>-3.1174571652793026E-2</v>
      </c>
      <c r="R37" s="529"/>
      <c r="S37" s="544">
        <f t="shared" si="6"/>
        <v>229.6991458859363</v>
      </c>
      <c r="T37" s="529"/>
      <c r="U37" s="545">
        <f t="shared" si="7"/>
        <v>3.6740734670521746E-3</v>
      </c>
      <c r="V37" s="525"/>
      <c r="W37" s="546">
        <f t="shared" si="10"/>
        <v>230.54307742324036</v>
      </c>
    </row>
    <row r="38" spans="1:23" x14ac:dyDescent="0.25">
      <c r="A38" s="11"/>
      <c r="B38" s="88" t="s">
        <v>13</v>
      </c>
      <c r="C38" s="91" t="s">
        <v>165</v>
      </c>
      <c r="D38" s="540">
        <f>VLOOKUP(B38,Input_Rad!$E$14:$I$59,2,FALSE)</f>
        <v>1621</v>
      </c>
      <c r="E38" s="541">
        <f>VLOOKUP(B38,Input_Rad!$E$14:$I$59,3,FALSE)</f>
        <v>593910.25507195597</v>
      </c>
      <c r="F38" s="542">
        <f t="shared" si="11"/>
        <v>366.38510491792471</v>
      </c>
      <c r="G38" s="525"/>
      <c r="H38" s="543" t="s">
        <v>256</v>
      </c>
      <c r="I38" s="542">
        <f t="shared" si="1"/>
        <v>366.38510491792471</v>
      </c>
      <c r="J38" s="525"/>
      <c r="K38" s="540">
        <f t="shared" si="2"/>
        <v>593910.25507195597</v>
      </c>
      <c r="L38" s="541">
        <f t="shared" si="12"/>
        <v>597239.30070526153</v>
      </c>
      <c r="M38" s="542">
        <f t="shared" si="4"/>
        <v>368.43880364297439</v>
      </c>
      <c r="N38" s="529"/>
      <c r="O38" s="534">
        <f t="shared" si="5"/>
        <v>-3.1174571652793026E-2</v>
      </c>
      <c r="P38" s="535">
        <v>0</v>
      </c>
      <c r="Q38" s="536">
        <f t="shared" si="9"/>
        <v>-3.1174571652793026E-2</v>
      </c>
      <c r="R38" s="529"/>
      <c r="S38" s="544">
        <f t="shared" si="6"/>
        <v>356.95288175913714</v>
      </c>
      <c r="T38" s="529"/>
      <c r="U38" s="545">
        <f t="shared" si="7"/>
        <v>3.6740734670521746E-3</v>
      </c>
      <c r="V38" s="525"/>
      <c r="W38" s="546">
        <f t="shared" si="10"/>
        <v>358.26435287099622</v>
      </c>
    </row>
    <row r="39" spans="1:23" x14ac:dyDescent="0.25">
      <c r="A39" s="11"/>
      <c r="B39" s="88" t="s">
        <v>48</v>
      </c>
      <c r="C39" s="91" t="s">
        <v>166</v>
      </c>
      <c r="D39" s="540">
        <f>VLOOKUP(B39,Input_Rad!$E$14:$I$59,2,FALSE)</f>
        <v>47911</v>
      </c>
      <c r="E39" s="541">
        <f>VLOOKUP(B39,Input_Rad!$E$14:$I$59,3,FALSE)</f>
        <v>35751749.711712502</v>
      </c>
      <c r="F39" s="542">
        <f t="shared" si="11"/>
        <v>746.21171989130892</v>
      </c>
      <c r="G39" s="525"/>
      <c r="H39" s="543" t="s">
        <v>256</v>
      </c>
      <c r="I39" s="542">
        <f t="shared" si="1"/>
        <v>746.21171989130892</v>
      </c>
      <c r="J39" s="525"/>
      <c r="K39" s="540">
        <f t="shared" si="2"/>
        <v>35751749.711712502</v>
      </c>
      <c r="L39" s="541">
        <f t="shared" si="12"/>
        <v>35952149.023299381</v>
      </c>
      <c r="M39" s="542">
        <f t="shared" si="4"/>
        <v>750.39446104859803</v>
      </c>
      <c r="N39" s="529"/>
      <c r="O39" s="534">
        <f t="shared" si="5"/>
        <v>-3.1174571652793026E-2</v>
      </c>
      <c r="P39" s="535">
        <v>0</v>
      </c>
      <c r="Q39" s="536">
        <f t="shared" si="9"/>
        <v>-3.1174571652793026E-2</v>
      </c>
      <c r="R39" s="529"/>
      <c r="S39" s="544">
        <f t="shared" si="6"/>
        <v>727.00123515477947</v>
      </c>
      <c r="T39" s="529"/>
      <c r="U39" s="545">
        <f t="shared" si="7"/>
        <v>3.6740734670521746E-3</v>
      </c>
      <c r="V39" s="525"/>
      <c r="W39" s="546">
        <f t="shared" si="10"/>
        <v>729.67229110337576</v>
      </c>
    </row>
    <row r="40" spans="1:23" x14ac:dyDescent="0.25">
      <c r="A40" s="11"/>
      <c r="B40" s="88" t="s">
        <v>49</v>
      </c>
      <c r="C40" s="91" t="s">
        <v>167</v>
      </c>
      <c r="D40" s="540">
        <f>VLOOKUP(B40,Input_Rad!$E$14:$I$59,2,FALSE)</f>
        <v>9176</v>
      </c>
      <c r="E40" s="541">
        <f>VLOOKUP(B40,Input_Rad!$E$14:$I$59,3,FALSE)</f>
        <v>8094319.4756601499</v>
      </c>
      <c r="F40" s="542">
        <f t="shared" si="11"/>
        <v>882.11851304055688</v>
      </c>
      <c r="G40" s="525"/>
      <c r="H40" s="543" t="s">
        <v>256</v>
      </c>
      <c r="I40" s="542">
        <f t="shared" si="1"/>
        <v>882.11851304055688</v>
      </c>
      <c r="J40" s="525"/>
      <c r="K40" s="540">
        <f t="shared" si="2"/>
        <v>8094319.4756601499</v>
      </c>
      <c r="L40" s="541">
        <f t="shared" si="12"/>
        <v>8139690.5711664259</v>
      </c>
      <c r="M40" s="542">
        <f t="shared" si="4"/>
        <v>887.06305265545177</v>
      </c>
      <c r="N40" s="529"/>
      <c r="O40" s="534">
        <f t="shared" si="5"/>
        <v>-3.1174571652793026E-2</v>
      </c>
      <c r="P40" s="535">
        <v>0</v>
      </c>
      <c r="Q40" s="536">
        <f t="shared" si="9"/>
        <v>-3.1174571652793026E-2</v>
      </c>
      <c r="R40" s="529"/>
      <c r="S40" s="544">
        <f t="shared" si="6"/>
        <v>859.40924195989908</v>
      </c>
      <c r="T40" s="529"/>
      <c r="U40" s="545">
        <f t="shared" si="7"/>
        <v>3.6740734670521746E-3</v>
      </c>
      <c r="V40" s="525"/>
      <c r="W40" s="546">
        <f t="shared" si="10"/>
        <v>862.56677465312339</v>
      </c>
    </row>
    <row r="41" spans="1:23" ht="15.75" thickBot="1" x14ac:dyDescent="0.3">
      <c r="A41" s="11"/>
      <c r="B41" s="89" t="s">
        <v>51</v>
      </c>
      <c r="C41" s="92" t="s">
        <v>168</v>
      </c>
      <c r="D41" s="547">
        <f>VLOOKUP(B41,Input_Rad!$E$14:$I$59,2,FALSE)</f>
        <v>546</v>
      </c>
      <c r="E41" s="548">
        <f>VLOOKUP(B41,Input_Rad!$E$14:$I$59,3,FALSE)</f>
        <v>512577.38041980303</v>
      </c>
      <c r="F41" s="549">
        <f t="shared" si="11"/>
        <v>938.78641102528024</v>
      </c>
      <c r="G41" s="525"/>
      <c r="H41" s="550" t="s">
        <v>264</v>
      </c>
      <c r="I41" s="549">
        <f t="shared" si="1"/>
        <v>0</v>
      </c>
      <c r="J41" s="525"/>
      <c r="K41" s="547">
        <f t="shared" si="2"/>
        <v>0</v>
      </c>
      <c r="L41" s="548">
        <f t="shared" si="12"/>
        <v>0</v>
      </c>
      <c r="M41" s="549">
        <f t="shared" si="4"/>
        <v>0</v>
      </c>
      <c r="N41" s="529"/>
      <c r="O41" s="551">
        <f t="shared" si="5"/>
        <v>-3.1174571652793026E-2</v>
      </c>
      <c r="P41" s="561">
        <v>0</v>
      </c>
      <c r="Q41" s="562">
        <f t="shared" si="9"/>
        <v>-3.1174571652793026E-2</v>
      </c>
      <c r="R41" s="529"/>
      <c r="S41" s="554">
        <f t="shared" si="6"/>
        <v>0</v>
      </c>
      <c r="T41" s="529"/>
      <c r="U41" s="555">
        <f t="shared" si="7"/>
        <v>3.6740734670521746E-3</v>
      </c>
      <c r="V41" s="525"/>
      <c r="W41" s="556">
        <f t="shared" si="10"/>
        <v>0</v>
      </c>
    </row>
    <row r="42" spans="1:23" s="14" customFormat="1" ht="6" customHeight="1" x14ac:dyDescent="0.25">
      <c r="B42" s="320"/>
      <c r="C42" s="321"/>
      <c r="D42" s="563"/>
      <c r="E42" s="563"/>
      <c r="F42" s="564"/>
      <c r="G42" s="565"/>
      <c r="H42" s="566"/>
      <c r="I42" s="566"/>
      <c r="J42" s="567"/>
      <c r="K42" s="566"/>
      <c r="L42" s="566"/>
      <c r="M42" s="566"/>
      <c r="N42" s="567"/>
      <c r="O42" s="568"/>
      <c r="P42" s="569"/>
      <c r="Q42" s="569"/>
      <c r="R42" s="567"/>
      <c r="S42" s="567"/>
      <c r="T42" s="567"/>
      <c r="U42" s="567"/>
      <c r="V42" s="567"/>
      <c r="W42" s="570"/>
    </row>
    <row r="43" spans="1:23" s="322" customFormat="1" ht="12.75" x14ac:dyDescent="0.2">
      <c r="A43" s="55"/>
      <c r="B43" s="89" t="s">
        <v>40</v>
      </c>
      <c r="C43" s="305" t="s">
        <v>785</v>
      </c>
      <c r="D43" s="571">
        <f>VLOOKUP(B43,Input_Rad!$E$14:$I$59,2,FALSE)</f>
        <v>4265</v>
      </c>
      <c r="E43" s="572">
        <f>VLOOKUP(B43,Input_Rad!$E$14:$I$59,3,FALSE)</f>
        <v>2775439.2863749601</v>
      </c>
      <c r="F43" s="573"/>
      <c r="G43" s="574"/>
      <c r="H43" s="574"/>
      <c r="I43" s="574"/>
      <c r="J43" s="574"/>
      <c r="K43" s="574"/>
      <c r="L43" s="574"/>
      <c r="M43" s="574"/>
      <c r="N43" s="574"/>
      <c r="O43" s="574"/>
      <c r="P43" s="574"/>
      <c r="Q43" s="574"/>
      <c r="R43" s="574"/>
      <c r="S43" s="574"/>
      <c r="T43" s="574"/>
      <c r="U43" s="574"/>
      <c r="V43" s="574"/>
      <c r="W43" s="574"/>
    </row>
    <row r="44" spans="1:23" s="322" customFormat="1" ht="12.75" x14ac:dyDescent="0.2">
      <c r="A44" s="55"/>
      <c r="B44" s="89" t="s">
        <v>41</v>
      </c>
      <c r="C44" s="92" t="s">
        <v>786</v>
      </c>
      <c r="D44" s="547">
        <f>VLOOKUP(B44,Input_Rad!$E$14:$I$59,2,FALSE)</f>
        <v>1815</v>
      </c>
      <c r="E44" s="575">
        <f>VLOOKUP(B44,Input_Rad!$E$14:$I$59,3,FALSE)</f>
        <v>1058042.05163046</v>
      </c>
      <c r="F44" s="573"/>
      <c r="G44" s="574"/>
      <c r="H44" s="574"/>
      <c r="I44" s="574"/>
      <c r="J44" s="574"/>
      <c r="K44" s="574"/>
      <c r="L44" s="574"/>
      <c r="M44" s="574"/>
      <c r="N44" s="574"/>
      <c r="O44" s="574"/>
      <c r="P44" s="574"/>
      <c r="Q44" s="574"/>
      <c r="R44" s="574"/>
      <c r="S44" s="574"/>
      <c r="T44" s="574"/>
      <c r="U44" s="574"/>
      <c r="V44" s="574"/>
      <c r="W44" s="574"/>
    </row>
    <row r="45" spans="1:23" s="322" customFormat="1" ht="12.75" x14ac:dyDescent="0.2">
      <c r="A45" s="55"/>
      <c r="B45" s="89" t="s">
        <v>42</v>
      </c>
      <c r="C45" s="92" t="s">
        <v>787</v>
      </c>
      <c r="D45" s="547">
        <f>VLOOKUP(B45,Input_Rad!$E$14:$I$59,2,FALSE)</f>
        <v>2752</v>
      </c>
      <c r="E45" s="575">
        <f>VLOOKUP(B45,Input_Rad!$E$14:$I$59,3,FALSE)</f>
        <v>4962958.1389497202</v>
      </c>
      <c r="F45" s="573"/>
      <c r="G45" s="574"/>
      <c r="H45" s="574"/>
      <c r="I45" s="574"/>
      <c r="J45" s="574"/>
      <c r="K45" s="574"/>
      <c r="L45" s="574"/>
      <c r="M45" s="574"/>
      <c r="N45" s="574"/>
      <c r="O45" s="574"/>
      <c r="P45" s="574"/>
      <c r="Q45" s="574"/>
      <c r="R45" s="574"/>
      <c r="S45" s="574"/>
      <c r="T45" s="574"/>
      <c r="U45" s="574"/>
      <c r="V45" s="574"/>
      <c r="W45" s="574"/>
    </row>
    <row r="46" spans="1:23" s="322" customFormat="1" ht="12.75" x14ac:dyDescent="0.2">
      <c r="A46" s="55"/>
      <c r="B46" s="89" t="s">
        <v>44</v>
      </c>
      <c r="C46" s="92" t="s">
        <v>350</v>
      </c>
      <c r="D46" s="547">
        <f>VLOOKUP(B46,Input_Rad!$E$14:$I$59,2,FALSE)</f>
        <v>600</v>
      </c>
      <c r="E46" s="575">
        <f>VLOOKUP(B46,Input_Rad!$E$14:$I$59,3,FALSE)</f>
        <v>833421.70987176802</v>
      </c>
      <c r="F46" s="573"/>
      <c r="G46" s="574"/>
      <c r="H46" s="574"/>
      <c r="I46" s="574"/>
      <c r="J46" s="574"/>
      <c r="K46" s="574"/>
      <c r="L46" s="574"/>
      <c r="M46" s="574"/>
      <c r="N46" s="574"/>
      <c r="O46" s="574"/>
      <c r="P46" s="574"/>
      <c r="Q46" s="574"/>
      <c r="R46" s="574"/>
      <c r="S46" s="574"/>
      <c r="T46" s="574"/>
      <c r="U46" s="574"/>
      <c r="V46" s="574"/>
      <c r="W46" s="574"/>
    </row>
    <row r="47" spans="1:23" s="322" customFormat="1" ht="12.75" x14ac:dyDescent="0.2">
      <c r="A47" s="55"/>
      <c r="B47" s="89" t="s">
        <v>50</v>
      </c>
      <c r="C47" s="92" t="s">
        <v>788</v>
      </c>
      <c r="D47" s="547">
        <f>VLOOKUP(B47,Input_Rad!$E$14:$I$59,2,FALSE)</f>
        <v>166</v>
      </c>
      <c r="E47" s="575">
        <f>VLOOKUP(B47,Input_Rad!$E$14:$I$59,3,FALSE)</f>
        <v>167235.796658509</v>
      </c>
      <c r="F47" s="573"/>
      <c r="G47" s="574"/>
      <c r="H47" s="574"/>
      <c r="I47" s="574"/>
      <c r="J47" s="574"/>
      <c r="K47" s="574"/>
      <c r="L47" s="574"/>
      <c r="M47" s="574"/>
      <c r="N47" s="574"/>
      <c r="O47" s="574"/>
      <c r="P47" s="574"/>
      <c r="Q47" s="574"/>
      <c r="R47" s="574"/>
      <c r="S47" s="574"/>
      <c r="T47" s="574"/>
      <c r="U47" s="574"/>
      <c r="V47" s="574"/>
      <c r="W47" s="574"/>
    </row>
    <row r="48" spans="1:23" s="322" customFormat="1" ht="12.75" x14ac:dyDescent="0.2">
      <c r="A48" s="55"/>
      <c r="B48" s="89" t="s">
        <v>52</v>
      </c>
      <c r="C48" s="92" t="s">
        <v>789</v>
      </c>
      <c r="D48" s="547">
        <f>VLOOKUP(B48,Input_Rad!$E$14:$I$59,2,FALSE)</f>
        <v>2753</v>
      </c>
      <c r="E48" s="575">
        <f>VLOOKUP(B48,Input_Rad!$E$14:$I$59,3,FALSE)</f>
        <v>2463848.2590908702</v>
      </c>
      <c r="F48" s="573"/>
      <c r="G48" s="574"/>
      <c r="H48" s="574"/>
      <c r="I48" s="574"/>
      <c r="J48" s="574"/>
      <c r="K48" s="574"/>
      <c r="L48" s="574"/>
      <c r="M48" s="574"/>
      <c r="N48" s="574"/>
      <c r="O48" s="574"/>
      <c r="P48" s="574"/>
      <c r="Q48" s="574"/>
      <c r="R48" s="574"/>
      <c r="S48" s="574"/>
      <c r="T48" s="574"/>
      <c r="U48" s="574"/>
      <c r="V48" s="574"/>
      <c r="W48" s="574"/>
    </row>
    <row r="49" spans="1:23" s="322" customFormat="1" ht="12.75" x14ac:dyDescent="0.2">
      <c r="A49" s="55"/>
      <c r="B49" s="89" t="s">
        <v>53</v>
      </c>
      <c r="C49" s="92" t="s">
        <v>790</v>
      </c>
      <c r="D49" s="547">
        <f>VLOOKUP(B49,Input_Rad!$E$14:$I$59,2,FALSE)</f>
        <v>1928</v>
      </c>
      <c r="E49" s="575">
        <f>VLOOKUP(B49,Input_Rad!$E$14:$I$59,3,FALSE)</f>
        <v>2230659.1600946402</v>
      </c>
      <c r="F49" s="573"/>
      <c r="G49" s="574"/>
      <c r="H49" s="574"/>
      <c r="I49" s="574"/>
      <c r="J49" s="574"/>
      <c r="K49" s="574"/>
      <c r="L49" s="574"/>
      <c r="M49" s="574"/>
      <c r="N49" s="574"/>
      <c r="O49" s="574"/>
      <c r="P49" s="574"/>
      <c r="Q49" s="574"/>
      <c r="R49" s="574"/>
      <c r="S49" s="574"/>
      <c r="T49" s="574"/>
      <c r="U49" s="574"/>
      <c r="V49" s="574"/>
      <c r="W49" s="574"/>
    </row>
    <row r="50" spans="1:23" s="322" customFormat="1" ht="12.75" x14ac:dyDescent="0.2">
      <c r="A50" s="55"/>
      <c r="B50" s="89" t="s">
        <v>54</v>
      </c>
      <c r="C50" s="92" t="s">
        <v>791</v>
      </c>
      <c r="D50" s="547">
        <f>VLOOKUP(B50,Input_Rad!$E$14:$I$59,2,FALSE)</f>
        <v>181</v>
      </c>
      <c r="E50" s="575">
        <f>VLOOKUP(B50,Input_Rad!$E$14:$I$59,3,FALSE)</f>
        <v>193748.03442630201</v>
      </c>
      <c r="F50" s="573"/>
      <c r="G50" s="574"/>
      <c r="H50" s="574"/>
      <c r="I50" s="574"/>
      <c r="J50" s="574"/>
      <c r="K50" s="574"/>
      <c r="L50" s="574"/>
      <c r="M50" s="574"/>
      <c r="N50" s="574"/>
      <c r="O50" s="574"/>
      <c r="P50" s="574"/>
      <c r="Q50" s="574"/>
      <c r="R50" s="574"/>
      <c r="S50" s="574"/>
      <c r="T50" s="574"/>
      <c r="U50" s="574"/>
      <c r="V50" s="574"/>
      <c r="W50" s="574"/>
    </row>
    <row r="51" spans="1:23" s="14" customFormat="1" x14ac:dyDescent="0.25">
      <c r="B51" s="565"/>
      <c r="C51" s="576" t="s">
        <v>455</v>
      </c>
      <c r="D51" s="577">
        <f>SUM(D21:D50)</f>
        <v>1973625</v>
      </c>
      <c r="E51" s="577">
        <f>SUM(E21:E50)</f>
        <v>338505506.10693288</v>
      </c>
      <c r="F51" s="565"/>
      <c r="G51" s="565"/>
      <c r="H51" s="565"/>
      <c r="I51" s="565"/>
      <c r="J51" s="565"/>
      <c r="K51" s="565"/>
      <c r="L51" s="565"/>
      <c r="M51" s="565"/>
      <c r="N51" s="565"/>
      <c r="O51" s="565"/>
      <c r="P51" s="565"/>
      <c r="Q51" s="565"/>
      <c r="R51" s="565"/>
      <c r="S51" s="565"/>
      <c r="T51" s="565"/>
      <c r="U51" s="565"/>
      <c r="V51" s="565"/>
      <c r="W51" s="565"/>
    </row>
    <row r="52" spans="1:23" s="14" customFormat="1" x14ac:dyDescent="0.25">
      <c r="B52" s="578" t="s">
        <v>80</v>
      </c>
      <c r="C52" s="565"/>
      <c r="D52" s="565"/>
      <c r="E52" s="565"/>
      <c r="F52" s="565"/>
      <c r="G52" s="565"/>
      <c r="H52" s="565"/>
      <c r="I52" s="565"/>
      <c r="J52" s="565"/>
      <c r="K52" s="565"/>
      <c r="L52" s="565"/>
      <c r="M52" s="565"/>
      <c r="N52" s="565"/>
      <c r="O52" s="565"/>
      <c r="P52" s="565"/>
      <c r="Q52" s="565"/>
      <c r="R52" s="565"/>
      <c r="S52" s="565"/>
      <c r="T52" s="565"/>
      <c r="U52" s="565"/>
      <c r="V52" s="565"/>
      <c r="W52" s="565"/>
    </row>
    <row r="53" spans="1:23" s="14" customFormat="1" x14ac:dyDescent="0.25">
      <c r="B53" s="579" t="s">
        <v>81</v>
      </c>
      <c r="C53" s="565"/>
      <c r="D53" s="565"/>
      <c r="E53" s="565"/>
      <c r="F53" s="565"/>
      <c r="G53" s="565"/>
      <c r="H53" s="565"/>
      <c r="I53" s="565"/>
      <c r="J53" s="565"/>
      <c r="K53" s="565"/>
      <c r="L53" s="565"/>
      <c r="M53" s="565"/>
      <c r="N53" s="565"/>
      <c r="O53" s="565"/>
      <c r="P53" s="565"/>
      <c r="Q53" s="565"/>
      <c r="R53" s="565"/>
      <c r="S53" s="565"/>
      <c r="T53" s="565"/>
      <c r="U53" s="565"/>
      <c r="V53" s="565"/>
      <c r="W53" s="565"/>
    </row>
    <row r="54" spans="1:23" s="14" customFormat="1" x14ac:dyDescent="0.25">
      <c r="B54" s="579" t="s">
        <v>82</v>
      </c>
      <c r="C54" s="565"/>
      <c r="D54" s="565"/>
      <c r="E54" s="565"/>
      <c r="F54" s="565"/>
      <c r="G54" s="565"/>
      <c r="H54" s="565"/>
      <c r="I54" s="565"/>
      <c r="J54" s="565"/>
      <c r="K54" s="565"/>
      <c r="L54" s="565"/>
      <c r="M54" s="565"/>
      <c r="N54" s="565"/>
      <c r="O54" s="565"/>
      <c r="P54" s="565"/>
      <c r="Q54" s="565"/>
      <c r="R54" s="565"/>
      <c r="S54" s="565"/>
      <c r="T54" s="565"/>
      <c r="U54" s="565"/>
      <c r="V54" s="565"/>
      <c r="W54" s="565"/>
    </row>
    <row r="55" spans="1:23" s="14" customFormat="1" x14ac:dyDescent="0.25">
      <c r="B55" s="579" t="s">
        <v>83</v>
      </c>
      <c r="C55" s="565"/>
      <c r="D55" s="565"/>
      <c r="E55" s="565"/>
      <c r="F55" s="565"/>
      <c r="G55" s="565"/>
      <c r="H55" s="565"/>
      <c r="I55" s="565"/>
      <c r="J55" s="565"/>
      <c r="K55" s="565"/>
      <c r="L55" s="565"/>
      <c r="M55" s="565"/>
      <c r="N55" s="565"/>
      <c r="O55" s="565"/>
      <c r="P55" s="565"/>
      <c r="Q55" s="565"/>
      <c r="R55" s="565"/>
      <c r="S55" s="565"/>
      <c r="T55" s="565"/>
      <c r="U55" s="565"/>
      <c r="V55" s="565"/>
      <c r="W55" s="565"/>
    </row>
    <row r="56" spans="1:23" s="14" customFormat="1" x14ac:dyDescent="0.25">
      <c r="B56" s="565"/>
      <c r="C56" s="565"/>
      <c r="D56" s="565"/>
      <c r="E56" s="565"/>
      <c r="F56" s="565"/>
      <c r="G56" s="565"/>
      <c r="H56" s="565"/>
      <c r="I56" s="565"/>
      <c r="J56" s="565"/>
      <c r="K56" s="565"/>
      <c r="L56" s="565"/>
      <c r="M56" s="565"/>
      <c r="N56" s="565"/>
      <c r="O56" s="565"/>
      <c r="P56" s="565"/>
      <c r="Q56" s="565"/>
      <c r="R56" s="565"/>
      <c r="S56" s="565"/>
      <c r="T56" s="565"/>
      <c r="U56" s="565"/>
      <c r="V56" s="565"/>
      <c r="W56" s="565"/>
    </row>
    <row r="57" spans="1:23" s="14" customFormat="1" x14ac:dyDescent="0.25">
      <c r="B57" s="565"/>
      <c r="C57" s="565"/>
      <c r="D57" s="565"/>
      <c r="E57" s="565"/>
      <c r="F57" s="565"/>
      <c r="G57" s="565"/>
      <c r="H57" s="565"/>
      <c r="I57" s="565"/>
      <c r="J57" s="565"/>
      <c r="K57" s="565"/>
      <c r="L57" s="565"/>
      <c r="M57" s="565"/>
      <c r="N57" s="565"/>
      <c r="O57" s="565"/>
      <c r="P57" s="565"/>
      <c r="Q57" s="565"/>
      <c r="R57" s="565"/>
      <c r="S57" s="565"/>
      <c r="T57" s="565"/>
      <c r="U57" s="565"/>
      <c r="V57" s="565"/>
      <c r="W57" s="565"/>
    </row>
    <row r="58" spans="1:23" s="14" customFormat="1" x14ac:dyDescent="0.25">
      <c r="B58" s="565"/>
      <c r="C58" s="565"/>
      <c r="D58" s="565"/>
      <c r="E58" s="565"/>
      <c r="F58" s="565"/>
      <c r="G58" s="565"/>
      <c r="H58" s="565"/>
      <c r="I58" s="565"/>
      <c r="J58" s="565"/>
      <c r="K58" s="565"/>
      <c r="L58" s="565"/>
      <c r="M58" s="565"/>
      <c r="N58" s="565"/>
      <c r="O58" s="565"/>
      <c r="P58" s="565"/>
      <c r="Q58" s="565"/>
      <c r="R58" s="565"/>
      <c r="S58" s="565"/>
      <c r="T58" s="565"/>
      <c r="U58" s="565"/>
      <c r="V58" s="565"/>
      <c r="W58" s="565"/>
    </row>
    <row r="59" spans="1:23" s="14" customFormat="1" x14ac:dyDescent="0.25">
      <c r="B59" s="565"/>
      <c r="C59" s="565"/>
      <c r="D59" s="565"/>
      <c r="E59" s="565"/>
      <c r="F59" s="565"/>
      <c r="G59" s="565"/>
      <c r="H59" s="565"/>
      <c r="I59" s="565"/>
      <c r="J59" s="565"/>
      <c r="K59" s="565"/>
      <c r="L59" s="565"/>
      <c r="M59" s="565"/>
      <c r="N59" s="565"/>
      <c r="O59" s="565"/>
      <c r="P59" s="565"/>
      <c r="Q59" s="565"/>
      <c r="R59" s="565"/>
      <c r="S59" s="565"/>
      <c r="T59" s="565"/>
      <c r="U59" s="565"/>
      <c r="V59" s="565"/>
      <c r="W59" s="565"/>
    </row>
  </sheetData>
  <dataConsolidate/>
  <mergeCells count="4">
    <mergeCell ref="O19:Q19"/>
    <mergeCell ref="D19:E19"/>
    <mergeCell ref="H19:I19"/>
    <mergeCell ref="K19:M19"/>
  </mergeCells>
  <conditionalFormatting sqref="B28:C41 B21:B27 C22:C27">
    <cfRule type="expression" dxfId="3" priority="10">
      <formula>NOT(#REF!)</formula>
    </cfRule>
  </conditionalFormatting>
  <conditionalFormatting sqref="B43:C50">
    <cfRule type="expression" dxfId="2" priority="1">
      <formula>NOT(#REF!)</formula>
    </cfRule>
  </conditionalFormatting>
  <hyperlinks>
    <hyperlink ref="B1" location="Navigation!A1" display="Home"/>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sheetPr>
  <dimension ref="A1:T23"/>
  <sheetViews>
    <sheetView zoomScaleNormal="100" workbookViewId="0"/>
  </sheetViews>
  <sheetFormatPr defaultRowHeight="15" x14ac:dyDescent="0.25"/>
  <cols>
    <col min="1" max="1" width="1.140625" style="149" customWidth="1"/>
    <col min="2" max="2" width="11.85546875" style="149" customWidth="1"/>
    <col min="3" max="3" width="65.140625" style="149" bestFit="1" customWidth="1"/>
    <col min="4" max="5" width="13.42578125" style="149" customWidth="1"/>
    <col min="6" max="6" width="1.140625" style="149" customWidth="1"/>
    <col min="7" max="7" width="10" style="149" customWidth="1"/>
    <col min="8" max="9" width="7.85546875" style="149" bestFit="1" customWidth="1"/>
    <col min="10" max="10" width="10.5703125" style="149" bestFit="1" customWidth="1"/>
    <col min="11" max="11" width="1.140625" style="149" customWidth="1"/>
    <col min="12" max="12" width="17.42578125" style="149" customWidth="1"/>
    <col min="13" max="13" width="11.5703125" style="149" customWidth="1"/>
    <col min="14" max="14" width="10.28515625" style="149" customWidth="1"/>
    <col min="15" max="15" width="1" style="149" customWidth="1"/>
    <col min="16" max="16" width="10.28515625" style="149" customWidth="1"/>
    <col min="17" max="17" width="1.140625" style="14" customWidth="1"/>
    <col min="18" max="18" width="10.28515625" style="149" bestFit="1" customWidth="1"/>
    <col min="19" max="19" width="1.140625" style="149" customWidth="1"/>
    <col min="20" max="20" width="9.5703125" style="149" customWidth="1"/>
    <col min="21" max="237" width="9.140625" style="149"/>
    <col min="238" max="238" width="10.5703125" style="149" bestFit="1" customWidth="1"/>
    <col min="239" max="239" width="9" style="149" bestFit="1" customWidth="1"/>
    <col min="240" max="240" width="42.140625" style="149" customWidth="1"/>
    <col min="241" max="241" width="10.42578125" style="149" customWidth="1"/>
    <col min="242" max="242" width="12.140625" style="149" customWidth="1"/>
    <col min="243" max="243" width="7.140625" style="149" bestFit="1" customWidth="1"/>
    <col min="244" max="244" width="3.5703125" style="149" customWidth="1"/>
    <col min="245" max="245" width="9.140625" style="149"/>
    <col min="246" max="246" width="10.140625" style="149" bestFit="1" customWidth="1"/>
    <col min="247" max="247" width="10.42578125" style="149" customWidth="1"/>
    <col min="248" max="248" width="10.140625" style="149" bestFit="1" customWidth="1"/>
    <col min="249" max="249" width="12.140625" style="149" customWidth="1"/>
    <col min="250" max="250" width="12" style="149" customWidth="1"/>
    <col min="251" max="252" width="10.42578125" style="149" customWidth="1"/>
    <col min="253" max="493" width="9.140625" style="149"/>
    <col min="494" max="494" width="10.5703125" style="149" bestFit="1" customWidth="1"/>
    <col min="495" max="495" width="9" style="149" bestFit="1" customWidth="1"/>
    <col min="496" max="496" width="42.140625" style="149" customWidth="1"/>
    <col min="497" max="497" width="10.42578125" style="149" customWidth="1"/>
    <col min="498" max="498" width="12.140625" style="149" customWidth="1"/>
    <col min="499" max="499" width="7.140625" style="149" bestFit="1" customWidth="1"/>
    <col min="500" max="500" width="3.5703125" style="149" customWidth="1"/>
    <col min="501" max="501" width="9.140625" style="149"/>
    <col min="502" max="502" width="10.140625" style="149" bestFit="1" customWidth="1"/>
    <col min="503" max="503" width="10.42578125" style="149" customWidth="1"/>
    <col min="504" max="504" width="10.140625" style="149" bestFit="1" customWidth="1"/>
    <col min="505" max="505" width="12.140625" style="149" customWidth="1"/>
    <col min="506" max="506" width="12" style="149" customWidth="1"/>
    <col min="507" max="508" width="10.42578125" style="149" customWidth="1"/>
    <col min="509" max="749" width="9.140625" style="149"/>
    <col min="750" max="750" width="10.5703125" style="149" bestFit="1" customWidth="1"/>
    <col min="751" max="751" width="9" style="149" bestFit="1" customWidth="1"/>
    <col min="752" max="752" width="42.140625" style="149" customWidth="1"/>
    <col min="753" max="753" width="10.42578125" style="149" customWidth="1"/>
    <col min="754" max="754" width="12.140625" style="149" customWidth="1"/>
    <col min="755" max="755" width="7.140625" style="149" bestFit="1" customWidth="1"/>
    <col min="756" max="756" width="3.5703125" style="149" customWidth="1"/>
    <col min="757" max="757" width="9.140625" style="149"/>
    <col min="758" max="758" width="10.140625" style="149" bestFit="1" customWidth="1"/>
    <col min="759" max="759" width="10.42578125" style="149" customWidth="1"/>
    <col min="760" max="760" width="10.140625" style="149" bestFit="1" customWidth="1"/>
    <col min="761" max="761" width="12.140625" style="149" customWidth="1"/>
    <col min="762" max="762" width="12" style="149" customWidth="1"/>
    <col min="763" max="764" width="10.42578125" style="149" customWidth="1"/>
    <col min="765" max="1005" width="9.140625" style="149"/>
    <col min="1006" max="1006" width="10.5703125" style="149" bestFit="1" customWidth="1"/>
    <col min="1007" max="1007" width="9" style="149" bestFit="1" customWidth="1"/>
    <col min="1008" max="1008" width="42.140625" style="149" customWidth="1"/>
    <col min="1009" max="1009" width="10.42578125" style="149" customWidth="1"/>
    <col min="1010" max="1010" width="12.140625" style="149" customWidth="1"/>
    <col min="1011" max="1011" width="7.140625" style="149" bestFit="1" customWidth="1"/>
    <col min="1012" max="1012" width="3.5703125" style="149" customWidth="1"/>
    <col min="1013" max="1013" width="9.140625" style="149"/>
    <col min="1014" max="1014" width="10.140625" style="149" bestFit="1" customWidth="1"/>
    <col min="1015" max="1015" width="10.42578125" style="149" customWidth="1"/>
    <col min="1016" max="1016" width="10.140625" style="149" bestFit="1" customWidth="1"/>
    <col min="1017" max="1017" width="12.140625" style="149" customWidth="1"/>
    <col min="1018" max="1018" width="12" style="149" customWidth="1"/>
    <col min="1019" max="1020" width="10.42578125" style="149" customWidth="1"/>
    <col min="1021" max="1261" width="9.140625" style="149"/>
    <col min="1262" max="1262" width="10.5703125" style="149" bestFit="1" customWidth="1"/>
    <col min="1263" max="1263" width="9" style="149" bestFit="1" customWidth="1"/>
    <col min="1264" max="1264" width="42.140625" style="149" customWidth="1"/>
    <col min="1265" max="1265" width="10.42578125" style="149" customWidth="1"/>
    <col min="1266" max="1266" width="12.140625" style="149" customWidth="1"/>
    <col min="1267" max="1267" width="7.140625" style="149" bestFit="1" customWidth="1"/>
    <col min="1268" max="1268" width="3.5703125" style="149" customWidth="1"/>
    <col min="1269" max="1269" width="9.140625" style="149"/>
    <col min="1270" max="1270" width="10.140625" style="149" bestFit="1" customWidth="1"/>
    <col min="1271" max="1271" width="10.42578125" style="149" customWidth="1"/>
    <col min="1272" max="1272" width="10.140625" style="149" bestFit="1" customWidth="1"/>
    <col min="1273" max="1273" width="12.140625" style="149" customWidth="1"/>
    <col min="1274" max="1274" width="12" style="149" customWidth="1"/>
    <col min="1275" max="1276" width="10.42578125" style="149" customWidth="1"/>
    <col min="1277" max="1517" width="9.140625" style="149"/>
    <col min="1518" max="1518" width="10.5703125" style="149" bestFit="1" customWidth="1"/>
    <col min="1519" max="1519" width="9" style="149" bestFit="1" customWidth="1"/>
    <col min="1520" max="1520" width="42.140625" style="149" customWidth="1"/>
    <col min="1521" max="1521" width="10.42578125" style="149" customWidth="1"/>
    <col min="1522" max="1522" width="12.140625" style="149" customWidth="1"/>
    <col min="1523" max="1523" width="7.140625" style="149" bestFit="1" customWidth="1"/>
    <col min="1524" max="1524" width="3.5703125" style="149" customWidth="1"/>
    <col min="1525" max="1525" width="9.140625" style="149"/>
    <col min="1526" max="1526" width="10.140625" style="149" bestFit="1" customWidth="1"/>
    <col min="1527" max="1527" width="10.42578125" style="149" customWidth="1"/>
    <col min="1528" max="1528" width="10.140625" style="149" bestFit="1" customWidth="1"/>
    <col min="1529" max="1529" width="12.140625" style="149" customWidth="1"/>
    <col min="1530" max="1530" width="12" style="149" customWidth="1"/>
    <col min="1531" max="1532" width="10.42578125" style="149" customWidth="1"/>
    <col min="1533" max="1773" width="9.140625" style="149"/>
    <col min="1774" max="1774" width="10.5703125" style="149" bestFit="1" customWidth="1"/>
    <col min="1775" max="1775" width="9" style="149" bestFit="1" customWidth="1"/>
    <col min="1776" max="1776" width="42.140625" style="149" customWidth="1"/>
    <col min="1777" max="1777" width="10.42578125" style="149" customWidth="1"/>
    <col min="1778" max="1778" width="12.140625" style="149" customWidth="1"/>
    <col min="1779" max="1779" width="7.140625" style="149" bestFit="1" customWidth="1"/>
    <col min="1780" max="1780" width="3.5703125" style="149" customWidth="1"/>
    <col min="1781" max="1781" width="9.140625" style="149"/>
    <col min="1782" max="1782" width="10.140625" style="149" bestFit="1" customWidth="1"/>
    <col min="1783" max="1783" width="10.42578125" style="149" customWidth="1"/>
    <col min="1784" max="1784" width="10.140625" style="149" bestFit="1" customWidth="1"/>
    <col min="1785" max="1785" width="12.140625" style="149" customWidth="1"/>
    <col min="1786" max="1786" width="12" style="149" customWidth="1"/>
    <col min="1787" max="1788" width="10.42578125" style="149" customWidth="1"/>
    <col min="1789" max="2029" width="9.140625" style="149"/>
    <col min="2030" max="2030" width="10.5703125" style="149" bestFit="1" customWidth="1"/>
    <col min="2031" max="2031" width="9" style="149" bestFit="1" customWidth="1"/>
    <col min="2032" max="2032" width="42.140625" style="149" customWidth="1"/>
    <col min="2033" max="2033" width="10.42578125" style="149" customWidth="1"/>
    <col min="2034" max="2034" width="12.140625" style="149" customWidth="1"/>
    <col min="2035" max="2035" width="7.140625" style="149" bestFit="1" customWidth="1"/>
    <col min="2036" max="2036" width="3.5703125" style="149" customWidth="1"/>
    <col min="2037" max="2037" width="9.140625" style="149"/>
    <col min="2038" max="2038" width="10.140625" style="149" bestFit="1" customWidth="1"/>
    <col min="2039" max="2039" width="10.42578125" style="149" customWidth="1"/>
    <col min="2040" max="2040" width="10.140625" style="149" bestFit="1" customWidth="1"/>
    <col min="2041" max="2041" width="12.140625" style="149" customWidth="1"/>
    <col min="2042" max="2042" width="12" style="149" customWidth="1"/>
    <col min="2043" max="2044" width="10.42578125" style="149" customWidth="1"/>
    <col min="2045" max="2285" width="9.140625" style="149"/>
    <col min="2286" max="2286" width="10.5703125" style="149" bestFit="1" customWidth="1"/>
    <col min="2287" max="2287" width="9" style="149" bestFit="1" customWidth="1"/>
    <col min="2288" max="2288" width="42.140625" style="149" customWidth="1"/>
    <col min="2289" max="2289" width="10.42578125" style="149" customWidth="1"/>
    <col min="2290" max="2290" width="12.140625" style="149" customWidth="1"/>
    <col min="2291" max="2291" width="7.140625" style="149" bestFit="1" customWidth="1"/>
    <col min="2292" max="2292" width="3.5703125" style="149" customWidth="1"/>
    <col min="2293" max="2293" width="9.140625" style="149"/>
    <col min="2294" max="2294" width="10.140625" style="149" bestFit="1" customWidth="1"/>
    <col min="2295" max="2295" width="10.42578125" style="149" customWidth="1"/>
    <col min="2296" max="2296" width="10.140625" style="149" bestFit="1" customWidth="1"/>
    <col min="2297" max="2297" width="12.140625" style="149" customWidth="1"/>
    <col min="2298" max="2298" width="12" style="149" customWidth="1"/>
    <col min="2299" max="2300" width="10.42578125" style="149" customWidth="1"/>
    <col min="2301" max="2541" width="9.140625" style="149"/>
    <col min="2542" max="2542" width="10.5703125" style="149" bestFit="1" customWidth="1"/>
    <col min="2543" max="2543" width="9" style="149" bestFit="1" customWidth="1"/>
    <col min="2544" max="2544" width="42.140625" style="149" customWidth="1"/>
    <col min="2545" max="2545" width="10.42578125" style="149" customWidth="1"/>
    <col min="2546" max="2546" width="12.140625" style="149" customWidth="1"/>
    <col min="2547" max="2547" width="7.140625" style="149" bestFit="1" customWidth="1"/>
    <col min="2548" max="2548" width="3.5703125" style="149" customWidth="1"/>
    <col min="2549" max="2549" width="9.140625" style="149"/>
    <col min="2550" max="2550" width="10.140625" style="149" bestFit="1" customWidth="1"/>
    <col min="2551" max="2551" width="10.42578125" style="149" customWidth="1"/>
    <col min="2552" max="2552" width="10.140625" style="149" bestFit="1" customWidth="1"/>
    <col min="2553" max="2553" width="12.140625" style="149" customWidth="1"/>
    <col min="2554" max="2554" width="12" style="149" customWidth="1"/>
    <col min="2555" max="2556" width="10.42578125" style="149" customWidth="1"/>
    <col min="2557" max="2797" width="9.140625" style="149"/>
    <col min="2798" max="2798" width="10.5703125" style="149" bestFit="1" customWidth="1"/>
    <col min="2799" max="2799" width="9" style="149" bestFit="1" customWidth="1"/>
    <col min="2800" max="2800" width="42.140625" style="149" customWidth="1"/>
    <col min="2801" max="2801" width="10.42578125" style="149" customWidth="1"/>
    <col min="2802" max="2802" width="12.140625" style="149" customWidth="1"/>
    <col min="2803" max="2803" width="7.140625" style="149" bestFit="1" customWidth="1"/>
    <col min="2804" max="2804" width="3.5703125" style="149" customWidth="1"/>
    <col min="2805" max="2805" width="9.140625" style="149"/>
    <col min="2806" max="2806" width="10.140625" style="149" bestFit="1" customWidth="1"/>
    <col min="2807" max="2807" width="10.42578125" style="149" customWidth="1"/>
    <col min="2808" max="2808" width="10.140625" style="149" bestFit="1" customWidth="1"/>
    <col min="2809" max="2809" width="12.140625" style="149" customWidth="1"/>
    <col min="2810" max="2810" width="12" style="149" customWidth="1"/>
    <col min="2811" max="2812" width="10.42578125" style="149" customWidth="1"/>
    <col min="2813" max="3053" width="9.140625" style="149"/>
    <col min="3054" max="3054" width="10.5703125" style="149" bestFit="1" customWidth="1"/>
    <col min="3055" max="3055" width="9" style="149" bestFit="1" customWidth="1"/>
    <col min="3056" max="3056" width="42.140625" style="149" customWidth="1"/>
    <col min="3057" max="3057" width="10.42578125" style="149" customWidth="1"/>
    <col min="3058" max="3058" width="12.140625" style="149" customWidth="1"/>
    <col min="3059" max="3059" width="7.140625" style="149" bestFit="1" customWidth="1"/>
    <col min="3060" max="3060" width="3.5703125" style="149" customWidth="1"/>
    <col min="3061" max="3061" width="9.140625" style="149"/>
    <col min="3062" max="3062" width="10.140625" style="149" bestFit="1" customWidth="1"/>
    <col min="3063" max="3063" width="10.42578125" style="149" customWidth="1"/>
    <col min="3064" max="3064" width="10.140625" style="149" bestFit="1" customWidth="1"/>
    <col min="3065" max="3065" width="12.140625" style="149" customWidth="1"/>
    <col min="3066" max="3066" width="12" style="149" customWidth="1"/>
    <col min="3067" max="3068" width="10.42578125" style="149" customWidth="1"/>
    <col min="3069" max="3309" width="9.140625" style="149"/>
    <col min="3310" max="3310" width="10.5703125" style="149" bestFit="1" customWidth="1"/>
    <col min="3311" max="3311" width="9" style="149" bestFit="1" customWidth="1"/>
    <col min="3312" max="3312" width="42.140625" style="149" customWidth="1"/>
    <col min="3313" max="3313" width="10.42578125" style="149" customWidth="1"/>
    <col min="3314" max="3314" width="12.140625" style="149" customWidth="1"/>
    <col min="3315" max="3315" width="7.140625" style="149" bestFit="1" customWidth="1"/>
    <col min="3316" max="3316" width="3.5703125" style="149" customWidth="1"/>
    <col min="3317" max="3317" width="9.140625" style="149"/>
    <col min="3318" max="3318" width="10.140625" style="149" bestFit="1" customWidth="1"/>
    <col min="3319" max="3319" width="10.42578125" style="149" customWidth="1"/>
    <col min="3320" max="3320" width="10.140625" style="149" bestFit="1" customWidth="1"/>
    <col min="3321" max="3321" width="12.140625" style="149" customWidth="1"/>
    <col min="3322" max="3322" width="12" style="149" customWidth="1"/>
    <col min="3323" max="3324" width="10.42578125" style="149" customWidth="1"/>
    <col min="3325" max="3565" width="9.140625" style="149"/>
    <col min="3566" max="3566" width="10.5703125" style="149" bestFit="1" customWidth="1"/>
    <col min="3567" max="3567" width="9" style="149" bestFit="1" customWidth="1"/>
    <col min="3568" max="3568" width="42.140625" style="149" customWidth="1"/>
    <col min="3569" max="3569" width="10.42578125" style="149" customWidth="1"/>
    <col min="3570" max="3570" width="12.140625" style="149" customWidth="1"/>
    <col min="3571" max="3571" width="7.140625" style="149" bestFit="1" customWidth="1"/>
    <col min="3572" max="3572" width="3.5703125" style="149" customWidth="1"/>
    <col min="3573" max="3573" width="9.140625" style="149"/>
    <col min="3574" max="3574" width="10.140625" style="149" bestFit="1" customWidth="1"/>
    <col min="3575" max="3575" width="10.42578125" style="149" customWidth="1"/>
    <col min="3576" max="3576" width="10.140625" style="149" bestFit="1" customWidth="1"/>
    <col min="3577" max="3577" width="12.140625" style="149" customWidth="1"/>
    <col min="3578" max="3578" width="12" style="149" customWidth="1"/>
    <col min="3579" max="3580" width="10.42578125" style="149" customWidth="1"/>
    <col min="3581" max="3821" width="9.140625" style="149"/>
    <col min="3822" max="3822" width="10.5703125" style="149" bestFit="1" customWidth="1"/>
    <col min="3823" max="3823" width="9" style="149" bestFit="1" customWidth="1"/>
    <col min="3824" max="3824" width="42.140625" style="149" customWidth="1"/>
    <col min="3825" max="3825" width="10.42578125" style="149" customWidth="1"/>
    <col min="3826" max="3826" width="12.140625" style="149" customWidth="1"/>
    <col min="3827" max="3827" width="7.140625" style="149" bestFit="1" customWidth="1"/>
    <col min="3828" max="3828" width="3.5703125" style="149" customWidth="1"/>
    <col min="3829" max="3829" width="9.140625" style="149"/>
    <col min="3830" max="3830" width="10.140625" style="149" bestFit="1" customWidth="1"/>
    <col min="3831" max="3831" width="10.42578125" style="149" customWidth="1"/>
    <col min="3832" max="3832" width="10.140625" style="149" bestFit="1" customWidth="1"/>
    <col min="3833" max="3833" width="12.140625" style="149" customWidth="1"/>
    <col min="3834" max="3834" width="12" style="149" customWidth="1"/>
    <col min="3835" max="3836" width="10.42578125" style="149" customWidth="1"/>
    <col min="3837" max="4077" width="9.140625" style="149"/>
    <col min="4078" max="4078" width="10.5703125" style="149" bestFit="1" customWidth="1"/>
    <col min="4079" max="4079" width="9" style="149" bestFit="1" customWidth="1"/>
    <col min="4080" max="4080" width="42.140625" style="149" customWidth="1"/>
    <col min="4081" max="4081" width="10.42578125" style="149" customWidth="1"/>
    <col min="4082" max="4082" width="12.140625" style="149" customWidth="1"/>
    <col min="4083" max="4083" width="7.140625" style="149" bestFit="1" customWidth="1"/>
    <col min="4084" max="4084" width="3.5703125" style="149" customWidth="1"/>
    <col min="4085" max="4085" width="9.140625" style="149"/>
    <col min="4086" max="4086" width="10.140625" style="149" bestFit="1" customWidth="1"/>
    <col min="4087" max="4087" width="10.42578125" style="149" customWidth="1"/>
    <col min="4088" max="4088" width="10.140625" style="149" bestFit="1" customWidth="1"/>
    <col min="4089" max="4089" width="12.140625" style="149" customWidth="1"/>
    <col min="4090" max="4090" width="12" style="149" customWidth="1"/>
    <col min="4091" max="4092" width="10.42578125" style="149" customWidth="1"/>
    <col min="4093" max="4333" width="9.140625" style="149"/>
    <col min="4334" max="4334" width="10.5703125" style="149" bestFit="1" customWidth="1"/>
    <col min="4335" max="4335" width="9" style="149" bestFit="1" customWidth="1"/>
    <col min="4336" max="4336" width="42.140625" style="149" customWidth="1"/>
    <col min="4337" max="4337" width="10.42578125" style="149" customWidth="1"/>
    <col min="4338" max="4338" width="12.140625" style="149" customWidth="1"/>
    <col min="4339" max="4339" width="7.140625" style="149" bestFit="1" customWidth="1"/>
    <col min="4340" max="4340" width="3.5703125" style="149" customWidth="1"/>
    <col min="4341" max="4341" width="9.140625" style="149"/>
    <col min="4342" max="4342" width="10.140625" style="149" bestFit="1" customWidth="1"/>
    <col min="4343" max="4343" width="10.42578125" style="149" customWidth="1"/>
    <col min="4344" max="4344" width="10.140625" style="149" bestFit="1" customWidth="1"/>
    <col min="4345" max="4345" width="12.140625" style="149" customWidth="1"/>
    <col min="4346" max="4346" width="12" style="149" customWidth="1"/>
    <col min="4347" max="4348" width="10.42578125" style="149" customWidth="1"/>
    <col min="4349" max="4589" width="9.140625" style="149"/>
    <col min="4590" max="4590" width="10.5703125" style="149" bestFit="1" customWidth="1"/>
    <col min="4591" max="4591" width="9" style="149" bestFit="1" customWidth="1"/>
    <col min="4592" max="4592" width="42.140625" style="149" customWidth="1"/>
    <col min="4593" max="4593" width="10.42578125" style="149" customWidth="1"/>
    <col min="4594" max="4594" width="12.140625" style="149" customWidth="1"/>
    <col min="4595" max="4595" width="7.140625" style="149" bestFit="1" customWidth="1"/>
    <col min="4596" max="4596" width="3.5703125" style="149" customWidth="1"/>
    <col min="4597" max="4597" width="9.140625" style="149"/>
    <col min="4598" max="4598" width="10.140625" style="149" bestFit="1" customWidth="1"/>
    <col min="4599" max="4599" width="10.42578125" style="149" customWidth="1"/>
    <col min="4600" max="4600" width="10.140625" style="149" bestFit="1" customWidth="1"/>
    <col min="4601" max="4601" width="12.140625" style="149" customWidth="1"/>
    <col min="4602" max="4602" width="12" style="149" customWidth="1"/>
    <col min="4603" max="4604" width="10.42578125" style="149" customWidth="1"/>
    <col min="4605" max="4845" width="9.140625" style="149"/>
    <col min="4846" max="4846" width="10.5703125" style="149" bestFit="1" customWidth="1"/>
    <col min="4847" max="4847" width="9" style="149" bestFit="1" customWidth="1"/>
    <col min="4848" max="4848" width="42.140625" style="149" customWidth="1"/>
    <col min="4849" max="4849" width="10.42578125" style="149" customWidth="1"/>
    <col min="4850" max="4850" width="12.140625" style="149" customWidth="1"/>
    <col min="4851" max="4851" width="7.140625" style="149" bestFit="1" customWidth="1"/>
    <col min="4852" max="4852" width="3.5703125" style="149" customWidth="1"/>
    <col min="4853" max="4853" width="9.140625" style="149"/>
    <col min="4854" max="4854" width="10.140625" style="149" bestFit="1" customWidth="1"/>
    <col min="4855" max="4855" width="10.42578125" style="149" customWidth="1"/>
    <col min="4856" max="4856" width="10.140625" style="149" bestFit="1" customWidth="1"/>
    <col min="4857" max="4857" width="12.140625" style="149" customWidth="1"/>
    <col min="4858" max="4858" width="12" style="149" customWidth="1"/>
    <col min="4859" max="4860" width="10.42578125" style="149" customWidth="1"/>
    <col min="4861" max="5101" width="9.140625" style="149"/>
    <col min="5102" max="5102" width="10.5703125" style="149" bestFit="1" customWidth="1"/>
    <col min="5103" max="5103" width="9" style="149" bestFit="1" customWidth="1"/>
    <col min="5104" max="5104" width="42.140625" style="149" customWidth="1"/>
    <col min="5105" max="5105" width="10.42578125" style="149" customWidth="1"/>
    <col min="5106" max="5106" width="12.140625" style="149" customWidth="1"/>
    <col min="5107" max="5107" width="7.140625" style="149" bestFit="1" customWidth="1"/>
    <col min="5108" max="5108" width="3.5703125" style="149" customWidth="1"/>
    <col min="5109" max="5109" width="9.140625" style="149"/>
    <col min="5110" max="5110" width="10.140625" style="149" bestFit="1" customWidth="1"/>
    <col min="5111" max="5111" width="10.42578125" style="149" customWidth="1"/>
    <col min="5112" max="5112" width="10.140625" style="149" bestFit="1" customWidth="1"/>
    <col min="5113" max="5113" width="12.140625" style="149" customWidth="1"/>
    <col min="5114" max="5114" width="12" style="149" customWidth="1"/>
    <col min="5115" max="5116" width="10.42578125" style="149" customWidth="1"/>
    <col min="5117" max="5357" width="9.140625" style="149"/>
    <col min="5358" max="5358" width="10.5703125" style="149" bestFit="1" customWidth="1"/>
    <col min="5359" max="5359" width="9" style="149" bestFit="1" customWidth="1"/>
    <col min="5360" max="5360" width="42.140625" style="149" customWidth="1"/>
    <col min="5361" max="5361" width="10.42578125" style="149" customWidth="1"/>
    <col min="5362" max="5362" width="12.140625" style="149" customWidth="1"/>
    <col min="5363" max="5363" width="7.140625" style="149" bestFit="1" customWidth="1"/>
    <col min="5364" max="5364" width="3.5703125" style="149" customWidth="1"/>
    <col min="5365" max="5365" width="9.140625" style="149"/>
    <col min="5366" max="5366" width="10.140625" style="149" bestFit="1" customWidth="1"/>
    <col min="5367" max="5367" width="10.42578125" style="149" customWidth="1"/>
    <col min="5368" max="5368" width="10.140625" style="149" bestFit="1" customWidth="1"/>
    <col min="5369" max="5369" width="12.140625" style="149" customWidth="1"/>
    <col min="5370" max="5370" width="12" style="149" customWidth="1"/>
    <col min="5371" max="5372" width="10.42578125" style="149" customWidth="1"/>
    <col min="5373" max="5613" width="9.140625" style="149"/>
    <col min="5614" max="5614" width="10.5703125" style="149" bestFit="1" customWidth="1"/>
    <col min="5615" max="5615" width="9" style="149" bestFit="1" customWidth="1"/>
    <col min="5616" max="5616" width="42.140625" style="149" customWidth="1"/>
    <col min="5617" max="5617" width="10.42578125" style="149" customWidth="1"/>
    <col min="5618" max="5618" width="12.140625" style="149" customWidth="1"/>
    <col min="5619" max="5619" width="7.140625" style="149" bestFit="1" customWidth="1"/>
    <col min="5620" max="5620" width="3.5703125" style="149" customWidth="1"/>
    <col min="5621" max="5621" width="9.140625" style="149"/>
    <col min="5622" max="5622" width="10.140625" style="149" bestFit="1" customWidth="1"/>
    <col min="5623" max="5623" width="10.42578125" style="149" customWidth="1"/>
    <col min="5624" max="5624" width="10.140625" style="149" bestFit="1" customWidth="1"/>
    <col min="5625" max="5625" width="12.140625" style="149" customWidth="1"/>
    <col min="5626" max="5626" width="12" style="149" customWidth="1"/>
    <col min="5627" max="5628" width="10.42578125" style="149" customWidth="1"/>
    <col min="5629" max="5869" width="9.140625" style="149"/>
    <col min="5870" max="5870" width="10.5703125" style="149" bestFit="1" customWidth="1"/>
    <col min="5871" max="5871" width="9" style="149" bestFit="1" customWidth="1"/>
    <col min="5872" max="5872" width="42.140625" style="149" customWidth="1"/>
    <col min="5873" max="5873" width="10.42578125" style="149" customWidth="1"/>
    <col min="5874" max="5874" width="12.140625" style="149" customWidth="1"/>
    <col min="5875" max="5875" width="7.140625" style="149" bestFit="1" customWidth="1"/>
    <col min="5876" max="5876" width="3.5703125" style="149" customWidth="1"/>
    <col min="5877" max="5877" width="9.140625" style="149"/>
    <col min="5878" max="5878" width="10.140625" style="149" bestFit="1" customWidth="1"/>
    <col min="5879" max="5879" width="10.42578125" style="149" customWidth="1"/>
    <col min="5880" max="5880" width="10.140625" style="149" bestFit="1" customWidth="1"/>
    <col min="5881" max="5881" width="12.140625" style="149" customWidth="1"/>
    <col min="5882" max="5882" width="12" style="149" customWidth="1"/>
    <col min="5883" max="5884" width="10.42578125" style="149" customWidth="1"/>
    <col min="5885" max="6125" width="9.140625" style="149"/>
    <col min="6126" max="6126" width="10.5703125" style="149" bestFit="1" customWidth="1"/>
    <col min="6127" max="6127" width="9" style="149" bestFit="1" customWidth="1"/>
    <col min="6128" max="6128" width="42.140625" style="149" customWidth="1"/>
    <col min="6129" max="6129" width="10.42578125" style="149" customWidth="1"/>
    <col min="6130" max="6130" width="12.140625" style="149" customWidth="1"/>
    <col min="6131" max="6131" width="7.140625" style="149" bestFit="1" customWidth="1"/>
    <col min="6132" max="6132" width="3.5703125" style="149" customWidth="1"/>
    <col min="6133" max="6133" width="9.140625" style="149"/>
    <col min="6134" max="6134" width="10.140625" style="149" bestFit="1" customWidth="1"/>
    <col min="6135" max="6135" width="10.42578125" style="149" customWidth="1"/>
    <col min="6136" max="6136" width="10.140625" style="149" bestFit="1" customWidth="1"/>
    <col min="6137" max="6137" width="12.140625" style="149" customWidth="1"/>
    <col min="6138" max="6138" width="12" style="149" customWidth="1"/>
    <col min="6139" max="6140" width="10.42578125" style="149" customWidth="1"/>
    <col min="6141" max="6381" width="9.140625" style="149"/>
    <col min="6382" max="6382" width="10.5703125" style="149" bestFit="1" customWidth="1"/>
    <col min="6383" max="6383" width="9" style="149" bestFit="1" customWidth="1"/>
    <col min="6384" max="6384" width="42.140625" style="149" customWidth="1"/>
    <col min="6385" max="6385" width="10.42578125" style="149" customWidth="1"/>
    <col min="6386" max="6386" width="12.140625" style="149" customWidth="1"/>
    <col min="6387" max="6387" width="7.140625" style="149" bestFit="1" customWidth="1"/>
    <col min="6388" max="6388" width="3.5703125" style="149" customWidth="1"/>
    <col min="6389" max="6389" width="9.140625" style="149"/>
    <col min="6390" max="6390" width="10.140625" style="149" bestFit="1" customWidth="1"/>
    <col min="6391" max="6391" width="10.42578125" style="149" customWidth="1"/>
    <col min="6392" max="6392" width="10.140625" style="149" bestFit="1" customWidth="1"/>
    <col min="6393" max="6393" width="12.140625" style="149" customWidth="1"/>
    <col min="6394" max="6394" width="12" style="149" customWidth="1"/>
    <col min="6395" max="6396" width="10.42578125" style="149" customWidth="1"/>
    <col min="6397" max="6637" width="9.140625" style="149"/>
    <col min="6638" max="6638" width="10.5703125" style="149" bestFit="1" customWidth="1"/>
    <col min="6639" max="6639" width="9" style="149" bestFit="1" customWidth="1"/>
    <col min="6640" max="6640" width="42.140625" style="149" customWidth="1"/>
    <col min="6641" max="6641" width="10.42578125" style="149" customWidth="1"/>
    <col min="6642" max="6642" width="12.140625" style="149" customWidth="1"/>
    <col min="6643" max="6643" width="7.140625" style="149" bestFit="1" customWidth="1"/>
    <col min="6644" max="6644" width="3.5703125" style="149" customWidth="1"/>
    <col min="6645" max="6645" width="9.140625" style="149"/>
    <col min="6646" max="6646" width="10.140625" style="149" bestFit="1" customWidth="1"/>
    <col min="6647" max="6647" width="10.42578125" style="149" customWidth="1"/>
    <col min="6648" max="6648" width="10.140625" style="149" bestFit="1" customWidth="1"/>
    <col min="6649" max="6649" width="12.140625" style="149" customWidth="1"/>
    <col min="6650" max="6650" width="12" style="149" customWidth="1"/>
    <col min="6651" max="6652" width="10.42578125" style="149" customWidth="1"/>
    <col min="6653" max="6893" width="9.140625" style="149"/>
    <col min="6894" max="6894" width="10.5703125" style="149" bestFit="1" customWidth="1"/>
    <col min="6895" max="6895" width="9" style="149" bestFit="1" customWidth="1"/>
    <col min="6896" max="6896" width="42.140625" style="149" customWidth="1"/>
    <col min="6897" max="6897" width="10.42578125" style="149" customWidth="1"/>
    <col min="6898" max="6898" width="12.140625" style="149" customWidth="1"/>
    <col min="6899" max="6899" width="7.140625" style="149" bestFit="1" customWidth="1"/>
    <col min="6900" max="6900" width="3.5703125" style="149" customWidth="1"/>
    <col min="6901" max="6901" width="9.140625" style="149"/>
    <col min="6902" max="6902" width="10.140625" style="149" bestFit="1" customWidth="1"/>
    <col min="6903" max="6903" width="10.42578125" style="149" customWidth="1"/>
    <col min="6904" max="6904" width="10.140625" style="149" bestFit="1" customWidth="1"/>
    <col min="6905" max="6905" width="12.140625" style="149" customWidth="1"/>
    <col min="6906" max="6906" width="12" style="149" customWidth="1"/>
    <col min="6907" max="6908" width="10.42578125" style="149" customWidth="1"/>
    <col min="6909" max="7149" width="9.140625" style="149"/>
    <col min="7150" max="7150" width="10.5703125" style="149" bestFit="1" customWidth="1"/>
    <col min="7151" max="7151" width="9" style="149" bestFit="1" customWidth="1"/>
    <col min="7152" max="7152" width="42.140625" style="149" customWidth="1"/>
    <col min="7153" max="7153" width="10.42578125" style="149" customWidth="1"/>
    <col min="7154" max="7154" width="12.140625" style="149" customWidth="1"/>
    <col min="7155" max="7155" width="7.140625" style="149" bestFit="1" customWidth="1"/>
    <col min="7156" max="7156" width="3.5703125" style="149" customWidth="1"/>
    <col min="7157" max="7157" width="9.140625" style="149"/>
    <col min="7158" max="7158" width="10.140625" style="149" bestFit="1" customWidth="1"/>
    <col min="7159" max="7159" width="10.42578125" style="149" customWidth="1"/>
    <col min="7160" max="7160" width="10.140625" style="149" bestFit="1" customWidth="1"/>
    <col min="7161" max="7161" width="12.140625" style="149" customWidth="1"/>
    <col min="7162" max="7162" width="12" style="149" customWidth="1"/>
    <col min="7163" max="7164" width="10.42578125" style="149" customWidth="1"/>
    <col min="7165" max="7405" width="9.140625" style="149"/>
    <col min="7406" max="7406" width="10.5703125" style="149" bestFit="1" customWidth="1"/>
    <col min="7407" max="7407" width="9" style="149" bestFit="1" customWidth="1"/>
    <col min="7408" max="7408" width="42.140625" style="149" customWidth="1"/>
    <col min="7409" max="7409" width="10.42578125" style="149" customWidth="1"/>
    <col min="7410" max="7410" width="12.140625" style="149" customWidth="1"/>
    <col min="7411" max="7411" width="7.140625" style="149" bestFit="1" customWidth="1"/>
    <col min="7412" max="7412" width="3.5703125" style="149" customWidth="1"/>
    <col min="7413" max="7413" width="9.140625" style="149"/>
    <col min="7414" max="7414" width="10.140625" style="149" bestFit="1" customWidth="1"/>
    <col min="7415" max="7415" width="10.42578125" style="149" customWidth="1"/>
    <col min="7416" max="7416" width="10.140625" style="149" bestFit="1" customWidth="1"/>
    <col min="7417" max="7417" width="12.140625" style="149" customWidth="1"/>
    <col min="7418" max="7418" width="12" style="149" customWidth="1"/>
    <col min="7419" max="7420" width="10.42578125" style="149" customWidth="1"/>
    <col min="7421" max="7661" width="9.140625" style="149"/>
    <col min="7662" max="7662" width="10.5703125" style="149" bestFit="1" customWidth="1"/>
    <col min="7663" max="7663" width="9" style="149" bestFit="1" customWidth="1"/>
    <col min="7664" max="7664" width="42.140625" style="149" customWidth="1"/>
    <col min="7665" max="7665" width="10.42578125" style="149" customWidth="1"/>
    <col min="7666" max="7666" width="12.140625" style="149" customWidth="1"/>
    <col min="7667" max="7667" width="7.140625" style="149" bestFit="1" customWidth="1"/>
    <col min="7668" max="7668" width="3.5703125" style="149" customWidth="1"/>
    <col min="7669" max="7669" width="9.140625" style="149"/>
    <col min="7670" max="7670" width="10.140625" style="149" bestFit="1" customWidth="1"/>
    <col min="7671" max="7671" width="10.42578125" style="149" customWidth="1"/>
    <col min="7672" max="7672" width="10.140625" style="149" bestFit="1" customWidth="1"/>
    <col min="7673" max="7673" width="12.140625" style="149" customWidth="1"/>
    <col min="7674" max="7674" width="12" style="149" customWidth="1"/>
    <col min="7675" max="7676" width="10.42578125" style="149" customWidth="1"/>
    <col min="7677" max="7917" width="9.140625" style="149"/>
    <col min="7918" max="7918" width="10.5703125" style="149" bestFit="1" customWidth="1"/>
    <col min="7919" max="7919" width="9" style="149" bestFit="1" customWidth="1"/>
    <col min="7920" max="7920" width="42.140625" style="149" customWidth="1"/>
    <col min="7921" max="7921" width="10.42578125" style="149" customWidth="1"/>
    <col min="7922" max="7922" width="12.140625" style="149" customWidth="1"/>
    <col min="7923" max="7923" width="7.140625" style="149" bestFit="1" customWidth="1"/>
    <col min="7924" max="7924" width="3.5703125" style="149" customWidth="1"/>
    <col min="7925" max="7925" width="9.140625" style="149"/>
    <col min="7926" max="7926" width="10.140625" style="149" bestFit="1" customWidth="1"/>
    <col min="7927" max="7927" width="10.42578125" style="149" customWidth="1"/>
    <col min="7928" max="7928" width="10.140625" style="149" bestFit="1" customWidth="1"/>
    <col min="7929" max="7929" width="12.140625" style="149" customWidth="1"/>
    <col min="7930" max="7930" width="12" style="149" customWidth="1"/>
    <col min="7931" max="7932" width="10.42578125" style="149" customWidth="1"/>
    <col min="7933" max="8173" width="9.140625" style="149"/>
    <col min="8174" max="8174" width="10.5703125" style="149" bestFit="1" customWidth="1"/>
    <col min="8175" max="8175" width="9" style="149" bestFit="1" customWidth="1"/>
    <col min="8176" max="8176" width="42.140625" style="149" customWidth="1"/>
    <col min="8177" max="8177" width="10.42578125" style="149" customWidth="1"/>
    <col min="8178" max="8178" width="12.140625" style="149" customWidth="1"/>
    <col min="8179" max="8179" width="7.140625" style="149" bestFit="1" customWidth="1"/>
    <col min="8180" max="8180" width="3.5703125" style="149" customWidth="1"/>
    <col min="8181" max="8181" width="9.140625" style="149"/>
    <col min="8182" max="8182" width="10.140625" style="149" bestFit="1" customWidth="1"/>
    <col min="8183" max="8183" width="10.42578125" style="149" customWidth="1"/>
    <col min="8184" max="8184" width="10.140625" style="149" bestFit="1" customWidth="1"/>
    <col min="8185" max="8185" width="12.140625" style="149" customWidth="1"/>
    <col min="8186" max="8186" width="12" style="149" customWidth="1"/>
    <col min="8187" max="8188" width="10.42578125" style="149" customWidth="1"/>
    <col min="8189" max="8429" width="9.140625" style="149"/>
    <col min="8430" max="8430" width="10.5703125" style="149" bestFit="1" customWidth="1"/>
    <col min="8431" max="8431" width="9" style="149" bestFit="1" customWidth="1"/>
    <col min="8432" max="8432" width="42.140625" style="149" customWidth="1"/>
    <col min="8433" max="8433" width="10.42578125" style="149" customWidth="1"/>
    <col min="8434" max="8434" width="12.140625" style="149" customWidth="1"/>
    <col min="8435" max="8435" width="7.140625" style="149" bestFit="1" customWidth="1"/>
    <col min="8436" max="8436" width="3.5703125" style="149" customWidth="1"/>
    <col min="8437" max="8437" width="9.140625" style="149"/>
    <col min="8438" max="8438" width="10.140625" style="149" bestFit="1" customWidth="1"/>
    <col min="8439" max="8439" width="10.42578125" style="149" customWidth="1"/>
    <col min="8440" max="8440" width="10.140625" style="149" bestFit="1" customWidth="1"/>
    <col min="8441" max="8441" width="12.140625" style="149" customWidth="1"/>
    <col min="8442" max="8442" width="12" style="149" customWidth="1"/>
    <col min="8443" max="8444" width="10.42578125" style="149" customWidth="1"/>
    <col min="8445" max="8685" width="9.140625" style="149"/>
    <col min="8686" max="8686" width="10.5703125" style="149" bestFit="1" customWidth="1"/>
    <col min="8687" max="8687" width="9" style="149" bestFit="1" customWidth="1"/>
    <col min="8688" max="8688" width="42.140625" style="149" customWidth="1"/>
    <col min="8689" max="8689" width="10.42578125" style="149" customWidth="1"/>
    <col min="8690" max="8690" width="12.140625" style="149" customWidth="1"/>
    <col min="8691" max="8691" width="7.140625" style="149" bestFit="1" customWidth="1"/>
    <col min="8692" max="8692" width="3.5703125" style="149" customWidth="1"/>
    <col min="8693" max="8693" width="9.140625" style="149"/>
    <col min="8694" max="8694" width="10.140625" style="149" bestFit="1" customWidth="1"/>
    <col min="8695" max="8695" width="10.42578125" style="149" customWidth="1"/>
    <col min="8696" max="8696" width="10.140625" style="149" bestFit="1" customWidth="1"/>
    <col min="8697" max="8697" width="12.140625" style="149" customWidth="1"/>
    <col min="8698" max="8698" width="12" style="149" customWidth="1"/>
    <col min="8699" max="8700" width="10.42578125" style="149" customWidth="1"/>
    <col min="8701" max="8941" width="9.140625" style="149"/>
    <col min="8942" max="8942" width="10.5703125" style="149" bestFit="1" customWidth="1"/>
    <col min="8943" max="8943" width="9" style="149" bestFit="1" customWidth="1"/>
    <col min="8944" max="8944" width="42.140625" style="149" customWidth="1"/>
    <col min="8945" max="8945" width="10.42578125" style="149" customWidth="1"/>
    <col min="8946" max="8946" width="12.140625" style="149" customWidth="1"/>
    <col min="8947" max="8947" width="7.140625" style="149" bestFit="1" customWidth="1"/>
    <col min="8948" max="8948" width="3.5703125" style="149" customWidth="1"/>
    <col min="8949" max="8949" width="9.140625" style="149"/>
    <col min="8950" max="8950" width="10.140625" style="149" bestFit="1" customWidth="1"/>
    <col min="8951" max="8951" width="10.42578125" style="149" customWidth="1"/>
    <col min="8952" max="8952" width="10.140625" style="149" bestFit="1" customWidth="1"/>
    <col min="8953" max="8953" width="12.140625" style="149" customWidth="1"/>
    <col min="8954" max="8954" width="12" style="149" customWidth="1"/>
    <col min="8955" max="8956" width="10.42578125" style="149" customWidth="1"/>
    <col min="8957" max="9197" width="9.140625" style="149"/>
    <col min="9198" max="9198" width="10.5703125" style="149" bestFit="1" customWidth="1"/>
    <col min="9199" max="9199" width="9" style="149" bestFit="1" customWidth="1"/>
    <col min="9200" max="9200" width="42.140625" style="149" customWidth="1"/>
    <col min="9201" max="9201" width="10.42578125" style="149" customWidth="1"/>
    <col min="9202" max="9202" width="12.140625" style="149" customWidth="1"/>
    <col min="9203" max="9203" width="7.140625" style="149" bestFit="1" customWidth="1"/>
    <col min="9204" max="9204" width="3.5703125" style="149" customWidth="1"/>
    <col min="9205" max="9205" width="9.140625" style="149"/>
    <col min="9206" max="9206" width="10.140625" style="149" bestFit="1" customWidth="1"/>
    <col min="9207" max="9207" width="10.42578125" style="149" customWidth="1"/>
    <col min="9208" max="9208" width="10.140625" style="149" bestFit="1" customWidth="1"/>
    <col min="9209" max="9209" width="12.140625" style="149" customWidth="1"/>
    <col min="9210" max="9210" width="12" style="149" customWidth="1"/>
    <col min="9211" max="9212" width="10.42578125" style="149" customWidth="1"/>
    <col min="9213" max="9453" width="9.140625" style="149"/>
    <col min="9454" max="9454" width="10.5703125" style="149" bestFit="1" customWidth="1"/>
    <col min="9455" max="9455" width="9" style="149" bestFit="1" customWidth="1"/>
    <col min="9456" max="9456" width="42.140625" style="149" customWidth="1"/>
    <col min="9457" max="9457" width="10.42578125" style="149" customWidth="1"/>
    <col min="9458" max="9458" width="12.140625" style="149" customWidth="1"/>
    <col min="9459" max="9459" width="7.140625" style="149" bestFit="1" customWidth="1"/>
    <col min="9460" max="9460" width="3.5703125" style="149" customWidth="1"/>
    <col min="9461" max="9461" width="9.140625" style="149"/>
    <col min="9462" max="9462" width="10.140625" style="149" bestFit="1" customWidth="1"/>
    <col min="9463" max="9463" width="10.42578125" style="149" customWidth="1"/>
    <col min="9464" max="9464" width="10.140625" style="149" bestFit="1" customWidth="1"/>
    <col min="9465" max="9465" width="12.140625" style="149" customWidth="1"/>
    <col min="9466" max="9466" width="12" style="149" customWidth="1"/>
    <col min="9467" max="9468" width="10.42578125" style="149" customWidth="1"/>
    <col min="9469" max="9709" width="9.140625" style="149"/>
    <col min="9710" max="9710" width="10.5703125" style="149" bestFit="1" customWidth="1"/>
    <col min="9711" max="9711" width="9" style="149" bestFit="1" customWidth="1"/>
    <col min="9712" max="9712" width="42.140625" style="149" customWidth="1"/>
    <col min="9713" max="9713" width="10.42578125" style="149" customWidth="1"/>
    <col min="9714" max="9714" width="12.140625" style="149" customWidth="1"/>
    <col min="9715" max="9715" width="7.140625" style="149" bestFit="1" customWidth="1"/>
    <col min="9716" max="9716" width="3.5703125" style="149" customWidth="1"/>
    <col min="9717" max="9717" width="9.140625" style="149"/>
    <col min="9718" max="9718" width="10.140625" style="149" bestFit="1" customWidth="1"/>
    <col min="9719" max="9719" width="10.42578125" style="149" customWidth="1"/>
    <col min="9720" max="9720" width="10.140625" style="149" bestFit="1" customWidth="1"/>
    <col min="9721" max="9721" width="12.140625" style="149" customWidth="1"/>
    <col min="9722" max="9722" width="12" style="149" customWidth="1"/>
    <col min="9723" max="9724" width="10.42578125" style="149" customWidth="1"/>
    <col min="9725" max="9965" width="9.140625" style="149"/>
    <col min="9966" max="9966" width="10.5703125" style="149" bestFit="1" customWidth="1"/>
    <col min="9967" max="9967" width="9" style="149" bestFit="1" customWidth="1"/>
    <col min="9968" max="9968" width="42.140625" style="149" customWidth="1"/>
    <col min="9969" max="9969" width="10.42578125" style="149" customWidth="1"/>
    <col min="9970" max="9970" width="12.140625" style="149" customWidth="1"/>
    <col min="9971" max="9971" width="7.140625" style="149" bestFit="1" customWidth="1"/>
    <col min="9972" max="9972" width="3.5703125" style="149" customWidth="1"/>
    <col min="9973" max="9973" width="9.140625" style="149"/>
    <col min="9974" max="9974" width="10.140625" style="149" bestFit="1" customWidth="1"/>
    <col min="9975" max="9975" width="10.42578125" style="149" customWidth="1"/>
    <col min="9976" max="9976" width="10.140625" style="149" bestFit="1" customWidth="1"/>
    <col min="9977" max="9977" width="12.140625" style="149" customWidth="1"/>
    <col min="9978" max="9978" width="12" style="149" customWidth="1"/>
    <col min="9979" max="9980" width="10.42578125" style="149" customWidth="1"/>
    <col min="9981" max="10221" width="9.140625" style="149"/>
    <col min="10222" max="10222" width="10.5703125" style="149" bestFit="1" customWidth="1"/>
    <col min="10223" max="10223" width="9" style="149" bestFit="1" customWidth="1"/>
    <col min="10224" max="10224" width="42.140625" style="149" customWidth="1"/>
    <col min="10225" max="10225" width="10.42578125" style="149" customWidth="1"/>
    <col min="10226" max="10226" width="12.140625" style="149" customWidth="1"/>
    <col min="10227" max="10227" width="7.140625" style="149" bestFit="1" customWidth="1"/>
    <col min="10228" max="10228" width="3.5703125" style="149" customWidth="1"/>
    <col min="10229" max="10229" width="9.140625" style="149"/>
    <col min="10230" max="10230" width="10.140625" style="149" bestFit="1" customWidth="1"/>
    <col min="10231" max="10231" width="10.42578125" style="149" customWidth="1"/>
    <col min="10232" max="10232" width="10.140625" style="149" bestFit="1" customWidth="1"/>
    <col min="10233" max="10233" width="12.140625" style="149" customWidth="1"/>
    <col min="10234" max="10234" width="12" style="149" customWidth="1"/>
    <col min="10235" max="10236" width="10.42578125" style="149" customWidth="1"/>
    <col min="10237" max="10477" width="9.140625" style="149"/>
    <col min="10478" max="10478" width="10.5703125" style="149" bestFit="1" customWidth="1"/>
    <col min="10479" max="10479" width="9" style="149" bestFit="1" customWidth="1"/>
    <col min="10480" max="10480" width="42.140625" style="149" customWidth="1"/>
    <col min="10481" max="10481" width="10.42578125" style="149" customWidth="1"/>
    <col min="10482" max="10482" width="12.140625" style="149" customWidth="1"/>
    <col min="10483" max="10483" width="7.140625" style="149" bestFit="1" customWidth="1"/>
    <col min="10484" max="10484" width="3.5703125" style="149" customWidth="1"/>
    <col min="10485" max="10485" width="9.140625" style="149"/>
    <col min="10486" max="10486" width="10.140625" style="149" bestFit="1" customWidth="1"/>
    <col min="10487" max="10487" width="10.42578125" style="149" customWidth="1"/>
    <col min="10488" max="10488" width="10.140625" style="149" bestFit="1" customWidth="1"/>
    <col min="10489" max="10489" width="12.140625" style="149" customWidth="1"/>
    <col min="10490" max="10490" width="12" style="149" customWidth="1"/>
    <col min="10491" max="10492" width="10.42578125" style="149" customWidth="1"/>
    <col min="10493" max="10733" width="9.140625" style="149"/>
    <col min="10734" max="10734" width="10.5703125" style="149" bestFit="1" customWidth="1"/>
    <col min="10735" max="10735" width="9" style="149" bestFit="1" customWidth="1"/>
    <col min="10736" max="10736" width="42.140625" style="149" customWidth="1"/>
    <col min="10737" max="10737" width="10.42578125" style="149" customWidth="1"/>
    <col min="10738" max="10738" width="12.140625" style="149" customWidth="1"/>
    <col min="10739" max="10739" width="7.140625" style="149" bestFit="1" customWidth="1"/>
    <col min="10740" max="10740" width="3.5703125" style="149" customWidth="1"/>
    <col min="10741" max="10741" width="9.140625" style="149"/>
    <col min="10742" max="10742" width="10.140625" style="149" bestFit="1" customWidth="1"/>
    <col min="10743" max="10743" width="10.42578125" style="149" customWidth="1"/>
    <col min="10744" max="10744" width="10.140625" style="149" bestFit="1" customWidth="1"/>
    <col min="10745" max="10745" width="12.140625" style="149" customWidth="1"/>
    <col min="10746" max="10746" width="12" style="149" customWidth="1"/>
    <col min="10747" max="10748" width="10.42578125" style="149" customWidth="1"/>
    <col min="10749" max="10989" width="9.140625" style="149"/>
    <col min="10990" max="10990" width="10.5703125" style="149" bestFit="1" customWidth="1"/>
    <col min="10991" max="10991" width="9" style="149" bestFit="1" customWidth="1"/>
    <col min="10992" max="10992" width="42.140625" style="149" customWidth="1"/>
    <col min="10993" max="10993" width="10.42578125" style="149" customWidth="1"/>
    <col min="10994" max="10994" width="12.140625" style="149" customWidth="1"/>
    <col min="10995" max="10995" width="7.140625" style="149" bestFit="1" customWidth="1"/>
    <col min="10996" max="10996" width="3.5703125" style="149" customWidth="1"/>
    <col min="10997" max="10997" width="9.140625" style="149"/>
    <col min="10998" max="10998" width="10.140625" style="149" bestFit="1" customWidth="1"/>
    <col min="10999" max="10999" width="10.42578125" style="149" customWidth="1"/>
    <col min="11000" max="11000" width="10.140625" style="149" bestFit="1" customWidth="1"/>
    <col min="11001" max="11001" width="12.140625" style="149" customWidth="1"/>
    <col min="11002" max="11002" width="12" style="149" customWidth="1"/>
    <col min="11003" max="11004" width="10.42578125" style="149" customWidth="1"/>
    <col min="11005" max="11245" width="9.140625" style="149"/>
    <col min="11246" max="11246" width="10.5703125" style="149" bestFit="1" customWidth="1"/>
    <col min="11247" max="11247" width="9" style="149" bestFit="1" customWidth="1"/>
    <col min="11248" max="11248" width="42.140625" style="149" customWidth="1"/>
    <col min="11249" max="11249" width="10.42578125" style="149" customWidth="1"/>
    <col min="11250" max="11250" width="12.140625" style="149" customWidth="1"/>
    <col min="11251" max="11251" width="7.140625" style="149" bestFit="1" customWidth="1"/>
    <col min="11252" max="11252" width="3.5703125" style="149" customWidth="1"/>
    <col min="11253" max="11253" width="9.140625" style="149"/>
    <col min="11254" max="11254" width="10.140625" style="149" bestFit="1" customWidth="1"/>
    <col min="11255" max="11255" width="10.42578125" style="149" customWidth="1"/>
    <col min="11256" max="11256" width="10.140625" style="149" bestFit="1" customWidth="1"/>
    <col min="11257" max="11257" width="12.140625" style="149" customWidth="1"/>
    <col min="11258" max="11258" width="12" style="149" customWidth="1"/>
    <col min="11259" max="11260" width="10.42578125" style="149" customWidth="1"/>
    <col min="11261" max="11501" width="9.140625" style="149"/>
    <col min="11502" max="11502" width="10.5703125" style="149" bestFit="1" customWidth="1"/>
    <col min="11503" max="11503" width="9" style="149" bestFit="1" customWidth="1"/>
    <col min="11504" max="11504" width="42.140625" style="149" customWidth="1"/>
    <col min="11505" max="11505" width="10.42578125" style="149" customWidth="1"/>
    <col min="11506" max="11506" width="12.140625" style="149" customWidth="1"/>
    <col min="11507" max="11507" width="7.140625" style="149" bestFit="1" customWidth="1"/>
    <col min="11508" max="11508" width="3.5703125" style="149" customWidth="1"/>
    <col min="11509" max="11509" width="9.140625" style="149"/>
    <col min="11510" max="11510" width="10.140625" style="149" bestFit="1" customWidth="1"/>
    <col min="11511" max="11511" width="10.42578125" style="149" customWidth="1"/>
    <col min="11512" max="11512" width="10.140625" style="149" bestFit="1" customWidth="1"/>
    <col min="11513" max="11513" width="12.140625" style="149" customWidth="1"/>
    <col min="11514" max="11514" width="12" style="149" customWidth="1"/>
    <col min="11515" max="11516" width="10.42578125" style="149" customWidth="1"/>
    <col min="11517" max="11757" width="9.140625" style="149"/>
    <col min="11758" max="11758" width="10.5703125" style="149" bestFit="1" customWidth="1"/>
    <col min="11759" max="11759" width="9" style="149" bestFit="1" customWidth="1"/>
    <col min="11760" max="11760" width="42.140625" style="149" customWidth="1"/>
    <col min="11761" max="11761" width="10.42578125" style="149" customWidth="1"/>
    <col min="11762" max="11762" width="12.140625" style="149" customWidth="1"/>
    <col min="11763" max="11763" width="7.140625" style="149" bestFit="1" customWidth="1"/>
    <col min="11764" max="11764" width="3.5703125" style="149" customWidth="1"/>
    <col min="11765" max="11765" width="9.140625" style="149"/>
    <col min="11766" max="11766" width="10.140625" style="149" bestFit="1" customWidth="1"/>
    <col min="11767" max="11767" width="10.42578125" style="149" customWidth="1"/>
    <col min="11768" max="11768" width="10.140625" style="149" bestFit="1" customWidth="1"/>
    <col min="11769" max="11769" width="12.140625" style="149" customWidth="1"/>
    <col min="11770" max="11770" width="12" style="149" customWidth="1"/>
    <col min="11771" max="11772" width="10.42578125" style="149" customWidth="1"/>
    <col min="11773" max="12013" width="9.140625" style="149"/>
    <col min="12014" max="12014" width="10.5703125" style="149" bestFit="1" customWidth="1"/>
    <col min="12015" max="12015" width="9" style="149" bestFit="1" customWidth="1"/>
    <col min="12016" max="12016" width="42.140625" style="149" customWidth="1"/>
    <col min="12017" max="12017" width="10.42578125" style="149" customWidth="1"/>
    <col min="12018" max="12018" width="12.140625" style="149" customWidth="1"/>
    <col min="12019" max="12019" width="7.140625" style="149" bestFit="1" customWidth="1"/>
    <col min="12020" max="12020" width="3.5703125" style="149" customWidth="1"/>
    <col min="12021" max="12021" width="9.140625" style="149"/>
    <col min="12022" max="12022" width="10.140625" style="149" bestFit="1" customWidth="1"/>
    <col min="12023" max="12023" width="10.42578125" style="149" customWidth="1"/>
    <col min="12024" max="12024" width="10.140625" style="149" bestFit="1" customWidth="1"/>
    <col min="12025" max="12025" width="12.140625" style="149" customWidth="1"/>
    <col min="12026" max="12026" width="12" style="149" customWidth="1"/>
    <col min="12027" max="12028" width="10.42578125" style="149" customWidth="1"/>
    <col min="12029" max="12269" width="9.140625" style="149"/>
    <col min="12270" max="12270" width="10.5703125" style="149" bestFit="1" customWidth="1"/>
    <col min="12271" max="12271" width="9" style="149" bestFit="1" customWidth="1"/>
    <col min="12272" max="12272" width="42.140625" style="149" customWidth="1"/>
    <col min="12273" max="12273" width="10.42578125" style="149" customWidth="1"/>
    <col min="12274" max="12274" width="12.140625" style="149" customWidth="1"/>
    <col min="12275" max="12275" width="7.140625" style="149" bestFit="1" customWidth="1"/>
    <col min="12276" max="12276" width="3.5703125" style="149" customWidth="1"/>
    <col min="12277" max="12277" width="9.140625" style="149"/>
    <col min="12278" max="12278" width="10.140625" style="149" bestFit="1" customWidth="1"/>
    <col min="12279" max="12279" width="10.42578125" style="149" customWidth="1"/>
    <col min="12280" max="12280" width="10.140625" style="149" bestFit="1" customWidth="1"/>
    <col min="12281" max="12281" width="12.140625" style="149" customWidth="1"/>
    <col min="12282" max="12282" width="12" style="149" customWidth="1"/>
    <col min="12283" max="12284" width="10.42578125" style="149" customWidth="1"/>
    <col min="12285" max="12525" width="9.140625" style="149"/>
    <col min="12526" max="12526" width="10.5703125" style="149" bestFit="1" customWidth="1"/>
    <col min="12527" max="12527" width="9" style="149" bestFit="1" customWidth="1"/>
    <col min="12528" max="12528" width="42.140625" style="149" customWidth="1"/>
    <col min="12529" max="12529" width="10.42578125" style="149" customWidth="1"/>
    <col min="12530" max="12530" width="12.140625" style="149" customWidth="1"/>
    <col min="12531" max="12531" width="7.140625" style="149" bestFit="1" customWidth="1"/>
    <col min="12532" max="12532" width="3.5703125" style="149" customWidth="1"/>
    <col min="12533" max="12533" width="9.140625" style="149"/>
    <col min="12534" max="12534" width="10.140625" style="149" bestFit="1" customWidth="1"/>
    <col min="12535" max="12535" width="10.42578125" style="149" customWidth="1"/>
    <col min="12536" max="12536" width="10.140625" style="149" bestFit="1" customWidth="1"/>
    <col min="12537" max="12537" width="12.140625" style="149" customWidth="1"/>
    <col min="12538" max="12538" width="12" style="149" customWidth="1"/>
    <col min="12539" max="12540" width="10.42578125" style="149" customWidth="1"/>
    <col min="12541" max="12781" width="9.140625" style="149"/>
    <col min="12782" max="12782" width="10.5703125" style="149" bestFit="1" customWidth="1"/>
    <col min="12783" max="12783" width="9" style="149" bestFit="1" customWidth="1"/>
    <col min="12784" max="12784" width="42.140625" style="149" customWidth="1"/>
    <col min="12785" max="12785" width="10.42578125" style="149" customWidth="1"/>
    <col min="12786" max="12786" width="12.140625" style="149" customWidth="1"/>
    <col min="12787" max="12787" width="7.140625" style="149" bestFit="1" customWidth="1"/>
    <col min="12788" max="12788" width="3.5703125" style="149" customWidth="1"/>
    <col min="12789" max="12789" width="9.140625" style="149"/>
    <col min="12790" max="12790" width="10.140625" style="149" bestFit="1" customWidth="1"/>
    <col min="12791" max="12791" width="10.42578125" style="149" customWidth="1"/>
    <col min="12792" max="12792" width="10.140625" style="149" bestFit="1" customWidth="1"/>
    <col min="12793" max="12793" width="12.140625" style="149" customWidth="1"/>
    <col min="12794" max="12794" width="12" style="149" customWidth="1"/>
    <col min="12795" max="12796" width="10.42578125" style="149" customWidth="1"/>
    <col min="12797" max="13037" width="9.140625" style="149"/>
    <col min="13038" max="13038" width="10.5703125" style="149" bestFit="1" customWidth="1"/>
    <col min="13039" max="13039" width="9" style="149" bestFit="1" customWidth="1"/>
    <col min="13040" max="13040" width="42.140625" style="149" customWidth="1"/>
    <col min="13041" max="13041" width="10.42578125" style="149" customWidth="1"/>
    <col min="13042" max="13042" width="12.140625" style="149" customWidth="1"/>
    <col min="13043" max="13043" width="7.140625" style="149" bestFit="1" customWidth="1"/>
    <col min="13044" max="13044" width="3.5703125" style="149" customWidth="1"/>
    <col min="13045" max="13045" width="9.140625" style="149"/>
    <col min="13046" max="13046" width="10.140625" style="149" bestFit="1" customWidth="1"/>
    <col min="13047" max="13047" width="10.42578125" style="149" customWidth="1"/>
    <col min="13048" max="13048" width="10.140625" style="149" bestFit="1" customWidth="1"/>
    <col min="13049" max="13049" width="12.140625" style="149" customWidth="1"/>
    <col min="13050" max="13050" width="12" style="149" customWidth="1"/>
    <col min="13051" max="13052" width="10.42578125" style="149" customWidth="1"/>
    <col min="13053" max="13293" width="9.140625" style="149"/>
    <col min="13294" max="13294" width="10.5703125" style="149" bestFit="1" customWidth="1"/>
    <col min="13295" max="13295" width="9" style="149" bestFit="1" customWidth="1"/>
    <col min="13296" max="13296" width="42.140625" style="149" customWidth="1"/>
    <col min="13297" max="13297" width="10.42578125" style="149" customWidth="1"/>
    <col min="13298" max="13298" width="12.140625" style="149" customWidth="1"/>
    <col min="13299" max="13299" width="7.140625" style="149" bestFit="1" customWidth="1"/>
    <col min="13300" max="13300" width="3.5703125" style="149" customWidth="1"/>
    <col min="13301" max="13301" width="9.140625" style="149"/>
    <col min="13302" max="13302" width="10.140625" style="149" bestFit="1" customWidth="1"/>
    <col min="13303" max="13303" width="10.42578125" style="149" customWidth="1"/>
    <col min="13304" max="13304" width="10.140625" style="149" bestFit="1" customWidth="1"/>
    <col min="13305" max="13305" width="12.140625" style="149" customWidth="1"/>
    <col min="13306" max="13306" width="12" style="149" customWidth="1"/>
    <col min="13307" max="13308" width="10.42578125" style="149" customWidth="1"/>
    <col min="13309" max="13549" width="9.140625" style="149"/>
    <col min="13550" max="13550" width="10.5703125" style="149" bestFit="1" customWidth="1"/>
    <col min="13551" max="13551" width="9" style="149" bestFit="1" customWidth="1"/>
    <col min="13552" max="13552" width="42.140625" style="149" customWidth="1"/>
    <col min="13553" max="13553" width="10.42578125" style="149" customWidth="1"/>
    <col min="13554" max="13554" width="12.140625" style="149" customWidth="1"/>
    <col min="13555" max="13555" width="7.140625" style="149" bestFit="1" customWidth="1"/>
    <col min="13556" max="13556" width="3.5703125" style="149" customWidth="1"/>
    <col min="13557" max="13557" width="9.140625" style="149"/>
    <col min="13558" max="13558" width="10.140625" style="149" bestFit="1" customWidth="1"/>
    <col min="13559" max="13559" width="10.42578125" style="149" customWidth="1"/>
    <col min="13560" max="13560" width="10.140625" style="149" bestFit="1" customWidth="1"/>
    <col min="13561" max="13561" width="12.140625" style="149" customWidth="1"/>
    <col min="13562" max="13562" width="12" style="149" customWidth="1"/>
    <col min="13563" max="13564" width="10.42578125" style="149" customWidth="1"/>
    <col min="13565" max="13805" width="9.140625" style="149"/>
    <col min="13806" max="13806" width="10.5703125" style="149" bestFit="1" customWidth="1"/>
    <col min="13807" max="13807" width="9" style="149" bestFit="1" customWidth="1"/>
    <col min="13808" max="13808" width="42.140625" style="149" customWidth="1"/>
    <col min="13809" max="13809" width="10.42578125" style="149" customWidth="1"/>
    <col min="13810" max="13810" width="12.140625" style="149" customWidth="1"/>
    <col min="13811" max="13811" width="7.140625" style="149" bestFit="1" customWidth="1"/>
    <col min="13812" max="13812" width="3.5703125" style="149" customWidth="1"/>
    <col min="13813" max="13813" width="9.140625" style="149"/>
    <col min="13814" max="13814" width="10.140625" style="149" bestFit="1" customWidth="1"/>
    <col min="13815" max="13815" width="10.42578125" style="149" customWidth="1"/>
    <col min="13816" max="13816" width="10.140625" style="149" bestFit="1" customWidth="1"/>
    <col min="13817" max="13817" width="12.140625" style="149" customWidth="1"/>
    <col min="13818" max="13818" width="12" style="149" customWidth="1"/>
    <col min="13819" max="13820" width="10.42578125" style="149" customWidth="1"/>
    <col min="13821" max="14061" width="9.140625" style="149"/>
    <col min="14062" max="14062" width="10.5703125" style="149" bestFit="1" customWidth="1"/>
    <col min="14063" max="14063" width="9" style="149" bestFit="1" customWidth="1"/>
    <col min="14064" max="14064" width="42.140625" style="149" customWidth="1"/>
    <col min="14065" max="14065" width="10.42578125" style="149" customWidth="1"/>
    <col min="14066" max="14066" width="12.140625" style="149" customWidth="1"/>
    <col min="14067" max="14067" width="7.140625" style="149" bestFit="1" customWidth="1"/>
    <col min="14068" max="14068" width="3.5703125" style="149" customWidth="1"/>
    <col min="14069" max="14069" width="9.140625" style="149"/>
    <col min="14070" max="14070" width="10.140625" style="149" bestFit="1" customWidth="1"/>
    <col min="14071" max="14071" width="10.42578125" style="149" customWidth="1"/>
    <col min="14072" max="14072" width="10.140625" style="149" bestFit="1" customWidth="1"/>
    <col min="14073" max="14073" width="12.140625" style="149" customWidth="1"/>
    <col min="14074" max="14074" width="12" style="149" customWidth="1"/>
    <col min="14075" max="14076" width="10.42578125" style="149" customWidth="1"/>
    <col min="14077" max="14317" width="9.140625" style="149"/>
    <col min="14318" max="14318" width="10.5703125" style="149" bestFit="1" customWidth="1"/>
    <col min="14319" max="14319" width="9" style="149" bestFit="1" customWidth="1"/>
    <col min="14320" max="14320" width="42.140625" style="149" customWidth="1"/>
    <col min="14321" max="14321" width="10.42578125" style="149" customWidth="1"/>
    <col min="14322" max="14322" width="12.140625" style="149" customWidth="1"/>
    <col min="14323" max="14323" width="7.140625" style="149" bestFit="1" customWidth="1"/>
    <col min="14324" max="14324" width="3.5703125" style="149" customWidth="1"/>
    <col min="14325" max="14325" width="9.140625" style="149"/>
    <col min="14326" max="14326" width="10.140625" style="149" bestFit="1" customWidth="1"/>
    <col min="14327" max="14327" width="10.42578125" style="149" customWidth="1"/>
    <col min="14328" max="14328" width="10.140625" style="149" bestFit="1" customWidth="1"/>
    <col min="14329" max="14329" width="12.140625" style="149" customWidth="1"/>
    <col min="14330" max="14330" width="12" style="149" customWidth="1"/>
    <col min="14331" max="14332" width="10.42578125" style="149" customWidth="1"/>
    <col min="14333" max="14573" width="9.140625" style="149"/>
    <col min="14574" max="14574" width="10.5703125" style="149" bestFit="1" customWidth="1"/>
    <col min="14575" max="14575" width="9" style="149" bestFit="1" customWidth="1"/>
    <col min="14576" max="14576" width="42.140625" style="149" customWidth="1"/>
    <col min="14577" max="14577" width="10.42578125" style="149" customWidth="1"/>
    <col min="14578" max="14578" width="12.140625" style="149" customWidth="1"/>
    <col min="14579" max="14579" width="7.140625" style="149" bestFit="1" customWidth="1"/>
    <col min="14580" max="14580" width="3.5703125" style="149" customWidth="1"/>
    <col min="14581" max="14581" width="9.140625" style="149"/>
    <col min="14582" max="14582" width="10.140625" style="149" bestFit="1" customWidth="1"/>
    <col min="14583" max="14583" width="10.42578125" style="149" customWidth="1"/>
    <col min="14584" max="14584" width="10.140625" style="149" bestFit="1" customWidth="1"/>
    <col min="14585" max="14585" width="12.140625" style="149" customWidth="1"/>
    <col min="14586" max="14586" width="12" style="149" customWidth="1"/>
    <col min="14587" max="14588" width="10.42578125" style="149" customWidth="1"/>
    <col min="14589" max="14829" width="9.140625" style="149"/>
    <col min="14830" max="14830" width="10.5703125" style="149" bestFit="1" customWidth="1"/>
    <col min="14831" max="14831" width="9" style="149" bestFit="1" customWidth="1"/>
    <col min="14832" max="14832" width="42.140625" style="149" customWidth="1"/>
    <col min="14833" max="14833" width="10.42578125" style="149" customWidth="1"/>
    <col min="14834" max="14834" width="12.140625" style="149" customWidth="1"/>
    <col min="14835" max="14835" width="7.140625" style="149" bestFit="1" customWidth="1"/>
    <col min="14836" max="14836" width="3.5703125" style="149" customWidth="1"/>
    <col min="14837" max="14837" width="9.140625" style="149"/>
    <col min="14838" max="14838" width="10.140625" style="149" bestFit="1" customWidth="1"/>
    <col min="14839" max="14839" width="10.42578125" style="149" customWidth="1"/>
    <col min="14840" max="14840" width="10.140625" style="149" bestFit="1" customWidth="1"/>
    <col min="14841" max="14841" width="12.140625" style="149" customWidth="1"/>
    <col min="14842" max="14842" width="12" style="149" customWidth="1"/>
    <col min="14843" max="14844" width="10.42578125" style="149" customWidth="1"/>
    <col min="14845" max="15085" width="9.140625" style="149"/>
    <col min="15086" max="15086" width="10.5703125" style="149" bestFit="1" customWidth="1"/>
    <col min="15087" max="15087" width="9" style="149" bestFit="1" customWidth="1"/>
    <col min="15088" max="15088" width="42.140625" style="149" customWidth="1"/>
    <col min="15089" max="15089" width="10.42578125" style="149" customWidth="1"/>
    <col min="15090" max="15090" width="12.140625" style="149" customWidth="1"/>
    <col min="15091" max="15091" width="7.140625" style="149" bestFit="1" customWidth="1"/>
    <col min="15092" max="15092" width="3.5703125" style="149" customWidth="1"/>
    <col min="15093" max="15093" width="9.140625" style="149"/>
    <col min="15094" max="15094" width="10.140625" style="149" bestFit="1" customWidth="1"/>
    <col min="15095" max="15095" width="10.42578125" style="149" customWidth="1"/>
    <col min="15096" max="15096" width="10.140625" style="149" bestFit="1" customWidth="1"/>
    <col min="15097" max="15097" width="12.140625" style="149" customWidth="1"/>
    <col min="15098" max="15098" width="12" style="149" customWidth="1"/>
    <col min="15099" max="15100" width="10.42578125" style="149" customWidth="1"/>
    <col min="15101" max="15341" width="9.140625" style="149"/>
    <col min="15342" max="15342" width="10.5703125" style="149" bestFit="1" customWidth="1"/>
    <col min="15343" max="15343" width="9" style="149" bestFit="1" customWidth="1"/>
    <col min="15344" max="15344" width="42.140625" style="149" customWidth="1"/>
    <col min="15345" max="15345" width="10.42578125" style="149" customWidth="1"/>
    <col min="15346" max="15346" width="12.140625" style="149" customWidth="1"/>
    <col min="15347" max="15347" width="7.140625" style="149" bestFit="1" customWidth="1"/>
    <col min="15348" max="15348" width="3.5703125" style="149" customWidth="1"/>
    <col min="15349" max="15349" width="9.140625" style="149"/>
    <col min="15350" max="15350" width="10.140625" style="149" bestFit="1" customWidth="1"/>
    <col min="15351" max="15351" width="10.42578125" style="149" customWidth="1"/>
    <col min="15352" max="15352" width="10.140625" style="149" bestFit="1" customWidth="1"/>
    <col min="15353" max="15353" width="12.140625" style="149" customWidth="1"/>
    <col min="15354" max="15354" width="12" style="149" customWidth="1"/>
    <col min="15355" max="15356" width="10.42578125" style="149" customWidth="1"/>
    <col min="15357" max="15597" width="9.140625" style="149"/>
    <col min="15598" max="15598" width="10.5703125" style="149" bestFit="1" customWidth="1"/>
    <col min="15599" max="15599" width="9" style="149" bestFit="1" customWidth="1"/>
    <col min="15600" max="15600" width="42.140625" style="149" customWidth="1"/>
    <col min="15601" max="15601" width="10.42578125" style="149" customWidth="1"/>
    <col min="15602" max="15602" width="12.140625" style="149" customWidth="1"/>
    <col min="15603" max="15603" width="7.140625" style="149" bestFit="1" customWidth="1"/>
    <col min="15604" max="15604" width="3.5703125" style="149" customWidth="1"/>
    <col min="15605" max="15605" width="9.140625" style="149"/>
    <col min="15606" max="15606" width="10.140625" style="149" bestFit="1" customWidth="1"/>
    <col min="15607" max="15607" width="10.42578125" style="149" customWidth="1"/>
    <col min="15608" max="15608" width="10.140625" style="149" bestFit="1" customWidth="1"/>
    <col min="15609" max="15609" width="12.140625" style="149" customWidth="1"/>
    <col min="15610" max="15610" width="12" style="149" customWidth="1"/>
    <col min="15611" max="15612" width="10.42578125" style="149" customWidth="1"/>
    <col min="15613" max="15853" width="9.140625" style="149"/>
    <col min="15854" max="15854" width="10.5703125" style="149" bestFit="1" customWidth="1"/>
    <col min="15855" max="15855" width="9" style="149" bestFit="1" customWidth="1"/>
    <col min="15856" max="15856" width="42.140625" style="149" customWidth="1"/>
    <col min="15857" max="15857" width="10.42578125" style="149" customWidth="1"/>
    <col min="15858" max="15858" width="12.140625" style="149" customWidth="1"/>
    <col min="15859" max="15859" width="7.140625" style="149" bestFit="1" customWidth="1"/>
    <col min="15860" max="15860" width="3.5703125" style="149" customWidth="1"/>
    <col min="15861" max="15861" width="9.140625" style="149"/>
    <col min="15862" max="15862" width="10.140625" style="149" bestFit="1" customWidth="1"/>
    <col min="15863" max="15863" width="10.42578125" style="149" customWidth="1"/>
    <col min="15864" max="15864" width="10.140625" style="149" bestFit="1" customWidth="1"/>
    <col min="15865" max="15865" width="12.140625" style="149" customWidth="1"/>
    <col min="15866" max="15866" width="12" style="149" customWidth="1"/>
    <col min="15867" max="15868" width="10.42578125" style="149" customWidth="1"/>
    <col min="15869" max="16109" width="9.140625" style="149"/>
    <col min="16110" max="16110" width="10.5703125" style="149" bestFit="1" customWidth="1"/>
    <col min="16111" max="16111" width="9" style="149" bestFit="1" customWidth="1"/>
    <col min="16112" max="16112" width="42.140625" style="149" customWidth="1"/>
    <col min="16113" max="16113" width="10.42578125" style="149" customWidth="1"/>
    <col min="16114" max="16114" width="12.140625" style="149" customWidth="1"/>
    <col min="16115" max="16115" width="7.140625" style="149" bestFit="1" customWidth="1"/>
    <col min="16116" max="16116" width="3.5703125" style="149" customWidth="1"/>
    <col min="16117" max="16117" width="9.140625" style="149"/>
    <col min="16118" max="16118" width="10.140625" style="149" bestFit="1" customWidth="1"/>
    <col min="16119" max="16119" width="10.42578125" style="149" customWidth="1"/>
    <col min="16120" max="16120" width="10.140625" style="149" bestFit="1" customWidth="1"/>
    <col min="16121" max="16121" width="12.140625" style="149" customWidth="1"/>
    <col min="16122" max="16122" width="12" style="149" customWidth="1"/>
    <col min="16123" max="16124" width="10.42578125" style="149" customWidth="1"/>
    <col min="16125" max="16384" width="9.140625" style="149"/>
  </cols>
  <sheetData>
    <row r="1" spans="1:20" ht="15" customHeight="1" x14ac:dyDescent="0.25">
      <c r="B1" s="323" t="s">
        <v>377</v>
      </c>
    </row>
    <row r="2" spans="1:20" s="174" customFormat="1" ht="18.75" x14ac:dyDescent="0.25">
      <c r="B2" s="30" t="s">
        <v>249</v>
      </c>
      <c r="C2" s="150"/>
      <c r="D2" s="31"/>
      <c r="E2" s="31"/>
      <c r="F2" s="31"/>
      <c r="G2" s="31"/>
      <c r="H2" s="31"/>
      <c r="I2" s="31"/>
      <c r="J2" s="31"/>
      <c r="K2" s="31"/>
      <c r="L2" s="31"/>
      <c r="M2" s="31"/>
      <c r="N2" s="31"/>
      <c r="O2" s="31"/>
      <c r="P2" s="31"/>
      <c r="Q2" s="31"/>
      <c r="R2" s="31"/>
      <c r="S2" s="31"/>
      <c r="T2" s="31"/>
    </row>
    <row r="3" spans="1:20" ht="15" customHeight="1" x14ac:dyDescent="0.25"/>
    <row r="4" spans="1:20" ht="15" customHeight="1" x14ac:dyDescent="0.25">
      <c r="B4" s="324" t="s">
        <v>57</v>
      </c>
      <c r="C4" s="325" t="s">
        <v>247</v>
      </c>
    </row>
    <row r="5" spans="1:20" ht="15" customHeight="1" x14ac:dyDescent="0.25">
      <c r="B5" s="324" t="s">
        <v>232</v>
      </c>
      <c r="C5" s="325" t="s">
        <v>250</v>
      </c>
    </row>
    <row r="6" spans="1:20" ht="15" customHeight="1" thickBot="1" x14ac:dyDescent="0.3"/>
    <row r="7" spans="1:20" ht="30.75" thickBot="1" x14ac:dyDescent="0.3">
      <c r="A7" s="13"/>
      <c r="B7" s="859" t="str">
        <f>'Price Adjustments'!B3</f>
        <v>Adjustment Type</v>
      </c>
      <c r="C7" s="129" t="str">
        <f>'Price Adjustments'!D3</f>
        <v>2014/15</v>
      </c>
      <c r="D7" s="128" t="str">
        <f>'Price Adjustments'!E3</f>
        <v>2015/16</v>
      </c>
      <c r="E7" s="128" t="str">
        <f>'Price Adjustments'!F3</f>
        <v>2016/17</v>
      </c>
      <c r="F7"/>
      <c r="G7" s="14"/>
      <c r="P7" s="14"/>
      <c r="Q7" s="149"/>
    </row>
    <row r="8" spans="1:20" ht="15" customHeight="1" x14ac:dyDescent="0.25">
      <c r="A8" s="13"/>
      <c r="B8" s="855" t="str">
        <f>'Price Adjustments'!B4</f>
        <v>Inflation</v>
      </c>
      <c r="C8" s="131">
        <f>'Price Adjustments'!D4</f>
        <v>2.5000000000000001E-2</v>
      </c>
      <c r="D8" s="131">
        <f>'Price Adjustments'!E4</f>
        <v>1.92529689878824E-2</v>
      </c>
      <c r="E8" s="309">
        <f>'Price Adjustments'!F4</f>
        <v>0</v>
      </c>
      <c r="F8"/>
      <c r="G8" s="14"/>
      <c r="P8" s="14"/>
      <c r="Q8" s="149"/>
    </row>
    <row r="9" spans="1:20" ht="15" customHeight="1" x14ac:dyDescent="0.25">
      <c r="A9" s="13"/>
      <c r="B9" s="855" t="str">
        <f>'Price Adjustments'!B5</f>
        <v>Efficiency*</v>
      </c>
      <c r="C9" s="131">
        <f>'Price Adjustments'!D5</f>
        <v>-0.04</v>
      </c>
      <c r="D9" s="131">
        <f>'Price Adjustments'!E5</f>
        <v>-3.5000000000000003E-2</v>
      </c>
      <c r="E9" s="309">
        <f>'Price Adjustments'!F5</f>
        <v>0</v>
      </c>
      <c r="F9"/>
      <c r="G9" s="14"/>
      <c r="P9" s="14"/>
      <c r="Q9" s="149"/>
    </row>
    <row r="10" spans="1:20" ht="51" x14ac:dyDescent="0.25">
      <c r="A10" s="13"/>
      <c r="B10" s="856" t="str">
        <f>'Price Adjustments'!B6</f>
        <v>Inflation and Efficiency (total adjustment)</v>
      </c>
      <c r="C10" s="131">
        <f>'Price Adjustments'!D6</f>
        <v>-1.4999999999999999E-2</v>
      </c>
      <c r="D10" s="131">
        <f>'Price Adjustments'!E6</f>
        <v>-1.6420884926693469E-2</v>
      </c>
      <c r="E10" s="309">
        <f>'Price Adjustments'!F6</f>
        <v>0</v>
      </c>
      <c r="F10"/>
      <c r="G10" s="14"/>
      <c r="P10" s="14"/>
      <c r="Q10" s="149"/>
    </row>
    <row r="11" spans="1:20" ht="15" customHeight="1" thickBot="1" x14ac:dyDescent="0.3">
      <c r="B11" s="857"/>
      <c r="C11" s="133"/>
      <c r="D11" s="133"/>
      <c r="E11" s="858"/>
      <c r="F11" s="14"/>
      <c r="G11" s="14"/>
      <c r="P11" s="14"/>
      <c r="Q11" s="149"/>
    </row>
    <row r="12" spans="1:20" ht="12" thickBot="1" x14ac:dyDescent="0.25">
      <c r="B12" s="330">
        <v>1</v>
      </c>
      <c r="C12" s="330">
        <f>B12+1</f>
        <v>2</v>
      </c>
      <c r="D12" s="330">
        <f t="shared" ref="D12:T12" si="0">C12+1</f>
        <v>3</v>
      </c>
      <c r="E12" s="330">
        <f t="shared" si="0"/>
        <v>4</v>
      </c>
      <c r="F12" s="330">
        <f t="shared" si="0"/>
        <v>5</v>
      </c>
      <c r="G12" s="330">
        <f t="shared" si="0"/>
        <v>6</v>
      </c>
      <c r="H12" s="330">
        <f t="shared" si="0"/>
        <v>7</v>
      </c>
      <c r="I12" s="330">
        <f t="shared" si="0"/>
        <v>8</v>
      </c>
      <c r="J12" s="330">
        <f t="shared" si="0"/>
        <v>9</v>
      </c>
      <c r="K12" s="330">
        <f t="shared" si="0"/>
        <v>10</v>
      </c>
      <c r="L12" s="330">
        <f t="shared" si="0"/>
        <v>11</v>
      </c>
      <c r="M12" s="330">
        <f t="shared" si="0"/>
        <v>12</v>
      </c>
      <c r="N12" s="330">
        <f t="shared" si="0"/>
        <v>13</v>
      </c>
      <c r="O12" s="330">
        <f t="shared" si="0"/>
        <v>14</v>
      </c>
      <c r="P12" s="330">
        <f t="shared" si="0"/>
        <v>15</v>
      </c>
      <c r="Q12" s="330">
        <f t="shared" si="0"/>
        <v>16</v>
      </c>
      <c r="R12" s="330">
        <f t="shared" si="0"/>
        <v>17</v>
      </c>
      <c r="S12" s="330">
        <f t="shared" si="0"/>
        <v>18</v>
      </c>
      <c r="T12" s="330">
        <f t="shared" si="0"/>
        <v>19</v>
      </c>
    </row>
    <row r="13" spans="1:20" ht="15" customHeight="1" thickBot="1" x14ac:dyDescent="0.3">
      <c r="D13" s="912" t="s">
        <v>244</v>
      </c>
      <c r="E13" s="913"/>
      <c r="F13" s="326"/>
      <c r="G13" s="909" t="s">
        <v>245</v>
      </c>
      <c r="H13" s="910"/>
      <c r="I13" s="910"/>
      <c r="J13" s="911"/>
      <c r="L13" s="912" t="s">
        <v>266</v>
      </c>
      <c r="M13" s="914"/>
      <c r="N13" s="913"/>
      <c r="P13" s="14"/>
      <c r="Q13" s="107"/>
    </row>
    <row r="14" spans="1:20" ht="73.5" customHeight="1" thickBot="1" x14ac:dyDescent="0.25">
      <c r="A14" s="6"/>
      <c r="B14" s="151" t="s">
        <v>315</v>
      </c>
      <c r="C14" s="152" t="s">
        <v>84</v>
      </c>
      <c r="D14" s="153" t="s">
        <v>251</v>
      </c>
      <c r="E14" s="154" t="s">
        <v>920</v>
      </c>
      <c r="F14" s="35"/>
      <c r="G14" s="310" t="s">
        <v>85</v>
      </c>
      <c r="H14" s="153" t="s">
        <v>963</v>
      </c>
      <c r="I14" s="153" t="s">
        <v>928</v>
      </c>
      <c r="J14" s="154" t="s">
        <v>929</v>
      </c>
      <c r="K14" s="35"/>
      <c r="L14" s="96" t="str">
        <f>Rad_Calc!O20</f>
        <v>Inflation and Efficiency (total adjustment) 2014/15 &amp; 2015/16</v>
      </c>
      <c r="M14" s="97" t="str">
        <f>Rad_Calc!P20</f>
        <v>CNST
2014/15 &amp; 2015/16</v>
      </c>
      <c r="N14" s="98" t="str">
        <f>Rad_Calc!Q20</f>
        <v>Total Adjustment</v>
      </c>
      <c r="O14" s="35"/>
      <c r="P14" s="70" t="s">
        <v>922</v>
      </c>
      <c r="Q14" s="525"/>
      <c r="R14" s="331" t="s">
        <v>474</v>
      </c>
      <c r="S14" s="525"/>
      <c r="T14" s="70" t="s">
        <v>921</v>
      </c>
    </row>
    <row r="15" spans="1:20" ht="12" customHeight="1" x14ac:dyDescent="0.2">
      <c r="A15" s="6"/>
      <c r="B15" s="185" t="s">
        <v>32</v>
      </c>
      <c r="C15" s="186" t="s">
        <v>146</v>
      </c>
      <c r="D15" s="580">
        <f>VLOOKUP(B15,Input_Rad!$E$14:$G$59,2,FALSE)</f>
        <v>124004</v>
      </c>
      <c r="E15" s="581">
        <f>VLOOKUP(B15,Input_Rad!$E$14:$G$59,3,FALSE)</f>
        <v>18177659.668724101</v>
      </c>
      <c r="F15" s="582"/>
      <c r="G15" s="311">
        <v>0.8</v>
      </c>
      <c r="H15" s="485">
        <f t="shared" ref="H15:H20" si="1">D15*G15</f>
        <v>99203.200000000012</v>
      </c>
      <c r="I15" s="488">
        <f t="shared" ref="I15:I20" si="2">SUM($E$15:$E$20)/SUM($H$15:$H$19)</f>
        <v>154.18978131569739</v>
      </c>
      <c r="J15" s="489">
        <f>G15*I15</f>
        <v>123.35182505255791</v>
      </c>
      <c r="K15" s="582"/>
      <c r="L15" s="583">
        <f t="shared" ref="L15:L20" si="3">(1+$C$10)*(1+$D$10)-1</f>
        <v>-3.1174571652793026E-2</v>
      </c>
      <c r="M15" s="584">
        <v>0</v>
      </c>
      <c r="N15" s="585">
        <f t="shared" ref="N15:N20" si="4">(1+L15)*(1+M15)-1</f>
        <v>-3.1174571652793026E-2</v>
      </c>
      <c r="O15" s="582"/>
      <c r="P15" s="586">
        <f>J15*(1+N15)</f>
        <v>119.50638474395416</v>
      </c>
      <c r="Q15" s="525"/>
      <c r="R15" s="538">
        <f>'Price Adjustments'!$D$92</f>
        <v>3.6740734670521746E-3</v>
      </c>
      <c r="S15" s="525"/>
      <c r="T15" s="494">
        <f>P15*(1+R15)</f>
        <v>119.94545998128525</v>
      </c>
    </row>
    <row r="16" spans="1:20" ht="12" customHeight="1" x14ac:dyDescent="0.2">
      <c r="A16" s="6"/>
      <c r="B16" s="101" t="s">
        <v>33</v>
      </c>
      <c r="C16" s="28" t="s">
        <v>347</v>
      </c>
      <c r="D16" s="587">
        <f>VLOOKUP(B16,Input_Rad!$E$14:$G$59,2,FALSE)</f>
        <v>283812</v>
      </c>
      <c r="E16" s="588">
        <f>VLOOKUP(B16,Input_Rad!$E$14:$G$59,3,FALSE)</f>
        <v>60172558.390887201</v>
      </c>
      <c r="F16" s="582"/>
      <c r="G16" s="312">
        <v>1</v>
      </c>
      <c r="H16" s="486">
        <f t="shared" si="1"/>
        <v>283812</v>
      </c>
      <c r="I16" s="490">
        <f t="shared" si="2"/>
        <v>154.18978131569739</v>
      </c>
      <c r="J16" s="491">
        <f t="shared" ref="J16:J19" si="5">G16*I16</f>
        <v>154.18978131569739</v>
      </c>
      <c r="K16" s="582"/>
      <c r="L16" s="589">
        <f t="shared" si="3"/>
        <v>-3.1174571652793026E-2</v>
      </c>
      <c r="M16" s="590">
        <v>0</v>
      </c>
      <c r="N16" s="591">
        <f t="shared" si="4"/>
        <v>-3.1174571652793026E-2</v>
      </c>
      <c r="O16" s="582"/>
      <c r="P16" s="592">
        <f t="shared" ref="P16:P20" si="6">J16*(1+N16)</f>
        <v>149.3829809299427</v>
      </c>
      <c r="Q16" s="525"/>
      <c r="R16" s="545">
        <f>'Price Adjustments'!$D$92</f>
        <v>3.6740734670521746E-3</v>
      </c>
      <c r="S16" s="42"/>
      <c r="T16" s="495">
        <f t="shared" ref="T16:T20" si="7">P16*(1+R16)</f>
        <v>149.93182497660658</v>
      </c>
    </row>
    <row r="17" spans="1:20" ht="12" customHeight="1" x14ac:dyDescent="0.2">
      <c r="A17" s="6"/>
      <c r="B17" s="93" t="s">
        <v>34</v>
      </c>
      <c r="C17" s="28" t="s">
        <v>348</v>
      </c>
      <c r="D17" s="587">
        <f>VLOOKUP(B17,Input_Rad!$E$14:$G$59,2,FALSE)</f>
        <v>160409</v>
      </c>
      <c r="E17" s="588">
        <f>VLOOKUP(B17,Input_Rad!$E$14:$G$59,3,FALSE)</f>
        <v>44756321.113845803</v>
      </c>
      <c r="F17" s="582"/>
      <c r="G17" s="312">
        <v>2</v>
      </c>
      <c r="H17" s="486">
        <f t="shared" si="1"/>
        <v>320818</v>
      </c>
      <c r="I17" s="490">
        <f t="shared" si="2"/>
        <v>154.18978131569739</v>
      </c>
      <c r="J17" s="491">
        <f t="shared" si="5"/>
        <v>308.37956263139478</v>
      </c>
      <c r="K17" s="582"/>
      <c r="L17" s="589">
        <f t="shared" si="3"/>
        <v>-3.1174571652793026E-2</v>
      </c>
      <c r="M17" s="590">
        <v>0</v>
      </c>
      <c r="N17" s="591">
        <f t="shared" si="4"/>
        <v>-3.1174571652793026E-2</v>
      </c>
      <c r="O17" s="582"/>
      <c r="P17" s="592">
        <f t="shared" si="6"/>
        <v>298.76596185988541</v>
      </c>
      <c r="Q17" s="525"/>
      <c r="R17" s="545">
        <f>'Price Adjustments'!$D$92</f>
        <v>3.6740734670521746E-3</v>
      </c>
      <c r="S17" s="42"/>
      <c r="T17" s="495">
        <f t="shared" si="7"/>
        <v>299.86364995321316</v>
      </c>
    </row>
    <row r="18" spans="1:20" ht="12" customHeight="1" x14ac:dyDescent="0.2">
      <c r="A18" s="6"/>
      <c r="B18" s="101" t="s">
        <v>35</v>
      </c>
      <c r="C18" s="28" t="s">
        <v>349</v>
      </c>
      <c r="D18" s="587">
        <f>VLOOKUP(B18,Input_Rad!$E$14:$G$59,2,FALSE)</f>
        <v>193281</v>
      </c>
      <c r="E18" s="588">
        <f>VLOOKUP(B18,Input_Rad!$E$14:$G$59,3,FALSE)</f>
        <v>66933245.235567398</v>
      </c>
      <c r="F18" s="582"/>
      <c r="G18" s="312">
        <v>3</v>
      </c>
      <c r="H18" s="486">
        <f t="shared" si="1"/>
        <v>579843</v>
      </c>
      <c r="I18" s="490">
        <f t="shared" si="2"/>
        <v>154.18978131569739</v>
      </c>
      <c r="J18" s="491">
        <f t="shared" si="5"/>
        <v>462.56934394709219</v>
      </c>
      <c r="K18" s="582"/>
      <c r="L18" s="589">
        <f t="shared" si="3"/>
        <v>-3.1174571652793026E-2</v>
      </c>
      <c r="M18" s="590">
        <v>0</v>
      </c>
      <c r="N18" s="591">
        <f t="shared" si="4"/>
        <v>-3.1174571652793026E-2</v>
      </c>
      <c r="O18" s="582"/>
      <c r="P18" s="592">
        <f t="shared" si="6"/>
        <v>448.14894278982808</v>
      </c>
      <c r="Q18" s="525"/>
      <c r="R18" s="545">
        <f>'Price Adjustments'!$D$92</f>
        <v>3.6740734670521746E-3</v>
      </c>
      <c r="S18" s="42"/>
      <c r="T18" s="495">
        <f t="shared" si="7"/>
        <v>449.79547492981965</v>
      </c>
    </row>
    <row r="19" spans="1:20" ht="12" customHeight="1" x14ac:dyDescent="0.2">
      <c r="A19" s="6"/>
      <c r="B19" s="444" t="s">
        <v>36</v>
      </c>
      <c r="C19" s="28" t="s">
        <v>147</v>
      </c>
      <c r="D19" s="587">
        <f>VLOOKUP(B19,Input_Rad!$E$14:$G$59,2,FALSE)</f>
        <v>210886</v>
      </c>
      <c r="E19" s="588">
        <f>VLOOKUP(B19,Input_Rad!$E$14:$G$59,3,FALSE)</f>
        <v>62752361.213306502</v>
      </c>
      <c r="F19" s="582"/>
      <c r="G19" s="312">
        <v>2</v>
      </c>
      <c r="H19" s="486">
        <f t="shared" si="1"/>
        <v>421772</v>
      </c>
      <c r="I19" s="490">
        <f t="shared" si="2"/>
        <v>154.18978131569739</v>
      </c>
      <c r="J19" s="491">
        <f t="shared" si="5"/>
        <v>308.37956263139478</v>
      </c>
      <c r="K19" s="582"/>
      <c r="L19" s="589">
        <f t="shared" si="3"/>
        <v>-3.1174571652793026E-2</v>
      </c>
      <c r="M19" s="590">
        <v>0</v>
      </c>
      <c r="N19" s="591">
        <f t="shared" si="4"/>
        <v>-3.1174571652793026E-2</v>
      </c>
      <c r="O19" s="582"/>
      <c r="P19" s="592">
        <f t="shared" si="6"/>
        <v>298.76596185988541</v>
      </c>
      <c r="Q19" s="525"/>
      <c r="R19" s="545">
        <f>'Price Adjustments'!$D$92</f>
        <v>3.6740734670521746E-3</v>
      </c>
      <c r="S19" s="42"/>
      <c r="T19" s="495">
        <f t="shared" si="7"/>
        <v>299.86364995321316</v>
      </c>
    </row>
    <row r="20" spans="1:20" ht="12" customHeight="1" thickBot="1" x14ac:dyDescent="0.25">
      <c r="A20" s="6"/>
      <c r="B20" s="316" t="s">
        <v>38</v>
      </c>
      <c r="C20" s="388" t="s">
        <v>148</v>
      </c>
      <c r="D20" s="593">
        <f>VLOOKUP(B20,Input_Rad!$E$14:$G$59,2,FALSE)</f>
        <v>56185</v>
      </c>
      <c r="E20" s="594">
        <f>VLOOKUP(B20,Input_Rad!$E$14:$G$59,3,FALSE)</f>
        <v>10170539.3809187</v>
      </c>
      <c r="F20" s="582"/>
      <c r="G20" s="313">
        <v>1</v>
      </c>
      <c r="H20" s="487">
        <f t="shared" si="1"/>
        <v>56185</v>
      </c>
      <c r="I20" s="492">
        <f t="shared" si="2"/>
        <v>154.18978131569739</v>
      </c>
      <c r="J20" s="493">
        <v>0</v>
      </c>
      <c r="K20" s="582"/>
      <c r="L20" s="595">
        <f t="shared" si="3"/>
        <v>-3.1174571652793026E-2</v>
      </c>
      <c r="M20" s="596">
        <v>0</v>
      </c>
      <c r="N20" s="597">
        <f t="shared" si="4"/>
        <v>-3.1174571652793026E-2</v>
      </c>
      <c r="O20" s="582"/>
      <c r="P20" s="598">
        <f t="shared" si="6"/>
        <v>0</v>
      </c>
      <c r="Q20" s="525"/>
      <c r="R20" s="555">
        <f>'Price Adjustments'!$D$92</f>
        <v>3.6740734670521746E-3</v>
      </c>
      <c r="S20" s="42"/>
      <c r="T20" s="496">
        <f t="shared" si="7"/>
        <v>0</v>
      </c>
    </row>
    <row r="21" spans="1:20" x14ac:dyDescent="0.25">
      <c r="B21" s="872"/>
      <c r="C21" s="873" t="s">
        <v>455</v>
      </c>
      <c r="D21" s="874">
        <f>SUM(D15:D20)</f>
        <v>1028577</v>
      </c>
      <c r="E21" s="874">
        <f>SUM(E15:E20)</f>
        <v>262962685.00324973</v>
      </c>
      <c r="F21" s="174"/>
      <c r="G21" s="174"/>
      <c r="H21" s="174"/>
      <c r="I21" s="875" t="s">
        <v>953</v>
      </c>
      <c r="J21" s="874">
        <f>SUMPRODUCT(D15:D20,J15:J20)</f>
        <v>262962685.00324976</v>
      </c>
    </row>
    <row r="22" spans="1:20" x14ac:dyDescent="0.25">
      <c r="B22" s="578" t="s">
        <v>80</v>
      </c>
      <c r="C22" s="174"/>
      <c r="D22" s="174"/>
      <c r="E22" s="174"/>
      <c r="F22" s="174"/>
      <c r="G22" s="174"/>
      <c r="H22" s="174"/>
      <c r="I22" s="875" t="s">
        <v>466</v>
      </c>
      <c r="J22" s="876">
        <f>$E$21/J21</f>
        <v>0.99999999999999989</v>
      </c>
    </row>
    <row r="23" spans="1:20" x14ac:dyDescent="0.25">
      <c r="B23" s="579" t="s">
        <v>465</v>
      </c>
      <c r="C23" s="174"/>
      <c r="D23" s="174"/>
      <c r="E23" s="174"/>
      <c r="F23" s="174"/>
      <c r="G23" s="174"/>
      <c r="H23" s="174"/>
      <c r="I23" s="174"/>
      <c r="J23" s="174"/>
    </row>
  </sheetData>
  <mergeCells count="3">
    <mergeCell ref="G13:J13"/>
    <mergeCell ref="D13:E13"/>
    <mergeCell ref="L13:N13"/>
  </mergeCells>
  <hyperlinks>
    <hyperlink ref="B1" location="Navigation!A1" display="Home"/>
  </hyperlink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sheetPr>
  <dimension ref="B1:V103"/>
  <sheetViews>
    <sheetView zoomScaleNormal="100" workbookViewId="0"/>
  </sheetViews>
  <sheetFormatPr defaultColWidth="9.140625" defaultRowHeight="15" x14ac:dyDescent="0.25"/>
  <cols>
    <col min="1" max="1" width="1.140625" style="11" customWidth="1"/>
    <col min="2" max="2" width="12.140625" style="11" customWidth="1"/>
    <col min="3" max="3" width="79.85546875" style="11" bestFit="1" customWidth="1"/>
    <col min="4" max="5" width="17" style="11" customWidth="1"/>
    <col min="6" max="6" width="1.140625" style="167" customWidth="1"/>
    <col min="7" max="7" width="17" style="11" customWidth="1"/>
    <col min="8" max="8" width="1.140625" style="11" customWidth="1"/>
    <col min="9" max="11" width="17.42578125" style="11" bestFit="1" customWidth="1"/>
    <col min="12" max="12" width="1.140625" style="13" customWidth="1"/>
    <col min="13" max="13" width="8.7109375" style="13" bestFit="1" customWidth="1"/>
    <col min="14" max="14" width="1.140625" style="11" customWidth="1"/>
    <col min="15" max="15" width="10.28515625" style="11" bestFit="1" customWidth="1"/>
    <col min="16" max="16" width="1" style="11" customWidth="1"/>
    <col min="17" max="17" width="13.42578125" style="167" bestFit="1" customWidth="1"/>
    <col min="18" max="18" width="1.140625" style="11" customWidth="1"/>
    <col min="19" max="19" width="14.42578125" style="11" customWidth="1"/>
    <col min="20" max="20" width="1.140625" style="11" customWidth="1"/>
    <col min="21" max="21" width="14.42578125" style="11" customWidth="1"/>
    <col min="22" max="16384" width="9.140625" style="11"/>
  </cols>
  <sheetData>
    <row r="1" spans="2:22" ht="15" customHeight="1" x14ac:dyDescent="0.25">
      <c r="B1" s="173" t="s">
        <v>377</v>
      </c>
    </row>
    <row r="2" spans="2:22" ht="22.5" customHeight="1" x14ac:dyDescent="0.25">
      <c r="B2" s="30" t="s">
        <v>253</v>
      </c>
      <c r="C2" s="27"/>
      <c r="D2" s="27"/>
      <c r="E2" s="27"/>
      <c r="F2" s="27"/>
      <c r="G2" s="27"/>
      <c r="H2" s="27"/>
      <c r="I2" s="27"/>
      <c r="J2" s="27"/>
      <c r="K2" s="27"/>
      <c r="L2" s="27"/>
      <c r="M2" s="27"/>
      <c r="N2" s="27"/>
      <c r="O2" s="27"/>
      <c r="P2" s="27"/>
      <c r="Q2" s="27"/>
      <c r="R2" s="27"/>
      <c r="S2" s="27"/>
      <c r="T2" s="27"/>
      <c r="U2" s="27"/>
    </row>
    <row r="3" spans="2:22" s="14" customFormat="1" ht="15" customHeight="1" x14ac:dyDescent="0.25"/>
    <row r="4" spans="2:22" ht="15" customHeight="1" x14ac:dyDescent="0.25">
      <c r="B4" s="26" t="s">
        <v>57</v>
      </c>
      <c r="C4" s="24" t="s">
        <v>247</v>
      </c>
      <c r="K4" s="14"/>
      <c r="L4" s="149"/>
      <c r="M4" s="149"/>
      <c r="N4" s="14"/>
    </row>
    <row r="5" spans="2:22" ht="15" customHeight="1" x14ac:dyDescent="0.25">
      <c r="B5" s="26" t="s">
        <v>232</v>
      </c>
      <c r="C5" s="24" t="s">
        <v>252</v>
      </c>
      <c r="K5" s="14"/>
      <c r="L5" s="149"/>
      <c r="M5" s="149"/>
      <c r="N5" s="14"/>
    </row>
    <row r="6" spans="2:22" s="14" customFormat="1" ht="15" customHeight="1" thickBot="1" x14ac:dyDescent="0.3">
      <c r="L6" s="149"/>
      <c r="M6" s="149"/>
    </row>
    <row r="7" spans="2:22" ht="51.75" customHeight="1" thickBot="1" x14ac:dyDescent="0.3">
      <c r="B7" s="854" t="s">
        <v>178</v>
      </c>
      <c r="C7" s="128" t="str">
        <f>'Price Adjustments'!D3</f>
        <v>2014/15</v>
      </c>
      <c r="D7" s="128" t="str">
        <f>'Price Adjustments'!E3</f>
        <v>2015/16</v>
      </c>
      <c r="E7" s="128" t="str">
        <f>'Price Adjustments'!F3</f>
        <v>2016/17</v>
      </c>
      <c r="H7"/>
      <c r="K7" s="14"/>
      <c r="L7" s="149"/>
      <c r="M7" s="14"/>
      <c r="N7" s="14"/>
    </row>
    <row r="8" spans="2:22" ht="15" customHeight="1" x14ac:dyDescent="0.25">
      <c r="B8" s="849" t="s">
        <v>258</v>
      </c>
      <c r="C8" s="314">
        <f>'Price Adjustments'!D4</f>
        <v>2.5000000000000001E-2</v>
      </c>
      <c r="D8" s="131">
        <f>'Price Adjustments'!E4</f>
        <v>1.92529689878824E-2</v>
      </c>
      <c r="E8" s="309">
        <f>'Price Adjustments'!F4</f>
        <v>0</v>
      </c>
      <c r="H8"/>
      <c r="K8" s="14"/>
      <c r="L8" s="149"/>
      <c r="M8" s="14"/>
      <c r="N8" s="14"/>
    </row>
    <row r="9" spans="2:22" ht="15" customHeight="1" x14ac:dyDescent="0.25">
      <c r="B9" s="850" t="s">
        <v>259</v>
      </c>
      <c r="C9" s="314">
        <f>'Price Adjustments'!D5</f>
        <v>-0.04</v>
      </c>
      <c r="D9" s="131">
        <f>'Price Adjustments'!E5</f>
        <v>-3.5000000000000003E-2</v>
      </c>
      <c r="E9" s="309">
        <f>'Price Adjustments'!F5</f>
        <v>0</v>
      </c>
      <c r="H9"/>
      <c r="K9" s="14"/>
      <c r="L9" s="149"/>
      <c r="M9" s="14"/>
      <c r="N9" s="14"/>
    </row>
    <row r="10" spans="2:22" ht="15" customHeight="1" x14ac:dyDescent="0.25">
      <c r="B10" s="851" t="s">
        <v>273</v>
      </c>
      <c r="C10" s="314">
        <f>'Price Adjustments'!D6</f>
        <v>-1.4999999999999999E-2</v>
      </c>
      <c r="D10" s="131">
        <f>'Price Adjustments'!E6</f>
        <v>-1.6420884926693469E-2</v>
      </c>
      <c r="E10" s="309">
        <f>'Price Adjustments'!F6</f>
        <v>0</v>
      </c>
      <c r="H10"/>
      <c r="K10" s="14"/>
      <c r="L10" s="149"/>
      <c r="M10" s="14"/>
      <c r="N10" s="14"/>
    </row>
    <row r="11" spans="2:22" ht="15" customHeight="1" thickBot="1" x14ac:dyDescent="0.3">
      <c r="B11" s="852"/>
      <c r="C11" s="315"/>
      <c r="D11" s="133"/>
      <c r="E11" s="853"/>
      <c r="H11"/>
      <c r="K11" s="14"/>
      <c r="L11" s="149"/>
      <c r="M11" s="14"/>
      <c r="N11" s="14"/>
    </row>
    <row r="12" spans="2:22" s="14" customFormat="1" ht="15" customHeight="1" thickBot="1" x14ac:dyDescent="0.3">
      <c r="B12" s="329">
        <v>1</v>
      </c>
      <c r="C12" s="329">
        <v>2</v>
      </c>
      <c r="D12" s="329">
        <v>3</v>
      </c>
      <c r="E12" s="329">
        <v>4</v>
      </c>
      <c r="F12" s="329">
        <v>5</v>
      </c>
      <c r="G12" s="329">
        <v>6</v>
      </c>
      <c r="H12" s="329">
        <v>7</v>
      </c>
      <c r="I12" s="329">
        <v>8</v>
      </c>
      <c r="J12" s="329">
        <v>9</v>
      </c>
      <c r="K12" s="329">
        <v>10</v>
      </c>
      <c r="L12" s="329">
        <v>11</v>
      </c>
      <c r="M12" s="329">
        <v>12</v>
      </c>
      <c r="N12" s="329">
        <v>13</v>
      </c>
      <c r="O12" s="329">
        <v>14</v>
      </c>
      <c r="P12" s="329">
        <v>15</v>
      </c>
      <c r="Q12" s="329">
        <v>16</v>
      </c>
      <c r="R12" s="329"/>
      <c r="S12" s="329"/>
    </row>
    <row r="13" spans="2:22" ht="18" customHeight="1" thickBot="1" x14ac:dyDescent="0.35">
      <c r="B13" s="126" t="s">
        <v>270</v>
      </c>
      <c r="D13" s="915" t="s">
        <v>244</v>
      </c>
      <c r="E13" s="917"/>
      <c r="G13" s="104" t="s">
        <v>245</v>
      </c>
      <c r="I13" s="915" t="s">
        <v>266</v>
      </c>
      <c r="J13" s="916"/>
      <c r="K13" s="917"/>
      <c r="L13" s="6"/>
    </row>
    <row r="14" spans="2:22" ht="87" customHeight="1" thickBot="1" x14ac:dyDescent="0.3">
      <c r="B14" s="80" t="s">
        <v>467</v>
      </c>
      <c r="C14" s="95" t="s">
        <v>84</v>
      </c>
      <c r="D14" s="80" t="s">
        <v>251</v>
      </c>
      <c r="E14" s="94" t="s">
        <v>920</v>
      </c>
      <c r="F14" s="525"/>
      <c r="G14" s="81" t="s">
        <v>926</v>
      </c>
      <c r="H14" s="525"/>
      <c r="I14" s="96" t="str">
        <f>Chem_Calc!L14</f>
        <v>Inflation and Efficiency (total adjustment) 2014/15 &amp; 2015/16</v>
      </c>
      <c r="J14" s="97" t="str">
        <f>Chem_Calc!M14</f>
        <v>CNST
2014/15 &amp; 2015/16</v>
      </c>
      <c r="K14" s="98" t="str">
        <f>Chem_Calc!N14</f>
        <v>Total Adjustment</v>
      </c>
      <c r="L14" s="599"/>
      <c r="M14" s="70" t="s">
        <v>922</v>
      </c>
      <c r="N14" s="525"/>
      <c r="O14" s="331" t="s">
        <v>474</v>
      </c>
      <c r="P14" s="525"/>
      <c r="Q14" s="70" t="s">
        <v>921</v>
      </c>
      <c r="R14" s="525"/>
      <c r="S14" s="525"/>
      <c r="T14" s="525"/>
      <c r="U14" s="525"/>
      <c r="V14" s="525"/>
    </row>
    <row r="15" spans="2:22" ht="15" customHeight="1" x14ac:dyDescent="0.25">
      <c r="B15" s="185" t="s">
        <v>179</v>
      </c>
      <c r="C15" s="186" t="s">
        <v>316</v>
      </c>
      <c r="D15" s="600">
        <f>VLOOKUP(B15,Input_DI!$D$10:$F$58,2,FALSE)</f>
        <v>1251944</v>
      </c>
      <c r="E15" s="581">
        <f>VLOOKUP(B15,Input_DI!$D$10:$F$58,3,FALSE)</f>
        <v>164709437.57731101</v>
      </c>
      <c r="F15" s="601"/>
      <c r="G15" s="602">
        <f t="shared" ref="G15:G56" si="0">E15/D15</f>
        <v>131.56294337231617</v>
      </c>
      <c r="H15" s="525"/>
      <c r="I15" s="603">
        <f t="shared" ref="I15:I57" si="1">(1+$C$10)*(1+$D$10)-1</f>
        <v>-3.1174571652793026E-2</v>
      </c>
      <c r="J15" s="604">
        <v>0</v>
      </c>
      <c r="K15" s="605">
        <f>(1+I15)*(1+J15)-1</f>
        <v>-3.1174571652793026E-2</v>
      </c>
      <c r="L15" s="599"/>
      <c r="M15" s="606">
        <f>G15*(1+K15)</f>
        <v>127.46152496730355</v>
      </c>
      <c r="N15" s="525"/>
      <c r="O15" s="560">
        <f>'Price Adjustments'!$D$92</f>
        <v>3.6740734670521746E-3</v>
      </c>
      <c r="P15" s="525"/>
      <c r="Q15" s="494">
        <f>M15*(1+O15)</f>
        <v>127.92982797425593</v>
      </c>
      <c r="R15" s="525"/>
      <c r="S15" s="525"/>
      <c r="T15" s="525"/>
      <c r="U15" s="525"/>
      <c r="V15" s="525"/>
    </row>
    <row r="16" spans="2:22" ht="15" customHeight="1" x14ac:dyDescent="0.25">
      <c r="B16" s="101" t="s">
        <v>180</v>
      </c>
      <c r="C16" s="28" t="s">
        <v>317</v>
      </c>
      <c r="D16" s="607">
        <f>VLOOKUP(B16,Input_DI!$D$10:$F$58,2,FALSE)</f>
        <v>49671</v>
      </c>
      <c r="E16" s="588">
        <f>VLOOKUP(B16,Input_DI!$D$10:$F$58,3,FALSE)</f>
        <v>6803895.9544373797</v>
      </c>
      <c r="F16" s="601"/>
      <c r="G16" s="608">
        <f t="shared" si="0"/>
        <v>136.97924250442674</v>
      </c>
      <c r="H16" s="525"/>
      <c r="I16" s="609">
        <f t="shared" si="1"/>
        <v>-3.1174571652793026E-2</v>
      </c>
      <c r="J16" s="610">
        <v>0</v>
      </c>
      <c r="K16" s="611">
        <f t="shared" ref="K16:K55" si="2">(1+I16)*(1+J16)-1</f>
        <v>-3.1174571652793026E-2</v>
      </c>
      <c r="L16" s="599"/>
      <c r="M16" s="612">
        <f t="shared" ref="M16:M57" si="3">G16*(1+K16)</f>
        <v>132.70897329402717</v>
      </c>
      <c r="N16" s="613"/>
      <c r="O16" s="545">
        <f>'Price Adjustments'!$D$92</f>
        <v>3.6740734670521746E-3</v>
      </c>
      <c r="P16" s="525"/>
      <c r="Q16" s="495">
        <f t="shared" ref="Q16:Q57" si="4">M16*(1+O16)</f>
        <v>133.1965558116465</v>
      </c>
      <c r="R16" s="525"/>
      <c r="S16" s="525"/>
      <c r="T16" s="525"/>
      <c r="U16" s="525"/>
      <c r="V16" s="525"/>
    </row>
    <row r="17" spans="2:22" ht="15" customHeight="1" x14ac:dyDescent="0.25">
      <c r="B17" s="93" t="s">
        <v>181</v>
      </c>
      <c r="C17" s="28" t="s">
        <v>318</v>
      </c>
      <c r="D17" s="607">
        <f>VLOOKUP(B17,Input_DI!$D$10:$F$58,2,FALSE)</f>
        <v>7171</v>
      </c>
      <c r="E17" s="588">
        <f>VLOOKUP(B17,Input_DI!$D$10:$F$58,3,FALSE)</f>
        <v>915783.52525900805</v>
      </c>
      <c r="F17" s="601"/>
      <c r="G17" s="608">
        <f t="shared" si="0"/>
        <v>127.70652980881439</v>
      </c>
      <c r="H17" s="525"/>
      <c r="I17" s="609">
        <f t="shared" si="1"/>
        <v>-3.1174571652793026E-2</v>
      </c>
      <c r="J17" s="610">
        <v>0</v>
      </c>
      <c r="K17" s="611">
        <f t="shared" si="2"/>
        <v>-3.1174571652793026E-2</v>
      </c>
      <c r="L17" s="599"/>
      <c r="M17" s="612">
        <f t="shared" si="3"/>
        <v>123.72533344475997</v>
      </c>
      <c r="N17" s="529"/>
      <c r="O17" s="545">
        <f>'Price Adjustments'!$D$92</f>
        <v>3.6740734670521746E-3</v>
      </c>
      <c r="P17" s="525"/>
      <c r="Q17" s="495">
        <f t="shared" si="4"/>
        <v>124.17990940957155</v>
      </c>
      <c r="R17" s="525"/>
      <c r="S17" s="525"/>
      <c r="T17" s="525"/>
      <c r="U17" s="525"/>
      <c r="V17" s="525"/>
    </row>
    <row r="18" spans="2:22" ht="15" customHeight="1" x14ac:dyDescent="0.25">
      <c r="B18" s="101" t="s">
        <v>182</v>
      </c>
      <c r="C18" s="28" t="s">
        <v>319</v>
      </c>
      <c r="D18" s="607">
        <f>VLOOKUP(B18,Input_DI!$D$10:$F$58,2,FALSE)</f>
        <v>164277</v>
      </c>
      <c r="E18" s="588">
        <f>VLOOKUP(B18,Input_DI!$D$10:$F$58,3,FALSE)</f>
        <v>24900154.9913367</v>
      </c>
      <c r="F18" s="601"/>
      <c r="G18" s="608">
        <f t="shared" si="0"/>
        <v>151.57420083965923</v>
      </c>
      <c r="H18" s="525"/>
      <c r="I18" s="609">
        <f t="shared" si="1"/>
        <v>-3.1174571652793026E-2</v>
      </c>
      <c r="J18" s="610">
        <v>0</v>
      </c>
      <c r="K18" s="611">
        <f t="shared" si="2"/>
        <v>-3.1174571652793026E-2</v>
      </c>
      <c r="L18" s="35"/>
      <c r="M18" s="612">
        <f t="shared" si="3"/>
        <v>146.84894005486842</v>
      </c>
      <c r="N18" s="529"/>
      <c r="O18" s="545">
        <f>'Price Adjustments'!$D$92</f>
        <v>3.6740734670521746E-3</v>
      </c>
      <c r="P18" s="525"/>
      <c r="Q18" s="495">
        <f t="shared" si="4"/>
        <v>147.38847384918876</v>
      </c>
      <c r="R18" s="525"/>
      <c r="S18" s="525"/>
      <c r="T18" s="525"/>
      <c r="U18" s="525"/>
      <c r="V18" s="525"/>
    </row>
    <row r="19" spans="2:22" ht="15" customHeight="1" x14ac:dyDescent="0.25">
      <c r="B19" s="101" t="s">
        <v>183</v>
      </c>
      <c r="C19" s="28" t="s">
        <v>320</v>
      </c>
      <c r="D19" s="607">
        <f>VLOOKUP(B19,Input_DI!$D$10:$F$58,2,FALSE)</f>
        <v>6236</v>
      </c>
      <c r="E19" s="588">
        <f>VLOOKUP(B19,Input_DI!$D$10:$F$58,3,FALSE)</f>
        <v>936581.26920705498</v>
      </c>
      <c r="F19" s="601"/>
      <c r="G19" s="608">
        <f t="shared" si="0"/>
        <v>150.18942739048347</v>
      </c>
      <c r="H19" s="525"/>
      <c r="I19" s="609">
        <f t="shared" si="1"/>
        <v>-3.1174571652793026E-2</v>
      </c>
      <c r="J19" s="610">
        <v>0</v>
      </c>
      <c r="K19" s="611">
        <f t="shared" si="2"/>
        <v>-3.1174571652793026E-2</v>
      </c>
      <c r="L19" s="582"/>
      <c r="M19" s="612">
        <f t="shared" si="3"/>
        <v>145.50733632480689</v>
      </c>
      <c r="N19" s="529"/>
      <c r="O19" s="545">
        <f>'Price Adjustments'!$D$92</f>
        <v>3.6740734670521746E-3</v>
      </c>
      <c r="P19" s="525"/>
      <c r="Q19" s="495">
        <f t="shared" si="4"/>
        <v>146.0419409684593</v>
      </c>
      <c r="R19" s="525"/>
      <c r="S19" s="525"/>
      <c r="T19" s="525"/>
      <c r="U19" s="525"/>
      <c r="V19" s="525"/>
    </row>
    <row r="20" spans="2:22" ht="15" customHeight="1" x14ac:dyDescent="0.25">
      <c r="B20" s="93" t="s">
        <v>184</v>
      </c>
      <c r="C20" s="28" t="s">
        <v>321</v>
      </c>
      <c r="D20" s="607">
        <f>VLOOKUP(B20,Input_DI!$D$10:$F$58,2,FALSE)</f>
        <v>6526</v>
      </c>
      <c r="E20" s="588">
        <f>VLOOKUP(B20,Input_DI!$D$10:$F$58,3,FALSE)</f>
        <v>1257756.6654131</v>
      </c>
      <c r="F20" s="601"/>
      <c r="G20" s="608">
        <f t="shared" si="0"/>
        <v>192.73010502805701</v>
      </c>
      <c r="H20" s="525"/>
      <c r="I20" s="609">
        <f t="shared" si="1"/>
        <v>-3.1174571652793026E-2</v>
      </c>
      <c r="J20" s="610">
        <v>0</v>
      </c>
      <c r="K20" s="611">
        <f t="shared" si="2"/>
        <v>-3.1174571652793026E-2</v>
      </c>
      <c r="L20" s="582"/>
      <c r="M20" s="612">
        <f t="shared" si="3"/>
        <v>186.72182655920952</v>
      </c>
      <c r="N20" s="529"/>
      <c r="O20" s="545">
        <f>'Price Adjustments'!$D$92</f>
        <v>3.6740734670521746E-3</v>
      </c>
      <c r="P20" s="525"/>
      <c r="Q20" s="495">
        <f t="shared" si="4"/>
        <v>187.40785626789022</v>
      </c>
      <c r="R20" s="525"/>
      <c r="S20" s="525"/>
      <c r="T20" s="525"/>
      <c r="U20" s="525"/>
      <c r="V20" s="525"/>
    </row>
    <row r="21" spans="2:22" ht="15" customHeight="1" x14ac:dyDescent="0.25">
      <c r="B21" s="93" t="s">
        <v>97</v>
      </c>
      <c r="C21" s="36" t="s">
        <v>98</v>
      </c>
      <c r="D21" s="607">
        <f>VLOOKUP(B21,Input_DI!$D$10:$F$58,2,FALSE)</f>
        <v>92964</v>
      </c>
      <c r="E21" s="588">
        <f>VLOOKUP(B21,Input_DI!$D$10:$F$58,3,FALSE)</f>
        <v>16955659.892029699</v>
      </c>
      <c r="F21" s="601"/>
      <c r="G21" s="608">
        <f t="shared" si="0"/>
        <v>182.38952596736047</v>
      </c>
      <c r="H21" s="525"/>
      <c r="I21" s="609">
        <f t="shared" si="1"/>
        <v>-3.1174571652793026E-2</v>
      </c>
      <c r="J21" s="610">
        <v>0</v>
      </c>
      <c r="K21" s="611">
        <f t="shared" si="2"/>
        <v>-3.1174571652793026E-2</v>
      </c>
      <c r="L21" s="582"/>
      <c r="M21" s="612">
        <f t="shared" si="3"/>
        <v>176.70361062137204</v>
      </c>
      <c r="N21" s="529"/>
      <c r="O21" s="545">
        <f>'Price Adjustments'!$D$92</f>
        <v>3.6740734670521746E-3</v>
      </c>
      <c r="P21" s="525"/>
      <c r="Q21" s="495">
        <f t="shared" si="4"/>
        <v>177.35283266868834</v>
      </c>
      <c r="R21" s="525"/>
      <c r="S21" s="525"/>
      <c r="T21" s="525"/>
      <c r="U21" s="525"/>
      <c r="V21" s="525"/>
    </row>
    <row r="22" spans="2:22" ht="15" customHeight="1" x14ac:dyDescent="0.25">
      <c r="B22" s="93" t="s">
        <v>99</v>
      </c>
      <c r="C22" s="36" t="s">
        <v>322</v>
      </c>
      <c r="D22" s="607">
        <f>VLOOKUP(B22,Input_DI!$D$10:$F$58,2,FALSE)</f>
        <v>133228</v>
      </c>
      <c r="E22" s="588">
        <f>VLOOKUP(B22,Input_DI!$D$10:$F$58,3,FALSE)</f>
        <v>20212686.2986084</v>
      </c>
      <c r="F22" s="601"/>
      <c r="G22" s="608">
        <f t="shared" si="0"/>
        <v>151.71500209121507</v>
      </c>
      <c r="H22" s="525"/>
      <c r="I22" s="609">
        <f t="shared" si="1"/>
        <v>-3.1174571652793026E-2</v>
      </c>
      <c r="J22" s="610">
        <v>0</v>
      </c>
      <c r="K22" s="611">
        <f t="shared" si="2"/>
        <v>-3.1174571652793026E-2</v>
      </c>
      <c r="L22" s="582"/>
      <c r="M22" s="612">
        <f t="shared" si="3"/>
        <v>146.98535188771885</v>
      </c>
      <c r="N22" s="529"/>
      <c r="O22" s="545">
        <f>'Price Adjustments'!$D$92</f>
        <v>3.6740734670521746E-3</v>
      </c>
      <c r="P22" s="525"/>
      <c r="Q22" s="495">
        <f t="shared" si="4"/>
        <v>147.52538686913485</v>
      </c>
      <c r="R22" s="525"/>
      <c r="S22" s="525"/>
      <c r="T22" s="525"/>
      <c r="U22" s="525"/>
      <c r="V22" s="525"/>
    </row>
    <row r="23" spans="2:22" ht="15" customHeight="1" x14ac:dyDescent="0.25">
      <c r="B23" s="101" t="s">
        <v>101</v>
      </c>
      <c r="C23" s="28" t="s">
        <v>323</v>
      </c>
      <c r="D23" s="607">
        <f>VLOOKUP(B23,Input_DI!$D$10:$F$58,2,FALSE)</f>
        <v>68322</v>
      </c>
      <c r="E23" s="588">
        <f>VLOOKUP(B23,Input_DI!$D$10:$F$58,3,FALSE)</f>
        <v>10420520.6324185</v>
      </c>
      <c r="F23" s="601"/>
      <c r="G23" s="608">
        <f t="shared" si="0"/>
        <v>152.52072000846726</v>
      </c>
      <c r="H23" s="525"/>
      <c r="I23" s="609">
        <f t="shared" si="1"/>
        <v>-3.1174571652793026E-2</v>
      </c>
      <c r="J23" s="610">
        <v>0</v>
      </c>
      <c r="K23" s="611">
        <f t="shared" si="2"/>
        <v>-3.1174571652793026E-2</v>
      </c>
      <c r="L23" s="582"/>
      <c r="M23" s="612">
        <f t="shared" si="3"/>
        <v>147.76595189402772</v>
      </c>
      <c r="N23" s="529"/>
      <c r="O23" s="545">
        <f>'Price Adjustments'!$D$92</f>
        <v>3.6740734670521746E-3</v>
      </c>
      <c r="P23" s="525"/>
      <c r="Q23" s="495">
        <f t="shared" si="4"/>
        <v>148.30885485721527</v>
      </c>
      <c r="R23" s="525"/>
      <c r="S23" s="525"/>
      <c r="T23" s="525"/>
      <c r="U23" s="525"/>
      <c r="V23" s="525"/>
    </row>
    <row r="24" spans="2:22" ht="15" customHeight="1" x14ac:dyDescent="0.25">
      <c r="B24" s="101" t="s">
        <v>103</v>
      </c>
      <c r="C24" s="28" t="s">
        <v>104</v>
      </c>
      <c r="D24" s="607">
        <f>VLOOKUP(B24,Input_DI!$D$10:$F$58,2,FALSE)</f>
        <v>12684</v>
      </c>
      <c r="E24" s="588">
        <f>VLOOKUP(B24,Input_DI!$D$10:$F$58,3,FALSE)</f>
        <v>2364622.47807201</v>
      </c>
      <c r="F24" s="601"/>
      <c r="G24" s="608">
        <f t="shared" si="0"/>
        <v>186.42561321917455</v>
      </c>
      <c r="H24" s="525"/>
      <c r="I24" s="609">
        <f t="shared" si="1"/>
        <v>-3.1174571652793026E-2</v>
      </c>
      <c r="J24" s="610">
        <v>0</v>
      </c>
      <c r="K24" s="611">
        <f t="shared" si="2"/>
        <v>-3.1174571652793026E-2</v>
      </c>
      <c r="L24" s="582"/>
      <c r="M24" s="612">
        <f t="shared" si="3"/>
        <v>180.6138745819575</v>
      </c>
      <c r="N24" s="529"/>
      <c r="O24" s="545">
        <f>'Price Adjustments'!$D$92</f>
        <v>3.6740734670521746E-3</v>
      </c>
      <c r="P24" s="525"/>
      <c r="Q24" s="495">
        <f t="shared" si="4"/>
        <v>181.27746322634056</v>
      </c>
      <c r="R24" s="525"/>
      <c r="S24" s="525"/>
      <c r="T24" s="525"/>
      <c r="U24" s="525"/>
      <c r="V24" s="525"/>
    </row>
    <row r="25" spans="2:22" ht="15" customHeight="1" x14ac:dyDescent="0.25">
      <c r="B25" s="101" t="s">
        <v>105</v>
      </c>
      <c r="C25" s="29" t="s">
        <v>106</v>
      </c>
      <c r="D25" s="607">
        <f>VLOOKUP(B25,Input_DI!$D$10:$F$58,2,FALSE)</f>
        <v>9610</v>
      </c>
      <c r="E25" s="588">
        <f>VLOOKUP(B25,Input_DI!$D$10:$F$58,3,FALSE)</f>
        <v>2276461.4032241302</v>
      </c>
      <c r="F25" s="601"/>
      <c r="G25" s="608">
        <f t="shared" si="0"/>
        <v>236.88464133445683</v>
      </c>
      <c r="H25" s="525"/>
      <c r="I25" s="609">
        <f t="shared" si="1"/>
        <v>-3.1174571652793026E-2</v>
      </c>
      <c r="J25" s="610">
        <v>0</v>
      </c>
      <c r="K25" s="611">
        <f t="shared" si="2"/>
        <v>-3.1174571652793026E-2</v>
      </c>
      <c r="L25" s="582"/>
      <c r="M25" s="612">
        <f t="shared" si="3"/>
        <v>229.49986410972963</v>
      </c>
      <c r="N25" s="529"/>
      <c r="O25" s="545">
        <f>'Price Adjustments'!$D$92</f>
        <v>3.6740734670521746E-3</v>
      </c>
      <c r="P25" s="525"/>
      <c r="Q25" s="495">
        <f t="shared" si="4"/>
        <v>230.34306347114727</v>
      </c>
      <c r="R25" s="525"/>
      <c r="S25" s="525"/>
      <c r="T25" s="525"/>
      <c r="U25" s="525"/>
      <c r="V25" s="525"/>
    </row>
    <row r="26" spans="2:22" ht="15" customHeight="1" x14ac:dyDescent="0.25">
      <c r="B26" s="101" t="s">
        <v>185</v>
      </c>
      <c r="C26" s="28" t="s">
        <v>324</v>
      </c>
      <c r="D26" s="607">
        <f>VLOOKUP(B26,Input_DI!$D$10:$F$58,2,FALSE)</f>
        <v>615032</v>
      </c>
      <c r="E26" s="588">
        <f>VLOOKUP(B26,Input_DI!$D$10:$F$58,3,FALSE)</f>
        <v>51027684.963383801</v>
      </c>
      <c r="F26" s="601"/>
      <c r="G26" s="608">
        <f t="shared" si="0"/>
        <v>82.967528459305854</v>
      </c>
      <c r="H26" s="525"/>
      <c r="I26" s="609">
        <f t="shared" si="1"/>
        <v>-3.1174571652793026E-2</v>
      </c>
      <c r="J26" s="610">
        <v>0</v>
      </c>
      <c r="K26" s="611">
        <f t="shared" si="2"/>
        <v>-3.1174571652793026E-2</v>
      </c>
      <c r="L26" s="42"/>
      <c r="M26" s="612">
        <f t="shared" si="3"/>
        <v>80.381051298496075</v>
      </c>
      <c r="N26" s="529"/>
      <c r="O26" s="545">
        <f>'Price Adjustments'!$D$92</f>
        <v>3.6740734670521746E-3</v>
      </c>
      <c r="P26" s="525"/>
      <c r="Q26" s="495">
        <f t="shared" si="4"/>
        <v>80.676377186325638</v>
      </c>
      <c r="R26" s="525"/>
      <c r="S26" s="525"/>
      <c r="T26" s="525"/>
      <c r="U26" s="525"/>
      <c r="V26" s="525"/>
    </row>
    <row r="27" spans="2:22" ht="15" customHeight="1" x14ac:dyDescent="0.25">
      <c r="B27" s="101" t="s">
        <v>186</v>
      </c>
      <c r="C27" s="28" t="s">
        <v>325</v>
      </c>
      <c r="D27" s="607">
        <f>VLOOKUP(B27,Input_DI!$D$10:$F$58,2,FALSE)</f>
        <v>13582</v>
      </c>
      <c r="E27" s="588">
        <f>VLOOKUP(B27,Input_DI!$D$10:$F$58,3,FALSE)</f>
        <v>1265718.0725756099</v>
      </c>
      <c r="F27" s="601"/>
      <c r="G27" s="608">
        <f t="shared" si="0"/>
        <v>93.190846162244881</v>
      </c>
      <c r="H27" s="525"/>
      <c r="I27" s="609">
        <f t="shared" si="1"/>
        <v>-3.1174571652793026E-2</v>
      </c>
      <c r="J27" s="610">
        <v>0</v>
      </c>
      <c r="K27" s="611">
        <f t="shared" si="2"/>
        <v>-3.1174571652793026E-2</v>
      </c>
      <c r="L27" s="599"/>
      <c r="M27" s="612">
        <f t="shared" si="3"/>
        <v>90.285661451175571</v>
      </c>
      <c r="N27" s="565"/>
      <c r="O27" s="545">
        <f>'Price Adjustments'!$D$92</f>
        <v>3.6740734670521746E-3</v>
      </c>
      <c r="P27" s="525"/>
      <c r="Q27" s="495">
        <f t="shared" si="4"/>
        <v>90.617377604368585</v>
      </c>
      <c r="R27" s="525"/>
      <c r="S27" s="525"/>
      <c r="T27" s="525"/>
      <c r="U27" s="525"/>
      <c r="V27" s="525"/>
    </row>
    <row r="28" spans="2:22" ht="15" customHeight="1" x14ac:dyDescent="0.25">
      <c r="B28" s="101" t="s">
        <v>187</v>
      </c>
      <c r="C28" s="28" t="s">
        <v>326</v>
      </c>
      <c r="D28" s="607">
        <f>VLOOKUP(B28,Input_DI!$D$10:$F$58,2,FALSE)</f>
        <v>2279</v>
      </c>
      <c r="E28" s="588">
        <f>VLOOKUP(B28,Input_DI!$D$10:$F$58,3,FALSE)</f>
        <v>149678.704583702</v>
      </c>
      <c r="F28" s="601"/>
      <c r="G28" s="608">
        <f t="shared" si="0"/>
        <v>65.677360501843793</v>
      </c>
      <c r="H28" s="525"/>
      <c r="I28" s="609">
        <f t="shared" si="1"/>
        <v>-3.1174571652793026E-2</v>
      </c>
      <c r="J28" s="610">
        <v>0</v>
      </c>
      <c r="K28" s="611">
        <f t="shared" si="2"/>
        <v>-3.1174571652793026E-2</v>
      </c>
      <c r="L28" s="599"/>
      <c r="M28" s="612">
        <f t="shared" si="3"/>
        <v>63.629896920912742</v>
      </c>
      <c r="N28" s="529"/>
      <c r="O28" s="545">
        <f>'Price Adjustments'!$D$92</f>
        <v>3.6740734670521746E-3</v>
      </c>
      <c r="P28" s="525"/>
      <c r="Q28" s="495">
        <f t="shared" si="4"/>
        <v>63.863677836901132</v>
      </c>
      <c r="R28" s="525"/>
      <c r="S28" s="525"/>
      <c r="T28" s="525"/>
      <c r="U28" s="525"/>
      <c r="V28" s="525"/>
    </row>
    <row r="29" spans="2:22" ht="15" customHeight="1" x14ac:dyDescent="0.25">
      <c r="B29" s="101" t="s">
        <v>188</v>
      </c>
      <c r="C29" s="28" t="s">
        <v>327</v>
      </c>
      <c r="D29" s="607">
        <f>VLOOKUP(B29,Input_DI!$D$10:$F$58,2,FALSE)</f>
        <v>242287</v>
      </c>
      <c r="E29" s="588">
        <f>VLOOKUP(B29,Input_DI!$D$10:$F$58,3,FALSE)</f>
        <v>22391011.034669202</v>
      </c>
      <c r="F29" s="601"/>
      <c r="G29" s="608">
        <f t="shared" si="0"/>
        <v>92.415239095243251</v>
      </c>
      <c r="H29" s="525"/>
      <c r="I29" s="609">
        <f t="shared" si="1"/>
        <v>-3.1174571652793026E-2</v>
      </c>
      <c r="J29" s="610">
        <v>0</v>
      </c>
      <c r="K29" s="611">
        <f t="shared" si="2"/>
        <v>-3.1174571652793026E-2</v>
      </c>
      <c r="L29" s="42"/>
      <c r="M29" s="612">
        <f t="shared" si="3"/>
        <v>89.534233602258595</v>
      </c>
      <c r="N29" s="529"/>
      <c r="O29" s="545">
        <f>'Price Adjustments'!$D$92</f>
        <v>3.6740734670521746E-3</v>
      </c>
      <c r="P29" s="525"/>
      <c r="Q29" s="495">
        <f t="shared" si="4"/>
        <v>89.863188954329502</v>
      </c>
      <c r="R29" s="525"/>
      <c r="S29" s="525"/>
      <c r="T29" s="525"/>
      <c r="U29" s="525"/>
      <c r="V29" s="525"/>
    </row>
    <row r="30" spans="2:22" ht="15" customHeight="1" x14ac:dyDescent="0.25">
      <c r="B30" s="93" t="s">
        <v>189</v>
      </c>
      <c r="C30" s="28" t="s">
        <v>328</v>
      </c>
      <c r="D30" s="607">
        <f>VLOOKUP(B30,Input_DI!$D$10:$F$58,2,FALSE)</f>
        <v>1917</v>
      </c>
      <c r="E30" s="588">
        <f>VLOOKUP(B30,Input_DI!$D$10:$F$58,3,FALSE)</f>
        <v>137700.93195127699</v>
      </c>
      <c r="F30" s="601"/>
      <c r="G30" s="608">
        <f t="shared" si="0"/>
        <v>71.831472066393843</v>
      </c>
      <c r="H30" s="525"/>
      <c r="I30" s="609">
        <f t="shared" si="1"/>
        <v>-3.1174571652793026E-2</v>
      </c>
      <c r="J30" s="610">
        <v>0</v>
      </c>
      <c r="K30" s="611">
        <f t="shared" si="2"/>
        <v>-3.1174571652793026E-2</v>
      </c>
      <c r="L30" s="42"/>
      <c r="M30" s="612">
        <f t="shared" si="3"/>
        <v>69.592156693534449</v>
      </c>
      <c r="N30" s="529"/>
      <c r="O30" s="545">
        <f>'Price Adjustments'!$D$92</f>
        <v>3.6740734670521746E-3</v>
      </c>
      <c r="P30" s="525"/>
      <c r="Q30" s="495">
        <f t="shared" si="4"/>
        <v>69.847843389957106</v>
      </c>
      <c r="R30" s="525"/>
      <c r="S30" s="525"/>
      <c r="T30" s="525"/>
      <c r="U30" s="525"/>
      <c r="V30" s="525"/>
    </row>
    <row r="31" spans="2:22" ht="15" customHeight="1" x14ac:dyDescent="0.25">
      <c r="B31" s="101" t="s">
        <v>190</v>
      </c>
      <c r="C31" s="28" t="s">
        <v>329</v>
      </c>
      <c r="D31" s="607">
        <f>VLOOKUP(B31,Input_DI!$D$10:$F$58,2,FALSE)</f>
        <v>2337</v>
      </c>
      <c r="E31" s="588">
        <f>VLOOKUP(B31,Input_DI!$D$10:$F$58,3,FALSE)</f>
        <v>222503.94198657601</v>
      </c>
      <c r="F31" s="601"/>
      <c r="G31" s="608">
        <f t="shared" si="0"/>
        <v>95.209217794854951</v>
      </c>
      <c r="H31" s="525"/>
      <c r="I31" s="609">
        <f t="shared" si="1"/>
        <v>-3.1174571652793026E-2</v>
      </c>
      <c r="J31" s="610">
        <v>0</v>
      </c>
      <c r="K31" s="611">
        <f t="shared" si="2"/>
        <v>-3.1174571652793026E-2</v>
      </c>
      <c r="L31" s="42"/>
      <c r="M31" s="612">
        <f t="shared" si="3"/>
        <v>92.241111212702862</v>
      </c>
      <c r="N31" s="529"/>
      <c r="O31" s="545">
        <f>'Price Adjustments'!$D$92</f>
        <v>3.6740734670521746E-3</v>
      </c>
      <c r="P31" s="525"/>
      <c r="Q31" s="495">
        <f t="shared" si="4"/>
        <v>92.580011831980869</v>
      </c>
      <c r="R31" s="525"/>
      <c r="S31" s="525"/>
      <c r="T31" s="525"/>
      <c r="U31" s="525"/>
      <c r="V31" s="525"/>
    </row>
    <row r="32" spans="2:22" ht="15" customHeight="1" x14ac:dyDescent="0.25">
      <c r="B32" s="101" t="s">
        <v>107</v>
      </c>
      <c r="C32" s="28" t="s">
        <v>108</v>
      </c>
      <c r="D32" s="607">
        <f>VLOOKUP(B32,Input_DI!$D$10:$F$58,2,FALSE)</f>
        <v>95449</v>
      </c>
      <c r="E32" s="588">
        <f>VLOOKUP(B32,Input_DI!$D$10:$F$58,3,FALSE)</f>
        <v>10291602.846676599</v>
      </c>
      <c r="F32" s="601"/>
      <c r="G32" s="608">
        <f t="shared" si="0"/>
        <v>107.82305573318315</v>
      </c>
      <c r="H32" s="525"/>
      <c r="I32" s="609">
        <f t="shared" si="1"/>
        <v>-3.1174571652793026E-2</v>
      </c>
      <c r="J32" s="610">
        <v>0</v>
      </c>
      <c r="K32" s="611">
        <f t="shared" si="2"/>
        <v>-3.1174571652793026E-2</v>
      </c>
      <c r="L32" s="42"/>
      <c r="M32" s="612">
        <f t="shared" si="3"/>
        <v>104.46171815640594</v>
      </c>
      <c r="N32" s="529"/>
      <c r="O32" s="545">
        <f>'Price Adjustments'!$D$92</f>
        <v>3.6740734670521746E-3</v>
      </c>
      <c r="P32" s="525"/>
      <c r="Q32" s="495">
        <f t="shared" si="4"/>
        <v>104.84551818340707</v>
      </c>
      <c r="R32" s="525"/>
      <c r="S32" s="525"/>
      <c r="T32" s="525"/>
      <c r="U32" s="525"/>
      <c r="V32" s="525"/>
    </row>
    <row r="33" spans="2:22" ht="15" customHeight="1" x14ac:dyDescent="0.25">
      <c r="B33" s="101" t="s">
        <v>109</v>
      </c>
      <c r="C33" s="28" t="s">
        <v>110</v>
      </c>
      <c r="D33" s="607">
        <f>VLOOKUP(B33,Input_DI!$D$10:$F$58,2,FALSE)</f>
        <v>77127</v>
      </c>
      <c r="E33" s="588">
        <f>VLOOKUP(B33,Input_DI!$D$10:$F$58,3,FALSE)</f>
        <v>7246671.70350172</v>
      </c>
      <c r="F33" s="601"/>
      <c r="G33" s="608">
        <f t="shared" si="0"/>
        <v>93.957650414274113</v>
      </c>
      <c r="H33" s="525"/>
      <c r="I33" s="609">
        <f t="shared" si="1"/>
        <v>-3.1174571652793026E-2</v>
      </c>
      <c r="J33" s="610">
        <v>0</v>
      </c>
      <c r="K33" s="611">
        <f t="shared" si="2"/>
        <v>-3.1174571652793026E-2</v>
      </c>
      <c r="L33" s="42"/>
      <c r="M33" s="612">
        <f t="shared" si="3"/>
        <v>91.028560909106247</v>
      </c>
      <c r="N33" s="529"/>
      <c r="O33" s="545">
        <f>'Price Adjustments'!$D$92</f>
        <v>3.6740734670521746E-3</v>
      </c>
      <c r="P33" s="525"/>
      <c r="Q33" s="495">
        <f t="shared" si="4"/>
        <v>91.363006529486341</v>
      </c>
      <c r="R33" s="525"/>
      <c r="S33" s="525"/>
      <c r="T33" s="525"/>
      <c r="U33" s="525"/>
      <c r="V33" s="525"/>
    </row>
    <row r="34" spans="2:22" ht="15" customHeight="1" x14ac:dyDescent="0.25">
      <c r="B34" s="101" t="s">
        <v>111</v>
      </c>
      <c r="C34" s="28" t="s">
        <v>112</v>
      </c>
      <c r="D34" s="607">
        <f>VLOOKUP(B34,Input_DI!$D$10:$F$58,2,FALSE)</f>
        <v>256650</v>
      </c>
      <c r="E34" s="588">
        <f>VLOOKUP(B34,Input_DI!$D$10:$F$58,3,FALSE)</f>
        <v>28388073.9884138</v>
      </c>
      <c r="F34" s="601"/>
      <c r="G34" s="608">
        <f t="shared" si="0"/>
        <v>110.61006814110189</v>
      </c>
      <c r="H34" s="525"/>
      <c r="I34" s="609">
        <f t="shared" si="1"/>
        <v>-3.1174571652793026E-2</v>
      </c>
      <c r="J34" s="610">
        <v>0</v>
      </c>
      <c r="K34" s="611">
        <f t="shared" si="2"/>
        <v>-3.1174571652793026E-2</v>
      </c>
      <c r="L34" s="42"/>
      <c r="M34" s="612">
        <f t="shared" si="3"/>
        <v>107.16184664631679</v>
      </c>
      <c r="N34" s="529"/>
      <c r="O34" s="545">
        <f>'Price Adjustments'!$D$92</f>
        <v>3.6740734670521746E-3</v>
      </c>
      <c r="P34" s="525"/>
      <c r="Q34" s="495">
        <f t="shared" si="4"/>
        <v>107.55556714376034</v>
      </c>
      <c r="R34" s="525"/>
      <c r="S34" s="525"/>
      <c r="T34" s="525"/>
      <c r="U34" s="525"/>
      <c r="V34" s="525"/>
    </row>
    <row r="35" spans="2:22" ht="15" customHeight="1" x14ac:dyDescent="0.25">
      <c r="B35" s="101" t="s">
        <v>115</v>
      </c>
      <c r="C35" s="28" t="s">
        <v>116</v>
      </c>
      <c r="D35" s="607">
        <f>VLOOKUP(B35,Input_DI!$D$10:$F$58,2,FALSE)</f>
        <v>322104</v>
      </c>
      <c r="E35" s="588">
        <f>VLOOKUP(B35,Input_DI!$D$10:$F$58,3,FALSE)</f>
        <v>39206044.537808903</v>
      </c>
      <c r="F35" s="601"/>
      <c r="G35" s="608">
        <f t="shared" si="0"/>
        <v>121.71858945498629</v>
      </c>
      <c r="H35" s="525"/>
      <c r="I35" s="609">
        <f t="shared" si="1"/>
        <v>-3.1174571652793026E-2</v>
      </c>
      <c r="J35" s="610">
        <v>0</v>
      </c>
      <c r="K35" s="611">
        <f t="shared" si="2"/>
        <v>-3.1174571652793026E-2</v>
      </c>
      <c r="L35" s="599"/>
      <c r="M35" s="612">
        <f t="shared" si="3"/>
        <v>117.92406456654491</v>
      </c>
      <c r="N35" s="529"/>
      <c r="O35" s="545">
        <f>'Price Adjustments'!$D$92</f>
        <v>3.6740734670521746E-3</v>
      </c>
      <c r="P35" s="525"/>
      <c r="Q35" s="495">
        <f t="shared" si="4"/>
        <v>118.3573262432958</v>
      </c>
      <c r="R35" s="525"/>
      <c r="S35" s="525"/>
      <c r="T35" s="525"/>
      <c r="U35" s="525"/>
      <c r="V35" s="525"/>
    </row>
    <row r="36" spans="2:22" ht="15" customHeight="1" x14ac:dyDescent="0.25">
      <c r="B36" s="101" t="s">
        <v>117</v>
      </c>
      <c r="C36" s="28" t="s">
        <v>118</v>
      </c>
      <c r="D36" s="607">
        <f>VLOOKUP(B36,Input_DI!$D$10:$F$58,2,FALSE)</f>
        <v>46988</v>
      </c>
      <c r="E36" s="588">
        <f>VLOOKUP(B36,Input_DI!$D$10:$F$58,3,FALSE)</f>
        <v>6360658.1041094996</v>
      </c>
      <c r="F36" s="601"/>
      <c r="G36" s="608">
        <f t="shared" si="0"/>
        <v>135.36771312057334</v>
      </c>
      <c r="H36" s="525"/>
      <c r="I36" s="609">
        <f t="shared" si="1"/>
        <v>-3.1174571652793026E-2</v>
      </c>
      <c r="J36" s="610">
        <v>0</v>
      </c>
      <c r="K36" s="611">
        <f t="shared" si="2"/>
        <v>-3.1174571652793026E-2</v>
      </c>
      <c r="L36" s="35"/>
      <c r="M36" s="612">
        <f t="shared" si="3"/>
        <v>131.14768264842129</v>
      </c>
      <c r="N36" s="529"/>
      <c r="O36" s="545">
        <f>'Price Adjustments'!$D$92</f>
        <v>3.6740734670521746E-3</v>
      </c>
      <c r="P36" s="525"/>
      <c r="Q36" s="495">
        <f t="shared" si="4"/>
        <v>131.62952886950524</v>
      </c>
      <c r="R36" s="525"/>
      <c r="S36" s="525"/>
      <c r="T36" s="525"/>
      <c r="U36" s="525"/>
      <c r="V36" s="525"/>
    </row>
    <row r="37" spans="2:22" ht="15" customHeight="1" x14ac:dyDescent="0.25">
      <c r="B37" s="101" t="s">
        <v>119</v>
      </c>
      <c r="C37" s="28" t="s">
        <v>120</v>
      </c>
      <c r="D37" s="607">
        <f>VLOOKUP(B37,Input_DI!$D$10:$F$58,2,FALSE)</f>
        <v>250053</v>
      </c>
      <c r="E37" s="588">
        <f>VLOOKUP(B37,Input_DI!$D$10:$F$58,3,FALSE)</f>
        <v>16248267.0509503</v>
      </c>
      <c r="F37" s="601"/>
      <c r="G37" s="608">
        <f t="shared" si="0"/>
        <v>64.979292593771319</v>
      </c>
      <c r="H37" s="525"/>
      <c r="I37" s="609">
        <f t="shared" si="1"/>
        <v>-3.1174571652793026E-2</v>
      </c>
      <c r="J37" s="610">
        <v>0</v>
      </c>
      <c r="K37" s="611">
        <f t="shared" si="2"/>
        <v>-3.1174571652793026E-2</v>
      </c>
      <c r="L37" s="582"/>
      <c r="M37" s="612">
        <f t="shared" si="3"/>
        <v>62.953590980858991</v>
      </c>
      <c r="N37" s="529"/>
      <c r="O37" s="545">
        <f>'Price Adjustments'!$D$92</f>
        <v>3.6740734670521746E-3</v>
      </c>
      <c r="P37" s="525"/>
      <c r="Q37" s="495">
        <f t="shared" si="4"/>
        <v>63.18488709913742</v>
      </c>
      <c r="R37" s="525"/>
      <c r="S37" s="525"/>
      <c r="T37" s="525"/>
      <c r="U37" s="525"/>
      <c r="V37" s="525"/>
    </row>
    <row r="38" spans="2:22" s="14" customFormat="1" ht="15" customHeight="1" x14ac:dyDescent="0.25">
      <c r="B38" s="101" t="s">
        <v>121</v>
      </c>
      <c r="C38" s="28" t="s">
        <v>330</v>
      </c>
      <c r="D38" s="607">
        <f>VLOOKUP(B38,Input_DI!$D$10:$F$58,2,FALSE)</f>
        <v>151215</v>
      </c>
      <c r="E38" s="588">
        <f>VLOOKUP(B38,Input_DI!$D$10:$F$58,3,FALSE)</f>
        <v>13670126.1867694</v>
      </c>
      <c r="F38" s="601"/>
      <c r="G38" s="608">
        <f t="shared" si="0"/>
        <v>90.401919034284958</v>
      </c>
      <c r="H38" s="525"/>
      <c r="I38" s="609">
        <f t="shared" si="1"/>
        <v>-3.1174571652793026E-2</v>
      </c>
      <c r="J38" s="610">
        <v>0</v>
      </c>
      <c r="K38" s="611">
        <f t="shared" si="2"/>
        <v>-3.1174571652793026E-2</v>
      </c>
      <c r="L38" s="582"/>
      <c r="M38" s="612">
        <f t="shared" si="3"/>
        <v>87.583677931800651</v>
      </c>
      <c r="N38" s="529"/>
      <c r="O38" s="545">
        <f>'Price Adjustments'!$D$92</f>
        <v>3.6740734670521746E-3</v>
      </c>
      <c r="P38" s="565"/>
      <c r="Q38" s="495">
        <f t="shared" si="4"/>
        <v>87.905466799036716</v>
      </c>
      <c r="R38" s="565"/>
      <c r="S38" s="525"/>
      <c r="T38" s="565"/>
      <c r="U38" s="565"/>
      <c r="V38" s="565"/>
    </row>
    <row r="39" spans="2:22" ht="15" customHeight="1" x14ac:dyDescent="0.25">
      <c r="B39" s="101" t="s">
        <v>123</v>
      </c>
      <c r="C39" s="28" t="s">
        <v>331</v>
      </c>
      <c r="D39" s="607">
        <f>VLOOKUP(B39,Input_DI!$D$10:$F$58,2,FALSE)</f>
        <v>75452</v>
      </c>
      <c r="E39" s="588">
        <f>VLOOKUP(B39,Input_DI!$D$10:$F$58,3,FALSE)</f>
        <v>10215474.428631</v>
      </c>
      <c r="F39" s="601"/>
      <c r="G39" s="608">
        <f t="shared" si="0"/>
        <v>135.39037306673117</v>
      </c>
      <c r="H39" s="525"/>
      <c r="I39" s="609">
        <f t="shared" si="1"/>
        <v>-3.1174571652793026E-2</v>
      </c>
      <c r="J39" s="610">
        <v>0</v>
      </c>
      <c r="K39" s="611">
        <f t="shared" si="2"/>
        <v>-3.1174571652793026E-2</v>
      </c>
      <c r="L39" s="582"/>
      <c r="M39" s="612">
        <f t="shared" si="3"/>
        <v>131.16963618046398</v>
      </c>
      <c r="N39" s="529"/>
      <c r="O39" s="545">
        <f>'Price Adjustments'!$D$92</f>
        <v>3.6740734670521746E-3</v>
      </c>
      <c r="P39" s="525"/>
      <c r="Q39" s="495">
        <f t="shared" si="4"/>
        <v>131.65156306043752</v>
      </c>
      <c r="R39" s="525"/>
      <c r="S39" s="525"/>
      <c r="T39" s="525"/>
      <c r="U39" s="525"/>
      <c r="V39" s="525"/>
    </row>
    <row r="40" spans="2:22" ht="15" customHeight="1" x14ac:dyDescent="0.25">
      <c r="B40" s="101" t="s">
        <v>125</v>
      </c>
      <c r="C40" s="28" t="s">
        <v>332</v>
      </c>
      <c r="D40" s="607">
        <f>VLOOKUP(B40,Input_DI!$D$10:$F$58,2,FALSE)</f>
        <v>33057</v>
      </c>
      <c r="E40" s="588">
        <f>VLOOKUP(B40,Input_DI!$D$10:$F$58,3,FALSE)</f>
        <v>6051361.8957281299</v>
      </c>
      <c r="F40" s="601"/>
      <c r="G40" s="608">
        <f t="shared" si="0"/>
        <v>183.05841109986176</v>
      </c>
      <c r="H40" s="525"/>
      <c r="I40" s="609">
        <f t="shared" si="1"/>
        <v>-3.1174571652793026E-2</v>
      </c>
      <c r="J40" s="610">
        <v>0</v>
      </c>
      <c r="K40" s="611">
        <f t="shared" si="2"/>
        <v>-3.1174571652793026E-2</v>
      </c>
      <c r="L40" s="582"/>
      <c r="M40" s="612">
        <f t="shared" si="3"/>
        <v>177.35164354638266</v>
      </c>
      <c r="N40" s="529"/>
      <c r="O40" s="545">
        <f>'Price Adjustments'!$D$92</f>
        <v>3.6740734670521746E-3</v>
      </c>
      <c r="P40" s="525"/>
      <c r="Q40" s="495">
        <f t="shared" si="4"/>
        <v>178.00324651427451</v>
      </c>
      <c r="R40" s="525"/>
      <c r="S40" s="525"/>
      <c r="T40" s="525"/>
      <c r="U40" s="525"/>
      <c r="V40" s="525"/>
    </row>
    <row r="41" spans="2:22" ht="15" customHeight="1" x14ac:dyDescent="0.25">
      <c r="B41" s="102" t="s">
        <v>127</v>
      </c>
      <c r="C41" s="28" t="s">
        <v>333</v>
      </c>
      <c r="D41" s="607">
        <f>VLOOKUP(B41,Input_DI!$D$10:$F$58,2,FALSE)</f>
        <v>3758253</v>
      </c>
      <c r="E41" s="588">
        <f>VLOOKUP(B41,Input_DI!$D$10:$F$58,3,FALSE)</f>
        <v>170310872.40760499</v>
      </c>
      <c r="F41" s="601"/>
      <c r="G41" s="608">
        <f t="shared" si="0"/>
        <v>45.316500088632935</v>
      </c>
      <c r="H41" s="525"/>
      <c r="I41" s="609">
        <f t="shared" si="1"/>
        <v>-3.1174571652793026E-2</v>
      </c>
      <c r="J41" s="610">
        <v>0</v>
      </c>
      <c r="K41" s="611">
        <f t="shared" si="2"/>
        <v>-3.1174571652793026E-2</v>
      </c>
      <c r="L41" s="582"/>
      <c r="M41" s="612">
        <f t="shared" si="3"/>
        <v>43.903777609566049</v>
      </c>
      <c r="N41" s="529"/>
      <c r="O41" s="545">
        <f>'Price Adjustments'!$D$92</f>
        <v>3.6740734670521746E-3</v>
      </c>
      <c r="P41" s="525"/>
      <c r="Q41" s="495">
        <f t="shared" si="4"/>
        <v>44.065083313984715</v>
      </c>
      <c r="R41" s="525"/>
      <c r="S41" s="525"/>
      <c r="T41" s="525"/>
      <c r="U41" s="525"/>
      <c r="V41" s="525"/>
    </row>
    <row r="42" spans="2:22" ht="15" customHeight="1" x14ac:dyDescent="0.25">
      <c r="B42" s="102" t="s">
        <v>129</v>
      </c>
      <c r="C42" s="28" t="s">
        <v>334</v>
      </c>
      <c r="D42" s="607">
        <f>VLOOKUP(B42,Input_DI!$D$10:$F$58,2,FALSE)</f>
        <v>1099632</v>
      </c>
      <c r="E42" s="588">
        <f>VLOOKUP(B42,Input_DI!$D$10:$F$58,3,FALSE)</f>
        <v>61041007.4753858</v>
      </c>
      <c r="F42" s="601"/>
      <c r="G42" s="608">
        <f t="shared" si="0"/>
        <v>55.510395728194339</v>
      </c>
      <c r="H42" s="525"/>
      <c r="I42" s="609">
        <f t="shared" si="1"/>
        <v>-3.1174571652793026E-2</v>
      </c>
      <c r="J42" s="610">
        <v>0</v>
      </c>
      <c r="K42" s="611">
        <f t="shared" si="2"/>
        <v>-3.1174571652793026E-2</v>
      </c>
      <c r="L42" s="42"/>
      <c r="M42" s="612">
        <f t="shared" si="3"/>
        <v>53.779882919090852</v>
      </c>
      <c r="N42" s="529"/>
      <c r="O42" s="545">
        <f>'Price Adjustments'!$D$92</f>
        <v>3.6740734670521746E-3</v>
      </c>
      <c r="P42" s="525"/>
      <c r="Q42" s="495">
        <f t="shared" si="4"/>
        <v>53.977474159985057</v>
      </c>
      <c r="R42" s="525"/>
      <c r="S42" s="525"/>
      <c r="T42" s="525"/>
      <c r="U42" s="525"/>
      <c r="V42" s="525"/>
    </row>
    <row r="43" spans="2:22" ht="15" customHeight="1" x14ac:dyDescent="0.25">
      <c r="B43" s="102" t="s">
        <v>131</v>
      </c>
      <c r="C43" s="28" t="s">
        <v>335</v>
      </c>
      <c r="D43" s="607">
        <f>VLOOKUP(B43,Input_DI!$D$10:$F$58,2,FALSE)</f>
        <v>37609</v>
      </c>
      <c r="E43" s="588">
        <f>VLOOKUP(B43,Input_DI!$D$10:$F$58,3,FALSE)</f>
        <v>5966093.7592216199</v>
      </c>
      <c r="F43" s="601"/>
      <c r="G43" s="608">
        <f t="shared" si="0"/>
        <v>158.63473528202346</v>
      </c>
      <c r="H43" s="525"/>
      <c r="I43" s="609">
        <f t="shared" si="1"/>
        <v>-3.1174571652793026E-2</v>
      </c>
      <c r="J43" s="610">
        <v>0</v>
      </c>
      <c r="K43" s="611">
        <f t="shared" si="2"/>
        <v>-3.1174571652793026E-2</v>
      </c>
      <c r="L43" s="42"/>
      <c r="M43" s="612">
        <f t="shared" si="3"/>
        <v>153.68936536035216</v>
      </c>
      <c r="N43" s="529"/>
      <c r="O43" s="545">
        <f>'Price Adjustments'!$D$92</f>
        <v>3.6740734670521746E-3</v>
      </c>
      <c r="P43" s="525"/>
      <c r="Q43" s="495">
        <f t="shared" si="4"/>
        <v>154.25403137979072</v>
      </c>
      <c r="R43" s="525"/>
      <c r="S43" s="525"/>
      <c r="T43" s="525"/>
      <c r="U43" s="525"/>
      <c r="V43" s="525"/>
    </row>
    <row r="44" spans="2:22" ht="15" customHeight="1" x14ac:dyDescent="0.25">
      <c r="B44" s="102" t="s">
        <v>133</v>
      </c>
      <c r="C44" s="28" t="s">
        <v>336</v>
      </c>
      <c r="D44" s="607">
        <f>VLOOKUP(B44,Input_DI!$D$10:$F$58,2,FALSE)</f>
        <v>185239</v>
      </c>
      <c r="E44" s="588">
        <f>VLOOKUP(B44,Input_DI!$D$10:$F$58,3,FALSE)</f>
        <v>35219302.097767703</v>
      </c>
      <c r="F44" s="601"/>
      <c r="G44" s="608">
        <f t="shared" si="0"/>
        <v>190.12897984640225</v>
      </c>
      <c r="H44" s="525"/>
      <c r="I44" s="609">
        <f t="shared" si="1"/>
        <v>-3.1174571652793026E-2</v>
      </c>
      <c r="J44" s="610">
        <v>0</v>
      </c>
      <c r="K44" s="611">
        <f t="shared" si="2"/>
        <v>-3.1174571652793026E-2</v>
      </c>
      <c r="L44" s="42"/>
      <c r="M44" s="612">
        <f t="shared" si="3"/>
        <v>184.20179034090813</v>
      </c>
      <c r="N44" s="529"/>
      <c r="O44" s="545">
        <f>'Price Adjustments'!$D$92</f>
        <v>3.6740734670521746E-3</v>
      </c>
      <c r="P44" s="525"/>
      <c r="Q44" s="495">
        <f t="shared" si="4"/>
        <v>184.87856125138316</v>
      </c>
      <c r="R44" s="525"/>
      <c r="S44" s="525"/>
      <c r="T44" s="525"/>
      <c r="U44" s="525"/>
      <c r="V44" s="525"/>
    </row>
    <row r="45" spans="2:22" ht="15" customHeight="1" x14ac:dyDescent="0.25">
      <c r="B45" s="102" t="s">
        <v>135</v>
      </c>
      <c r="C45" s="28" t="s">
        <v>337</v>
      </c>
      <c r="D45" s="607">
        <f>VLOOKUP(B45,Input_DI!$D$10:$F$58,2,FALSE)</f>
        <v>76791</v>
      </c>
      <c r="E45" s="588">
        <f>VLOOKUP(B45,Input_DI!$D$10:$F$58,3,FALSE)</f>
        <v>16586751.587544801</v>
      </c>
      <c r="F45" s="601"/>
      <c r="G45" s="608">
        <f t="shared" si="0"/>
        <v>215.99864030348348</v>
      </c>
      <c r="H45" s="525"/>
      <c r="I45" s="609">
        <f t="shared" si="1"/>
        <v>-3.1174571652793026E-2</v>
      </c>
      <c r="J45" s="610">
        <v>0</v>
      </c>
      <c r="K45" s="611">
        <f t="shared" si="2"/>
        <v>-3.1174571652793026E-2</v>
      </c>
      <c r="L45" s="42"/>
      <c r="M45" s="612">
        <f t="shared" si="3"/>
        <v>209.26497521443667</v>
      </c>
      <c r="N45" s="529"/>
      <c r="O45" s="545">
        <f>'Price Adjustments'!$D$92</f>
        <v>3.6740734670521746E-3</v>
      </c>
      <c r="P45" s="525"/>
      <c r="Q45" s="495">
        <f t="shared" si="4"/>
        <v>210.03383010745537</v>
      </c>
      <c r="R45" s="525"/>
      <c r="S45" s="525"/>
      <c r="T45" s="525"/>
      <c r="U45" s="525"/>
      <c r="V45" s="525"/>
    </row>
    <row r="46" spans="2:22" ht="15" customHeight="1" x14ac:dyDescent="0.25">
      <c r="B46" s="102" t="s">
        <v>137</v>
      </c>
      <c r="C46" s="28" t="s">
        <v>338</v>
      </c>
      <c r="D46" s="607">
        <f>VLOOKUP(B46,Input_DI!$D$10:$F$58,2,FALSE)</f>
        <v>51973</v>
      </c>
      <c r="E46" s="588">
        <f>VLOOKUP(B46,Input_DI!$D$10:$F$58,3,FALSE)</f>
        <v>14737124.100872699</v>
      </c>
      <c r="F46" s="601"/>
      <c r="G46" s="608">
        <f t="shared" si="0"/>
        <v>283.55346239148594</v>
      </c>
      <c r="H46" s="525"/>
      <c r="I46" s="609">
        <f t="shared" si="1"/>
        <v>-3.1174571652793026E-2</v>
      </c>
      <c r="J46" s="610">
        <v>0</v>
      </c>
      <c r="K46" s="611">
        <f t="shared" si="2"/>
        <v>-3.1174571652793026E-2</v>
      </c>
      <c r="L46" s="599"/>
      <c r="M46" s="612">
        <f t="shared" si="3"/>
        <v>274.71380466076499</v>
      </c>
      <c r="N46" s="529"/>
      <c r="O46" s="545">
        <f>'Price Adjustments'!$D$92</f>
        <v>3.6740734670521746E-3</v>
      </c>
      <c r="P46" s="525"/>
      <c r="Q46" s="495">
        <f t="shared" si="4"/>
        <v>275.72312336150208</v>
      </c>
      <c r="R46" s="525"/>
      <c r="S46" s="525"/>
      <c r="T46" s="525"/>
      <c r="U46" s="525"/>
      <c r="V46" s="525"/>
    </row>
    <row r="47" spans="2:22" ht="15" customHeight="1" x14ac:dyDescent="0.25">
      <c r="B47" s="102" t="s">
        <v>139</v>
      </c>
      <c r="C47" s="28" t="s">
        <v>339</v>
      </c>
      <c r="D47" s="607">
        <f>VLOOKUP(B47,Input_DI!$D$10:$F$58,2,FALSE)</f>
        <v>41982</v>
      </c>
      <c r="E47" s="588">
        <f>VLOOKUP(B47,Input_DI!$D$10:$F$58,3,FALSE)</f>
        <v>13426180.6246217</v>
      </c>
      <c r="F47" s="601"/>
      <c r="G47" s="608">
        <f t="shared" si="0"/>
        <v>319.80802783625603</v>
      </c>
      <c r="H47" s="525"/>
      <c r="I47" s="609">
        <f t="shared" si="1"/>
        <v>-3.1174571652793026E-2</v>
      </c>
      <c r="J47" s="610">
        <v>0</v>
      </c>
      <c r="K47" s="611">
        <f t="shared" si="2"/>
        <v>-3.1174571652793026E-2</v>
      </c>
      <c r="L47" s="599"/>
      <c r="M47" s="612">
        <f t="shared" si="3"/>
        <v>309.83814955733624</v>
      </c>
      <c r="N47" s="529"/>
      <c r="O47" s="545">
        <f>'Price Adjustments'!$D$92</f>
        <v>3.6740734670521746E-3</v>
      </c>
      <c r="P47" s="525"/>
      <c r="Q47" s="495">
        <f t="shared" si="4"/>
        <v>310.97651768170539</v>
      </c>
      <c r="R47" s="525"/>
      <c r="S47" s="525"/>
      <c r="T47" s="525"/>
      <c r="U47" s="525"/>
      <c r="V47" s="525"/>
    </row>
    <row r="48" spans="2:22" ht="15" customHeight="1" x14ac:dyDescent="0.25">
      <c r="B48" s="102" t="s">
        <v>141</v>
      </c>
      <c r="C48" s="28" t="s">
        <v>340</v>
      </c>
      <c r="D48" s="607">
        <f>VLOOKUP(B48,Input_DI!$D$10:$F$58,2,FALSE)</f>
        <v>11356</v>
      </c>
      <c r="E48" s="588">
        <f>VLOOKUP(B48,Input_DI!$D$10:$F$58,3,FALSE)</f>
        <v>4690970.9343493897</v>
      </c>
      <c r="F48" s="601"/>
      <c r="G48" s="608">
        <f t="shared" si="0"/>
        <v>413.0830340216088</v>
      </c>
      <c r="H48" s="525"/>
      <c r="I48" s="609">
        <f t="shared" si="1"/>
        <v>-3.1174571652793026E-2</v>
      </c>
      <c r="J48" s="610">
        <v>0</v>
      </c>
      <c r="K48" s="611">
        <f t="shared" si="2"/>
        <v>-3.1174571652793026E-2</v>
      </c>
      <c r="L48" s="35"/>
      <c r="M48" s="612">
        <f t="shared" si="3"/>
        <v>400.205347378949</v>
      </c>
      <c r="N48" s="529"/>
      <c r="O48" s="545">
        <f>'Price Adjustments'!$D$92</f>
        <v>3.6740734670521746E-3</v>
      </c>
      <c r="P48" s="525"/>
      <c r="Q48" s="495">
        <f t="shared" si="4"/>
        <v>401.67573122712639</v>
      </c>
      <c r="R48" s="525"/>
      <c r="S48" s="525"/>
      <c r="T48" s="525"/>
      <c r="U48" s="525"/>
      <c r="V48" s="525"/>
    </row>
    <row r="49" spans="2:22" ht="15" customHeight="1" x14ac:dyDescent="0.25">
      <c r="B49" s="102" t="s">
        <v>113</v>
      </c>
      <c r="C49" s="28" t="s">
        <v>114</v>
      </c>
      <c r="D49" s="607">
        <f>VLOOKUP(B49,Input_DI!$D$10:$F$58,2,FALSE)</f>
        <v>33583</v>
      </c>
      <c r="E49" s="588">
        <f>VLOOKUP(B49,Input_DI!$D$10:$F$58,3,FALSE)</f>
        <v>3019876.63184383</v>
      </c>
      <c r="F49" s="601"/>
      <c r="G49" s="608">
        <f t="shared" si="0"/>
        <v>89.922777352941367</v>
      </c>
      <c r="H49" s="525"/>
      <c r="I49" s="609">
        <f t="shared" si="1"/>
        <v>-3.1174571652793026E-2</v>
      </c>
      <c r="J49" s="610">
        <v>0</v>
      </c>
      <c r="K49" s="611">
        <f t="shared" si="2"/>
        <v>-3.1174571652793026E-2</v>
      </c>
      <c r="L49" s="582"/>
      <c r="M49" s="612">
        <f t="shared" si="3"/>
        <v>87.119473287133943</v>
      </c>
      <c r="N49" s="529"/>
      <c r="O49" s="545">
        <f>'Price Adjustments'!$D$92</f>
        <v>3.6740734670521746E-3</v>
      </c>
      <c r="P49" s="525"/>
      <c r="Q49" s="495">
        <f t="shared" si="4"/>
        <v>87.439556632401761</v>
      </c>
      <c r="R49" s="525"/>
      <c r="S49" s="525"/>
      <c r="T49" s="525"/>
      <c r="U49" s="525"/>
      <c r="V49" s="525"/>
    </row>
    <row r="50" spans="2:22" ht="15" customHeight="1" x14ac:dyDescent="0.25">
      <c r="B50" s="102" t="s">
        <v>191</v>
      </c>
      <c r="C50" s="28" t="s">
        <v>341</v>
      </c>
      <c r="D50" s="607">
        <f>VLOOKUP(B50,Input_DI!$D$10:$F$58,2,FALSE)</f>
        <v>191705</v>
      </c>
      <c r="E50" s="588">
        <f>VLOOKUP(B50,Input_DI!$D$10:$F$58,3,FALSE)</f>
        <v>11019213.841751199</v>
      </c>
      <c r="F50" s="601"/>
      <c r="G50" s="608">
        <f t="shared" si="0"/>
        <v>57.480054467808344</v>
      </c>
      <c r="H50" s="525"/>
      <c r="I50" s="609">
        <f t="shared" si="1"/>
        <v>-3.1174571652793026E-2</v>
      </c>
      <c r="J50" s="610">
        <v>0</v>
      </c>
      <c r="K50" s="611">
        <f t="shared" si="2"/>
        <v>-3.1174571652793026E-2</v>
      </c>
      <c r="L50" s="582"/>
      <c r="M50" s="612">
        <f t="shared" si="3"/>
        <v>55.68813839119521</v>
      </c>
      <c r="N50" s="529"/>
      <c r="O50" s="545">
        <f>'Price Adjustments'!$D$92</f>
        <v>3.6740734670521746E-3</v>
      </c>
      <c r="P50" s="525"/>
      <c r="Q50" s="495">
        <f t="shared" si="4"/>
        <v>55.892740702887828</v>
      </c>
      <c r="R50" s="525"/>
      <c r="S50" s="525"/>
      <c r="T50" s="525"/>
      <c r="U50" s="525"/>
      <c r="V50" s="525"/>
    </row>
    <row r="51" spans="2:22" x14ac:dyDescent="0.25">
      <c r="B51" s="102" t="s">
        <v>192</v>
      </c>
      <c r="C51" s="28" t="s">
        <v>342</v>
      </c>
      <c r="D51" s="607">
        <f>VLOOKUP(B51,Input_DI!$D$10:$F$58,2,FALSE)</f>
        <v>4243</v>
      </c>
      <c r="E51" s="588">
        <f>VLOOKUP(B51,Input_DI!$D$10:$F$58,3,FALSE)</f>
        <v>247542.747844211</v>
      </c>
      <c r="F51" s="601"/>
      <c r="G51" s="608">
        <f t="shared" si="0"/>
        <v>58.341444224419277</v>
      </c>
      <c r="H51" s="525"/>
      <c r="I51" s="609">
        <f t="shared" si="1"/>
        <v>-3.1174571652793026E-2</v>
      </c>
      <c r="J51" s="610">
        <v>0</v>
      </c>
      <c r="K51" s="611">
        <f t="shared" si="2"/>
        <v>-3.1174571652793026E-2</v>
      </c>
      <c r="L51" s="582"/>
      <c r="M51" s="612">
        <f t="shared" si="3"/>
        <v>56.522674691117693</v>
      </c>
      <c r="N51" s="529"/>
      <c r="O51" s="545">
        <f>'Price Adjustments'!$D$92</f>
        <v>3.6740734670521746E-3</v>
      </c>
      <c r="P51" s="525"/>
      <c r="Q51" s="495">
        <f t="shared" si="4"/>
        <v>56.730343150487151</v>
      </c>
      <c r="R51" s="525"/>
      <c r="S51" s="525"/>
      <c r="T51" s="525"/>
      <c r="U51" s="525"/>
      <c r="V51" s="525"/>
    </row>
    <row r="52" spans="2:22" x14ac:dyDescent="0.25">
      <c r="B52" s="102" t="s">
        <v>193</v>
      </c>
      <c r="C52" s="28" t="s">
        <v>343</v>
      </c>
      <c r="D52" s="607">
        <f>VLOOKUP(B52,Input_DI!$D$10:$F$58,2,FALSE)</f>
        <v>1945</v>
      </c>
      <c r="E52" s="588">
        <f>VLOOKUP(B52,Input_DI!$D$10:$F$58,3,FALSE)</f>
        <v>161037.84368411699</v>
      </c>
      <c r="F52" s="601"/>
      <c r="G52" s="608">
        <f t="shared" si="0"/>
        <v>82.795806521396912</v>
      </c>
      <c r="H52" s="525"/>
      <c r="I52" s="609">
        <f t="shared" si="1"/>
        <v>-3.1174571652793026E-2</v>
      </c>
      <c r="J52" s="610">
        <v>0</v>
      </c>
      <c r="K52" s="611">
        <f t="shared" si="2"/>
        <v>-3.1174571652793026E-2</v>
      </c>
      <c r="L52" s="582"/>
      <c r="M52" s="612">
        <f t="shared" si="3"/>
        <v>80.214682718444834</v>
      </c>
      <c r="N52" s="529"/>
      <c r="O52" s="545">
        <f>'Price Adjustments'!$D$92</f>
        <v>3.6740734670521746E-3</v>
      </c>
      <c r="P52" s="525"/>
      <c r="Q52" s="495">
        <f t="shared" si="4"/>
        <v>80.50939735588868</v>
      </c>
      <c r="R52" s="525"/>
      <c r="S52" s="525"/>
      <c r="T52" s="525"/>
      <c r="U52" s="525"/>
      <c r="V52" s="525"/>
    </row>
    <row r="53" spans="2:22" x14ac:dyDescent="0.25">
      <c r="B53" s="102" t="s">
        <v>194</v>
      </c>
      <c r="C53" s="28" t="s">
        <v>344</v>
      </c>
      <c r="D53" s="607">
        <f>VLOOKUP(B53,Input_DI!$D$10:$F$58,2,FALSE)</f>
        <v>14173</v>
      </c>
      <c r="E53" s="588">
        <f>VLOOKUP(B53,Input_DI!$D$10:$F$58,3,FALSE)</f>
        <v>4940190.6037450004</v>
      </c>
      <c r="F53" s="601"/>
      <c r="G53" s="608">
        <f t="shared" si="0"/>
        <v>348.56350834297609</v>
      </c>
      <c r="H53" s="525"/>
      <c r="I53" s="609">
        <f t="shared" si="1"/>
        <v>-3.1174571652793026E-2</v>
      </c>
      <c r="J53" s="610">
        <v>0</v>
      </c>
      <c r="K53" s="611">
        <f t="shared" si="2"/>
        <v>-3.1174571652793026E-2</v>
      </c>
      <c r="L53" s="582"/>
      <c r="M53" s="612">
        <f t="shared" si="3"/>
        <v>337.69719027658908</v>
      </c>
      <c r="N53" s="529"/>
      <c r="O53" s="545">
        <f>'Price Adjustments'!$D$92</f>
        <v>3.6740734670521746E-3</v>
      </c>
      <c r="P53" s="525"/>
      <c r="Q53" s="495">
        <f t="shared" si="4"/>
        <v>338.93791456328239</v>
      </c>
      <c r="R53" s="525"/>
      <c r="S53" s="525"/>
      <c r="T53" s="525"/>
      <c r="U53" s="525"/>
      <c r="V53" s="525"/>
    </row>
    <row r="54" spans="2:22" x14ac:dyDescent="0.25">
      <c r="B54" s="102" t="s">
        <v>195</v>
      </c>
      <c r="C54" s="28" t="s">
        <v>345</v>
      </c>
      <c r="D54" s="607">
        <f>VLOOKUP(B54,Input_DI!$D$10:$F$58,2,FALSE)</f>
        <v>1371</v>
      </c>
      <c r="E54" s="588">
        <f>VLOOKUP(B54,Input_DI!$D$10:$F$58,3,FALSE)</f>
        <v>605014.43913946301</v>
      </c>
      <c r="F54" s="601"/>
      <c r="G54" s="608">
        <f t="shared" si="0"/>
        <v>441.29426633075349</v>
      </c>
      <c r="H54" s="525"/>
      <c r="I54" s="609">
        <f t="shared" si="1"/>
        <v>-3.1174571652793026E-2</v>
      </c>
      <c r="J54" s="610">
        <v>0</v>
      </c>
      <c r="K54" s="611">
        <f t="shared" si="2"/>
        <v>-3.1174571652793026E-2</v>
      </c>
      <c r="L54" s="582"/>
      <c r="M54" s="612">
        <f t="shared" si="3"/>
        <v>427.53710660505868</v>
      </c>
      <c r="N54" s="529"/>
      <c r="O54" s="545">
        <f>'Price Adjustments'!$D$92</f>
        <v>3.6740734670521746E-3</v>
      </c>
      <c r="P54" s="525"/>
      <c r="Q54" s="495">
        <f t="shared" si="4"/>
        <v>429.10790934461659</v>
      </c>
      <c r="R54" s="525"/>
      <c r="S54" s="525"/>
      <c r="T54" s="525"/>
      <c r="U54" s="525"/>
      <c r="V54" s="525"/>
    </row>
    <row r="55" spans="2:22" x14ac:dyDescent="0.25">
      <c r="B55" s="93" t="s">
        <v>196</v>
      </c>
      <c r="C55" s="28" t="s">
        <v>346</v>
      </c>
      <c r="D55" s="607">
        <f>VLOOKUP(B55,Input_DI!$D$10:$F$58,2,FALSE)</f>
        <v>2020</v>
      </c>
      <c r="E55" s="588">
        <f>VLOOKUP(B55,Input_DI!$D$10:$F$58,3,FALSE)</f>
        <v>978009.17780492199</v>
      </c>
      <c r="F55" s="601"/>
      <c r="G55" s="614">
        <f t="shared" si="0"/>
        <v>484.1629593093673</v>
      </c>
      <c r="H55" s="525"/>
      <c r="I55" s="615">
        <f t="shared" si="1"/>
        <v>-3.1174571652793026E-2</v>
      </c>
      <c r="J55" s="616">
        <v>0</v>
      </c>
      <c r="K55" s="617">
        <f t="shared" si="2"/>
        <v>-3.1174571652793026E-2</v>
      </c>
      <c r="L55" s="582"/>
      <c r="M55" s="612">
        <f t="shared" si="3"/>
        <v>469.06938644274913</v>
      </c>
      <c r="N55" s="529"/>
      <c r="O55" s="545">
        <f>'Price Adjustments'!$D$92</f>
        <v>3.6740734670521746E-3</v>
      </c>
      <c r="P55" s="525"/>
      <c r="Q55" s="495">
        <f t="shared" si="4"/>
        <v>470.79278182968488</v>
      </c>
      <c r="R55" s="525"/>
      <c r="S55" s="525"/>
      <c r="T55" s="525"/>
      <c r="U55" s="525"/>
      <c r="V55" s="525"/>
    </row>
    <row r="56" spans="2:22" s="167" customFormat="1" x14ac:dyDescent="0.25">
      <c r="B56" s="444" t="s">
        <v>378</v>
      </c>
      <c r="C56" s="28" t="s">
        <v>387</v>
      </c>
      <c r="D56" s="607">
        <f>VLOOKUP(B56,Input_DI!$D$10:$F$58,2,FALSE)</f>
        <v>16601</v>
      </c>
      <c r="E56" s="588">
        <f>VLOOKUP(B56,Input_DI!$D$10:$F$58,3,FALSE)</f>
        <v>3762018.9206756898</v>
      </c>
      <c r="F56" s="601"/>
      <c r="G56" s="614">
        <f t="shared" si="0"/>
        <v>226.61399437839225</v>
      </c>
      <c r="H56" s="525"/>
      <c r="I56" s="615">
        <f t="shared" si="1"/>
        <v>-3.1174571652793026E-2</v>
      </c>
      <c r="J56" s="616">
        <v>0</v>
      </c>
      <c r="K56" s="617">
        <f t="shared" ref="K56" si="5">(1+I56)*(1+J56)-1</f>
        <v>-3.1174571652793026E-2</v>
      </c>
      <c r="L56" s="582"/>
      <c r="M56" s="612">
        <f>G56*(1+K56)</f>
        <v>219.54940017311742</v>
      </c>
      <c r="N56" s="529"/>
      <c r="O56" s="545">
        <f>'Price Adjustments'!$D$92</f>
        <v>3.6740734670521746E-3</v>
      </c>
      <c r="P56" s="525"/>
      <c r="Q56" s="495">
        <f>M56*(1+O56)</f>
        <v>220.35604079900068</v>
      </c>
      <c r="R56" s="525"/>
      <c r="S56" s="525"/>
      <c r="T56" s="525"/>
      <c r="U56" s="525"/>
      <c r="V56" s="525"/>
    </row>
    <row r="57" spans="2:22" s="167" customFormat="1" ht="15.75" thickBot="1" x14ac:dyDescent="0.3">
      <c r="B57" s="316" t="s">
        <v>442</v>
      </c>
      <c r="C57" s="388" t="s">
        <v>443</v>
      </c>
      <c r="D57" s="618"/>
      <c r="E57" s="594"/>
      <c r="F57" s="525"/>
      <c r="G57" s="619"/>
      <c r="H57" s="525"/>
      <c r="I57" s="620">
        <f t="shared" si="1"/>
        <v>-3.1174571652793026E-2</v>
      </c>
      <c r="J57" s="621">
        <v>0</v>
      </c>
      <c r="K57" s="622">
        <f t="shared" ref="K57" si="6">(1+I57)*(1+J57)-1</f>
        <v>-3.1174571652793026E-2</v>
      </c>
      <c r="L57" s="582"/>
      <c r="M57" s="623">
        <f t="shared" si="3"/>
        <v>0</v>
      </c>
      <c r="N57" s="529"/>
      <c r="O57" s="555">
        <f>'Price Adjustments'!$D$92</f>
        <v>3.6740734670521746E-3</v>
      </c>
      <c r="P57" s="525"/>
      <c r="Q57" s="496">
        <f t="shared" si="4"/>
        <v>0</v>
      </c>
      <c r="R57" s="525"/>
      <c r="S57" s="525"/>
      <c r="T57" s="525"/>
      <c r="U57" s="525"/>
      <c r="V57" s="525"/>
    </row>
    <row r="58" spans="2:22" x14ac:dyDescent="0.25">
      <c r="B58" s="329">
        <v>1</v>
      </c>
      <c r="C58" s="329">
        <v>2</v>
      </c>
      <c r="D58" s="329">
        <v>3</v>
      </c>
      <c r="E58" s="329">
        <v>4</v>
      </c>
      <c r="F58" s="329">
        <v>5</v>
      </c>
      <c r="G58" s="329">
        <v>10</v>
      </c>
      <c r="H58" s="329">
        <v>11</v>
      </c>
      <c r="I58" s="329">
        <v>12</v>
      </c>
      <c r="J58" s="329">
        <v>13</v>
      </c>
      <c r="K58" s="329">
        <v>14</v>
      </c>
      <c r="L58" s="329">
        <v>15</v>
      </c>
      <c r="M58" s="497">
        <v>16</v>
      </c>
      <c r="N58" s="329">
        <v>17</v>
      </c>
      <c r="O58" s="329">
        <v>18</v>
      </c>
      <c r="P58" s="329">
        <v>19</v>
      </c>
      <c r="Q58" s="329">
        <v>20</v>
      </c>
      <c r="R58" s="329">
        <v>21</v>
      </c>
      <c r="S58" s="329">
        <v>22</v>
      </c>
      <c r="T58" s="525"/>
      <c r="U58" s="525"/>
      <c r="V58" s="525"/>
    </row>
    <row r="59" spans="2:22" s="14" customFormat="1" ht="19.5" thickBot="1" x14ac:dyDescent="0.3">
      <c r="B59" s="624" t="s">
        <v>269</v>
      </c>
      <c r="C59" s="40"/>
      <c r="D59" s="525"/>
      <c r="E59" s="625"/>
      <c r="F59" s="565"/>
      <c r="G59" s="565"/>
      <c r="H59" s="565"/>
      <c r="I59" s="565"/>
      <c r="J59" s="565"/>
      <c r="K59" s="565"/>
      <c r="L59" s="565"/>
      <c r="M59" s="565"/>
      <c r="N59" s="565"/>
      <c r="O59" s="565"/>
      <c r="P59" s="525"/>
      <c r="Q59" s="525"/>
      <c r="R59" s="599"/>
      <c r="S59" s="42"/>
      <c r="T59" s="525"/>
      <c r="U59" s="525"/>
      <c r="V59" s="525"/>
    </row>
    <row r="60" spans="2:22" s="14" customFormat="1" ht="81.75" customHeight="1" thickBot="1" x14ac:dyDescent="0.3">
      <c r="B60" s="99" t="s">
        <v>467</v>
      </c>
      <c r="C60" s="100" t="s">
        <v>84</v>
      </c>
      <c r="D60" s="155" t="s">
        <v>927</v>
      </c>
      <c r="E60" s="565"/>
      <c r="F60" s="565"/>
      <c r="G60" s="565"/>
      <c r="H60" s="565"/>
      <c r="I60" s="565"/>
      <c r="J60" s="565"/>
      <c r="K60" s="565"/>
      <c r="L60" s="565"/>
      <c r="M60" s="565"/>
      <c r="N60" s="565"/>
      <c r="O60" s="565"/>
      <c r="P60" s="525"/>
      <c r="Q60" s="525"/>
      <c r="R60" s="525"/>
      <c r="S60" s="525"/>
      <c r="T60" s="525"/>
      <c r="U60" s="565"/>
      <c r="V60" s="525"/>
    </row>
    <row r="61" spans="2:22" s="14" customFormat="1" x14ac:dyDescent="0.25">
      <c r="B61" s="185" t="s">
        <v>179</v>
      </c>
      <c r="C61" s="79" t="s">
        <v>316</v>
      </c>
      <c r="D61" s="626">
        <f>VLOOKUP(B61,'DI Cost of reporting'!$C$4:$E$45,3,FALSE)</f>
        <v>22</v>
      </c>
      <c r="E61" s="565"/>
      <c r="F61" s="565"/>
      <c r="G61" s="565"/>
      <c r="H61" s="565"/>
      <c r="I61" s="565"/>
      <c r="J61" s="565"/>
      <c r="K61" s="565"/>
      <c r="L61" s="565"/>
      <c r="M61" s="565"/>
      <c r="N61" s="565"/>
      <c r="O61" s="565"/>
      <c r="P61" s="525"/>
      <c r="Q61" s="525"/>
      <c r="R61" s="525"/>
      <c r="S61" s="525"/>
      <c r="T61" s="525"/>
      <c r="U61" s="565"/>
      <c r="V61" s="525"/>
    </row>
    <row r="62" spans="2:22" s="14" customFormat="1" x14ac:dyDescent="0.25">
      <c r="B62" s="101" t="s">
        <v>180</v>
      </c>
      <c r="C62" s="36" t="s">
        <v>317</v>
      </c>
      <c r="D62" s="626">
        <f>VLOOKUP(B62,'DI Cost of reporting'!$C$4:$E$45,3,FALSE)</f>
        <v>22</v>
      </c>
      <c r="E62" s="565"/>
      <c r="F62" s="565"/>
      <c r="G62" s="565"/>
      <c r="H62" s="565"/>
      <c r="I62" s="565"/>
      <c r="J62" s="565"/>
      <c r="K62" s="565"/>
      <c r="L62" s="565"/>
      <c r="M62" s="565"/>
      <c r="N62" s="565"/>
      <c r="O62" s="565"/>
      <c r="P62" s="525"/>
      <c r="Q62" s="525"/>
      <c r="R62" s="525"/>
      <c r="S62" s="525"/>
      <c r="T62" s="525"/>
      <c r="U62" s="565"/>
      <c r="V62" s="525"/>
    </row>
    <row r="63" spans="2:22" s="14" customFormat="1" x14ac:dyDescent="0.25">
      <c r="B63" s="93" t="s">
        <v>181</v>
      </c>
      <c r="C63" s="28" t="s">
        <v>318</v>
      </c>
      <c r="D63" s="626">
        <f>VLOOKUP(B63,'DI Cost of reporting'!$C$4:$E$45,3,FALSE)</f>
        <v>22</v>
      </c>
      <c r="E63" s="565"/>
      <c r="F63" s="565"/>
      <c r="G63" s="565"/>
      <c r="H63" s="565"/>
      <c r="I63" s="565"/>
      <c r="J63" s="565"/>
      <c r="K63" s="565"/>
      <c r="L63" s="565"/>
      <c r="M63" s="565"/>
      <c r="N63" s="565"/>
      <c r="O63" s="565"/>
      <c r="P63" s="525"/>
      <c r="Q63" s="525"/>
      <c r="R63" s="525"/>
      <c r="S63" s="525"/>
      <c r="T63" s="525"/>
      <c r="U63" s="565"/>
      <c r="V63" s="525"/>
    </row>
    <row r="64" spans="2:22" s="14" customFormat="1" x14ac:dyDescent="0.25">
      <c r="B64" s="101" t="s">
        <v>182</v>
      </c>
      <c r="C64" s="28" t="s">
        <v>319</v>
      </c>
      <c r="D64" s="626">
        <f>VLOOKUP(B64,'DI Cost of reporting'!$C$4:$E$45,3,FALSE)</f>
        <v>22</v>
      </c>
      <c r="E64" s="565"/>
      <c r="F64" s="565"/>
      <c r="G64" s="565"/>
      <c r="H64" s="565"/>
      <c r="I64" s="565"/>
      <c r="J64" s="565"/>
      <c r="K64" s="565"/>
      <c r="L64" s="565"/>
      <c r="M64" s="565"/>
      <c r="N64" s="565"/>
      <c r="O64" s="565"/>
      <c r="P64" s="525"/>
      <c r="Q64" s="525"/>
      <c r="R64" s="525"/>
      <c r="S64" s="525"/>
      <c r="T64" s="525"/>
      <c r="U64" s="565"/>
      <c r="V64" s="525"/>
    </row>
    <row r="65" spans="2:22" s="14" customFormat="1" x14ac:dyDescent="0.25">
      <c r="B65" s="101" t="s">
        <v>183</v>
      </c>
      <c r="C65" s="29" t="s">
        <v>320</v>
      </c>
      <c r="D65" s="626">
        <f>VLOOKUP(B65,'DI Cost of reporting'!$C$4:$E$45,3,FALSE)</f>
        <v>22</v>
      </c>
      <c r="E65" s="565"/>
      <c r="F65" s="565"/>
      <c r="G65" s="565"/>
      <c r="H65" s="565"/>
      <c r="I65" s="565"/>
      <c r="J65" s="565"/>
      <c r="K65" s="565"/>
      <c r="L65" s="565"/>
      <c r="M65" s="565"/>
      <c r="N65" s="565"/>
      <c r="O65" s="565"/>
      <c r="P65" s="525"/>
      <c r="Q65" s="525"/>
      <c r="R65" s="525"/>
      <c r="S65" s="525"/>
      <c r="T65" s="525"/>
      <c r="U65" s="565"/>
      <c r="V65" s="525"/>
    </row>
    <row r="66" spans="2:22" s="14" customFormat="1" x14ac:dyDescent="0.25">
      <c r="B66" s="93" t="s">
        <v>184</v>
      </c>
      <c r="C66" s="28" t="s">
        <v>321</v>
      </c>
      <c r="D66" s="626">
        <f>VLOOKUP(B66,'DI Cost of reporting'!$C$4:$E$45,3,FALSE)</f>
        <v>22</v>
      </c>
      <c r="E66" s="565"/>
      <c r="F66" s="565"/>
      <c r="G66" s="565"/>
      <c r="H66" s="565"/>
      <c r="I66" s="565"/>
      <c r="J66" s="565"/>
      <c r="K66" s="565"/>
      <c r="L66" s="565"/>
      <c r="M66" s="565"/>
      <c r="N66" s="565"/>
      <c r="O66" s="565"/>
      <c r="P66" s="525"/>
      <c r="Q66" s="525"/>
      <c r="R66" s="525"/>
      <c r="S66" s="525"/>
      <c r="T66" s="525"/>
      <c r="U66" s="565"/>
      <c r="V66" s="525"/>
    </row>
    <row r="67" spans="2:22" s="14" customFormat="1" x14ac:dyDescent="0.25">
      <c r="B67" s="93" t="s">
        <v>97</v>
      </c>
      <c r="C67" s="28" t="s">
        <v>98</v>
      </c>
      <c r="D67" s="626">
        <f>VLOOKUP(B67,'DI Cost of reporting'!$C$4:$E$45,3,FALSE)</f>
        <v>22</v>
      </c>
      <c r="E67" s="565"/>
      <c r="F67" s="565"/>
      <c r="G67" s="565"/>
      <c r="H67" s="565"/>
      <c r="I67" s="565"/>
      <c r="J67" s="565"/>
      <c r="K67" s="565"/>
      <c r="L67" s="565"/>
      <c r="M67" s="565"/>
      <c r="N67" s="565"/>
      <c r="O67" s="565"/>
      <c r="P67" s="525"/>
      <c r="Q67" s="525"/>
      <c r="R67" s="525"/>
      <c r="S67" s="525"/>
      <c r="T67" s="525"/>
      <c r="U67" s="565"/>
      <c r="V67" s="525"/>
    </row>
    <row r="68" spans="2:22" s="14" customFormat="1" x14ac:dyDescent="0.25">
      <c r="B68" s="93" t="s">
        <v>99</v>
      </c>
      <c r="C68" s="28" t="s">
        <v>322</v>
      </c>
      <c r="D68" s="626">
        <f>VLOOKUP(B68,'DI Cost of reporting'!$C$4:$E$45,3,FALSE)</f>
        <v>22</v>
      </c>
      <c r="E68" s="565"/>
      <c r="F68" s="565"/>
      <c r="G68" s="565"/>
      <c r="H68" s="565"/>
      <c r="I68" s="565"/>
      <c r="J68" s="565"/>
      <c r="K68" s="565"/>
      <c r="L68" s="565"/>
      <c r="M68" s="565"/>
      <c r="N68" s="565"/>
      <c r="O68" s="565"/>
      <c r="P68" s="525"/>
      <c r="Q68" s="525"/>
      <c r="R68" s="525"/>
      <c r="S68" s="525"/>
      <c r="T68" s="525"/>
      <c r="U68" s="565"/>
      <c r="V68" s="525"/>
    </row>
    <row r="69" spans="2:22" s="14" customFormat="1" x14ac:dyDescent="0.25">
      <c r="B69" s="101" t="s">
        <v>101</v>
      </c>
      <c r="C69" s="28" t="s">
        <v>323</v>
      </c>
      <c r="D69" s="626">
        <f>VLOOKUP(B69,'DI Cost of reporting'!$C$4:$E$45,3,FALSE)</f>
        <v>28</v>
      </c>
      <c r="E69" s="565"/>
      <c r="F69" s="565"/>
      <c r="G69" s="565"/>
      <c r="H69" s="565"/>
      <c r="I69" s="565"/>
      <c r="J69" s="565"/>
      <c r="K69" s="565"/>
      <c r="L69" s="565"/>
      <c r="M69" s="565"/>
      <c r="N69" s="565"/>
      <c r="O69" s="565"/>
      <c r="P69" s="525"/>
      <c r="Q69" s="525"/>
      <c r="R69" s="525"/>
      <c r="S69" s="525"/>
      <c r="T69" s="525"/>
      <c r="U69" s="565"/>
      <c r="V69" s="525"/>
    </row>
    <row r="70" spans="2:22" s="14" customFormat="1" x14ac:dyDescent="0.25">
      <c r="B70" s="101" t="s">
        <v>103</v>
      </c>
      <c r="C70" s="28" t="s">
        <v>104</v>
      </c>
      <c r="D70" s="626">
        <f>VLOOKUP(B70,'DI Cost of reporting'!$C$4:$E$45,3,FALSE)</f>
        <v>28</v>
      </c>
      <c r="E70" s="565"/>
      <c r="F70" s="565"/>
      <c r="G70" s="565"/>
      <c r="H70" s="565"/>
      <c r="I70" s="565"/>
      <c r="J70" s="565"/>
      <c r="K70" s="565"/>
      <c r="L70" s="565"/>
      <c r="M70" s="565"/>
      <c r="N70" s="565"/>
      <c r="O70" s="565"/>
      <c r="P70" s="525"/>
      <c r="Q70" s="525"/>
      <c r="R70" s="525"/>
      <c r="S70" s="525"/>
      <c r="T70" s="525"/>
      <c r="U70" s="565"/>
      <c r="V70" s="525"/>
    </row>
    <row r="71" spans="2:22" s="14" customFormat="1" x14ac:dyDescent="0.25">
      <c r="B71" s="101" t="s">
        <v>105</v>
      </c>
      <c r="C71" s="28" t="s">
        <v>106</v>
      </c>
      <c r="D71" s="626">
        <f>VLOOKUP(B71,'DI Cost of reporting'!$C$4:$E$45,3,FALSE)</f>
        <v>28</v>
      </c>
      <c r="E71" s="565"/>
      <c r="F71" s="565"/>
      <c r="G71" s="565"/>
      <c r="H71" s="565"/>
      <c r="I71" s="565"/>
      <c r="J71" s="565"/>
      <c r="K71" s="565"/>
      <c r="L71" s="565"/>
      <c r="M71" s="565"/>
      <c r="N71" s="565"/>
      <c r="O71" s="565"/>
      <c r="P71" s="525"/>
      <c r="Q71" s="525"/>
      <c r="R71" s="525"/>
      <c r="S71" s="525"/>
      <c r="T71" s="525"/>
      <c r="U71" s="565"/>
      <c r="V71" s="525"/>
    </row>
    <row r="72" spans="2:22" s="14" customFormat="1" x14ac:dyDescent="0.25">
      <c r="B72" s="101" t="s">
        <v>185</v>
      </c>
      <c r="C72" s="28" t="s">
        <v>324</v>
      </c>
      <c r="D72" s="626">
        <f>VLOOKUP(B72,'DI Cost of reporting'!$C$4:$E$45,3,FALSE)</f>
        <v>20</v>
      </c>
      <c r="E72" s="565"/>
      <c r="F72" s="565"/>
      <c r="G72" s="565"/>
      <c r="H72" s="565"/>
      <c r="I72" s="565"/>
      <c r="J72" s="565"/>
      <c r="K72" s="565"/>
      <c r="L72" s="565"/>
      <c r="M72" s="565"/>
      <c r="N72" s="565"/>
      <c r="O72" s="565"/>
      <c r="P72" s="525"/>
      <c r="Q72" s="525"/>
      <c r="R72" s="525"/>
      <c r="S72" s="525"/>
      <c r="T72" s="525"/>
      <c r="U72" s="565"/>
      <c r="V72" s="525"/>
    </row>
    <row r="73" spans="2:22" s="14" customFormat="1" x14ac:dyDescent="0.25">
      <c r="B73" s="101" t="s">
        <v>186</v>
      </c>
      <c r="C73" s="28" t="s">
        <v>325</v>
      </c>
      <c r="D73" s="626">
        <f>VLOOKUP(B73,'DI Cost of reporting'!$C$4:$E$45,3,FALSE)</f>
        <v>20</v>
      </c>
      <c r="E73" s="565"/>
      <c r="F73" s="565"/>
      <c r="G73" s="565"/>
      <c r="H73" s="565"/>
      <c r="I73" s="565"/>
      <c r="J73" s="565"/>
      <c r="K73" s="565"/>
      <c r="L73" s="565"/>
      <c r="M73" s="565"/>
      <c r="N73" s="565"/>
      <c r="O73" s="565"/>
      <c r="P73" s="525"/>
      <c r="Q73" s="525"/>
      <c r="R73" s="525"/>
      <c r="S73" s="525"/>
      <c r="T73" s="525"/>
      <c r="U73" s="565"/>
      <c r="V73" s="525"/>
    </row>
    <row r="74" spans="2:22" s="14" customFormat="1" x14ac:dyDescent="0.25">
      <c r="B74" s="101" t="s">
        <v>187</v>
      </c>
      <c r="C74" s="28" t="s">
        <v>326</v>
      </c>
      <c r="D74" s="626">
        <f>VLOOKUP(B74,'DI Cost of reporting'!$C$4:$E$45,3,FALSE)</f>
        <v>20</v>
      </c>
      <c r="E74" s="565"/>
      <c r="F74" s="565"/>
      <c r="G74" s="565"/>
      <c r="H74" s="565"/>
      <c r="I74" s="565"/>
      <c r="J74" s="565"/>
      <c r="K74" s="565"/>
      <c r="L74" s="565"/>
      <c r="M74" s="565"/>
      <c r="N74" s="565"/>
      <c r="O74" s="565"/>
      <c r="P74" s="525"/>
      <c r="Q74" s="525"/>
      <c r="R74" s="525"/>
      <c r="S74" s="525"/>
      <c r="T74" s="525"/>
      <c r="U74" s="565"/>
      <c r="V74" s="525"/>
    </row>
    <row r="75" spans="2:22" s="14" customFormat="1" x14ac:dyDescent="0.25">
      <c r="B75" s="101" t="s">
        <v>188</v>
      </c>
      <c r="C75" s="28" t="s">
        <v>327</v>
      </c>
      <c r="D75" s="626">
        <f>VLOOKUP(B75,'DI Cost of reporting'!$C$4:$E$45,3,FALSE)</f>
        <v>20</v>
      </c>
      <c r="E75" s="565"/>
      <c r="F75" s="565"/>
      <c r="G75" s="565"/>
      <c r="H75" s="565"/>
      <c r="I75" s="565"/>
      <c r="J75" s="565"/>
      <c r="K75" s="565"/>
      <c r="L75" s="565"/>
      <c r="M75" s="565"/>
      <c r="N75" s="565"/>
      <c r="O75" s="565"/>
      <c r="P75" s="525"/>
      <c r="Q75" s="525"/>
      <c r="R75" s="525"/>
      <c r="S75" s="525"/>
      <c r="T75" s="525"/>
      <c r="U75" s="565"/>
      <c r="V75" s="525"/>
    </row>
    <row r="76" spans="2:22" s="14" customFormat="1" x14ac:dyDescent="0.25">
      <c r="B76" s="101" t="s">
        <v>189</v>
      </c>
      <c r="C76" s="28" t="s">
        <v>328</v>
      </c>
      <c r="D76" s="626">
        <f>VLOOKUP(B76,'DI Cost of reporting'!$C$4:$E$45,3,FALSE)</f>
        <v>20</v>
      </c>
      <c r="E76" s="565"/>
      <c r="F76" s="565"/>
      <c r="G76" s="565"/>
      <c r="H76" s="565"/>
      <c r="I76" s="565"/>
      <c r="J76" s="565"/>
      <c r="K76" s="565"/>
      <c r="L76" s="565"/>
      <c r="M76" s="565"/>
      <c r="N76" s="565"/>
      <c r="O76" s="565"/>
      <c r="P76" s="525"/>
      <c r="Q76" s="525"/>
      <c r="R76" s="525"/>
      <c r="S76" s="525"/>
      <c r="T76" s="525"/>
      <c r="U76" s="565"/>
      <c r="V76" s="525"/>
    </row>
    <row r="77" spans="2:22" s="14" customFormat="1" x14ac:dyDescent="0.25">
      <c r="B77" s="101" t="s">
        <v>190</v>
      </c>
      <c r="C77" s="28" t="s">
        <v>329</v>
      </c>
      <c r="D77" s="626">
        <f>VLOOKUP(B77,'DI Cost of reporting'!$C$4:$E$45,3,FALSE)</f>
        <v>20</v>
      </c>
      <c r="E77" s="565"/>
      <c r="F77" s="565"/>
      <c r="G77" s="565"/>
      <c r="H77" s="565"/>
      <c r="I77" s="565"/>
      <c r="J77" s="565"/>
      <c r="K77" s="565"/>
      <c r="L77" s="565"/>
      <c r="M77" s="565"/>
      <c r="N77" s="565"/>
      <c r="O77" s="565"/>
      <c r="P77" s="525"/>
      <c r="Q77" s="525"/>
      <c r="R77" s="525"/>
      <c r="S77" s="525"/>
      <c r="T77" s="525"/>
      <c r="U77" s="565"/>
      <c r="V77" s="525"/>
    </row>
    <row r="78" spans="2:22" s="14" customFormat="1" x14ac:dyDescent="0.25">
      <c r="B78" s="101" t="s">
        <v>107</v>
      </c>
      <c r="C78" s="28" t="s">
        <v>108</v>
      </c>
      <c r="D78" s="626">
        <f>VLOOKUP(B78,'DI Cost of reporting'!$C$4:$E$45,3,FALSE)</f>
        <v>20</v>
      </c>
      <c r="E78" s="565"/>
      <c r="F78" s="565"/>
      <c r="G78" s="565"/>
      <c r="H78" s="565"/>
      <c r="I78" s="565"/>
      <c r="J78" s="565"/>
      <c r="K78" s="565"/>
      <c r="L78" s="565"/>
      <c r="M78" s="565"/>
      <c r="N78" s="565"/>
      <c r="O78" s="565"/>
      <c r="P78" s="525"/>
      <c r="Q78" s="525"/>
      <c r="R78" s="525"/>
      <c r="S78" s="525"/>
      <c r="T78" s="525"/>
      <c r="U78" s="565"/>
      <c r="V78" s="525"/>
    </row>
    <row r="79" spans="2:22" s="14" customFormat="1" x14ac:dyDescent="0.25">
      <c r="B79" s="101" t="s">
        <v>109</v>
      </c>
      <c r="C79" s="28" t="s">
        <v>110</v>
      </c>
      <c r="D79" s="626">
        <f>VLOOKUP(B79,'DI Cost of reporting'!$C$4:$E$45,3,FALSE)</f>
        <v>20</v>
      </c>
      <c r="E79" s="565"/>
      <c r="F79" s="565"/>
      <c r="G79" s="565"/>
      <c r="H79" s="565"/>
      <c r="I79" s="565"/>
      <c r="J79" s="565"/>
      <c r="K79" s="565"/>
      <c r="L79" s="565"/>
      <c r="M79" s="565"/>
      <c r="N79" s="565"/>
      <c r="O79" s="565"/>
      <c r="P79" s="525"/>
      <c r="Q79" s="525"/>
      <c r="R79" s="525"/>
      <c r="S79" s="525"/>
      <c r="T79" s="525"/>
      <c r="U79" s="565"/>
      <c r="V79" s="525"/>
    </row>
    <row r="80" spans="2:22" s="14" customFormat="1" x14ac:dyDescent="0.25">
      <c r="B80" s="101" t="s">
        <v>111</v>
      </c>
      <c r="C80" s="28" t="s">
        <v>112</v>
      </c>
      <c r="D80" s="626">
        <f>VLOOKUP(B80,'DI Cost of reporting'!$C$4:$E$45,3,FALSE)</f>
        <v>27</v>
      </c>
      <c r="E80" s="565"/>
      <c r="F80" s="565"/>
      <c r="G80" s="565"/>
      <c r="H80" s="565"/>
      <c r="I80" s="565"/>
      <c r="J80" s="565"/>
      <c r="K80" s="565"/>
      <c r="L80" s="565"/>
      <c r="M80" s="565"/>
      <c r="N80" s="565"/>
      <c r="O80" s="565"/>
      <c r="P80" s="525"/>
      <c r="Q80" s="525"/>
      <c r="R80" s="525"/>
      <c r="S80" s="525"/>
      <c r="T80" s="525"/>
      <c r="U80" s="565"/>
      <c r="V80" s="525"/>
    </row>
    <row r="81" spans="2:22" s="14" customFormat="1" x14ac:dyDescent="0.25">
      <c r="B81" s="101" t="s">
        <v>115</v>
      </c>
      <c r="C81" s="28" t="s">
        <v>116</v>
      </c>
      <c r="D81" s="626">
        <f>VLOOKUP(B81,'DI Cost of reporting'!$C$4:$E$45,3,FALSE)</f>
        <v>27</v>
      </c>
      <c r="E81" s="565"/>
      <c r="F81" s="565"/>
      <c r="G81" s="565"/>
      <c r="H81" s="565"/>
      <c r="I81" s="565"/>
      <c r="J81" s="565"/>
      <c r="K81" s="565"/>
      <c r="L81" s="565"/>
      <c r="M81" s="565"/>
      <c r="N81" s="565"/>
      <c r="O81" s="565"/>
      <c r="P81" s="525"/>
      <c r="Q81" s="525"/>
      <c r="R81" s="525"/>
      <c r="S81" s="525"/>
      <c r="T81" s="525"/>
      <c r="U81" s="565"/>
      <c r="V81" s="525"/>
    </row>
    <row r="82" spans="2:22" s="14" customFormat="1" x14ac:dyDescent="0.25">
      <c r="B82" s="101" t="s">
        <v>117</v>
      </c>
      <c r="C82" s="28" t="s">
        <v>118</v>
      </c>
      <c r="D82" s="626">
        <f>VLOOKUP(B82,'DI Cost of reporting'!$C$4:$E$45,3,FALSE)</f>
        <v>27</v>
      </c>
      <c r="E82" s="565"/>
      <c r="F82" s="565"/>
      <c r="G82" s="565"/>
      <c r="H82" s="565"/>
      <c r="I82" s="565"/>
      <c r="J82" s="565"/>
      <c r="K82" s="565"/>
      <c r="L82" s="565"/>
      <c r="M82" s="565"/>
      <c r="N82" s="565"/>
      <c r="O82" s="565"/>
      <c r="P82" s="525"/>
      <c r="Q82" s="525"/>
      <c r="R82" s="525"/>
      <c r="S82" s="525"/>
      <c r="T82" s="525"/>
      <c r="U82" s="565"/>
      <c r="V82" s="525"/>
    </row>
    <row r="83" spans="2:22" s="14" customFormat="1" x14ac:dyDescent="0.25">
      <c r="B83" s="101" t="s">
        <v>119</v>
      </c>
      <c r="C83" s="28" t="s">
        <v>120</v>
      </c>
      <c r="D83" s="626">
        <f>VLOOKUP(B83,'DI Cost of reporting'!$C$4:$E$45,3,FALSE)</f>
        <v>11</v>
      </c>
      <c r="E83" s="565"/>
      <c r="F83" s="565"/>
      <c r="G83" s="565"/>
      <c r="H83" s="565"/>
      <c r="I83" s="565"/>
      <c r="J83" s="565"/>
      <c r="K83" s="565"/>
      <c r="L83" s="565"/>
      <c r="M83" s="565"/>
      <c r="N83" s="565"/>
      <c r="O83" s="565"/>
      <c r="P83" s="525"/>
      <c r="Q83" s="525"/>
      <c r="R83" s="525"/>
      <c r="S83" s="525"/>
      <c r="T83" s="525"/>
      <c r="U83" s="565"/>
      <c r="V83" s="525"/>
    </row>
    <row r="84" spans="2:22" s="14" customFormat="1" x14ac:dyDescent="0.25">
      <c r="B84" s="101" t="s">
        <v>121</v>
      </c>
      <c r="C84" s="28" t="s">
        <v>330</v>
      </c>
      <c r="D84" s="626">
        <f>VLOOKUP(B84,'DI Cost of reporting'!$C$4:$E$45,3,FALSE)</f>
        <v>0</v>
      </c>
      <c r="E84" s="565"/>
      <c r="F84" s="525"/>
      <c r="G84" s="565"/>
      <c r="H84" s="525"/>
      <c r="I84" s="565"/>
      <c r="J84" s="565"/>
      <c r="K84" s="565"/>
      <c r="L84" s="565"/>
      <c r="M84" s="565"/>
      <c r="N84" s="565"/>
      <c r="O84" s="565"/>
      <c r="P84" s="525"/>
      <c r="Q84" s="525"/>
      <c r="R84" s="525"/>
      <c r="S84" s="525"/>
      <c r="T84" s="525"/>
      <c r="U84" s="565"/>
      <c r="V84" s="525"/>
    </row>
    <row r="85" spans="2:22" s="14" customFormat="1" x14ac:dyDescent="0.25">
      <c r="B85" s="101" t="s">
        <v>123</v>
      </c>
      <c r="C85" s="28" t="s">
        <v>331</v>
      </c>
      <c r="D85" s="626">
        <f>VLOOKUP(B85,'DI Cost of reporting'!$C$4:$E$45,3,FALSE)</f>
        <v>0</v>
      </c>
      <c r="E85" s="565"/>
      <c r="F85" s="565"/>
      <c r="G85" s="565"/>
      <c r="H85" s="565"/>
      <c r="I85" s="565"/>
      <c r="J85" s="565"/>
      <c r="K85" s="565"/>
      <c r="L85" s="565"/>
      <c r="M85" s="565"/>
      <c r="N85" s="565"/>
      <c r="O85" s="565"/>
      <c r="P85" s="525"/>
      <c r="Q85" s="525"/>
      <c r="R85" s="525"/>
      <c r="S85" s="525"/>
      <c r="T85" s="525"/>
      <c r="U85" s="565"/>
      <c r="V85" s="525"/>
    </row>
    <row r="86" spans="2:22" s="14" customFormat="1" x14ac:dyDescent="0.25">
      <c r="B86" s="101" t="s">
        <v>125</v>
      </c>
      <c r="C86" s="28" t="s">
        <v>332</v>
      </c>
      <c r="D86" s="626">
        <f>VLOOKUP(B86,'DI Cost of reporting'!$C$4:$E$45,3,FALSE)</f>
        <v>0</v>
      </c>
      <c r="E86" s="565"/>
      <c r="F86" s="565"/>
      <c r="G86" s="565"/>
      <c r="H86" s="565"/>
      <c r="I86" s="565"/>
      <c r="J86" s="565"/>
      <c r="K86" s="565"/>
      <c r="L86" s="565"/>
      <c r="M86" s="565"/>
      <c r="N86" s="565"/>
      <c r="O86" s="565"/>
      <c r="P86" s="525"/>
      <c r="Q86" s="525"/>
      <c r="R86" s="525"/>
      <c r="S86" s="525"/>
      <c r="T86" s="525"/>
      <c r="U86" s="565"/>
      <c r="V86" s="525"/>
    </row>
    <row r="87" spans="2:22" s="14" customFormat="1" x14ac:dyDescent="0.25">
      <c r="B87" s="101" t="s">
        <v>127</v>
      </c>
      <c r="C87" s="28" t="s">
        <v>333</v>
      </c>
      <c r="D87" s="626">
        <f>VLOOKUP(B87,'DI Cost of reporting'!$C$4:$E$45,3,FALSE)</f>
        <v>0</v>
      </c>
      <c r="E87" s="565"/>
      <c r="F87" s="565"/>
      <c r="G87" s="565"/>
      <c r="H87" s="565"/>
      <c r="I87" s="565"/>
      <c r="J87" s="565"/>
      <c r="K87" s="565"/>
      <c r="L87" s="565"/>
      <c r="M87" s="565"/>
      <c r="N87" s="565"/>
      <c r="O87" s="565"/>
      <c r="P87" s="525"/>
      <c r="Q87" s="525"/>
      <c r="R87" s="525"/>
      <c r="S87" s="525"/>
      <c r="T87" s="525"/>
      <c r="U87" s="565"/>
      <c r="V87" s="525"/>
    </row>
    <row r="88" spans="2:22" s="14" customFormat="1" x14ac:dyDescent="0.25">
      <c r="B88" s="101" t="s">
        <v>129</v>
      </c>
      <c r="C88" s="28" t="s">
        <v>334</v>
      </c>
      <c r="D88" s="626">
        <f>VLOOKUP(B88,'DI Cost of reporting'!$C$4:$E$45,3,FALSE)</f>
        <v>0</v>
      </c>
      <c r="E88" s="565"/>
      <c r="F88" s="565"/>
      <c r="G88" s="565"/>
      <c r="H88" s="565"/>
      <c r="I88" s="565"/>
      <c r="J88" s="565"/>
      <c r="K88" s="565"/>
      <c r="L88" s="565"/>
      <c r="M88" s="565"/>
      <c r="N88" s="565"/>
      <c r="O88" s="565"/>
      <c r="P88" s="525"/>
      <c r="Q88" s="525"/>
      <c r="R88" s="525"/>
      <c r="S88" s="525"/>
      <c r="T88" s="525"/>
      <c r="U88" s="565"/>
      <c r="V88" s="525"/>
    </row>
    <row r="89" spans="2:22" s="14" customFormat="1" x14ac:dyDescent="0.25">
      <c r="B89" s="101" t="s">
        <v>131</v>
      </c>
      <c r="C89" s="28" t="s">
        <v>335</v>
      </c>
      <c r="D89" s="626">
        <f>VLOOKUP(B89,'DI Cost of reporting'!$C$4:$E$45,3,FALSE)</f>
        <v>19</v>
      </c>
      <c r="E89" s="565"/>
      <c r="F89" s="565"/>
      <c r="G89" s="565"/>
      <c r="H89" s="565"/>
      <c r="I89" s="565"/>
      <c r="J89" s="565"/>
      <c r="K89" s="565"/>
      <c r="L89" s="565"/>
      <c r="M89" s="565"/>
      <c r="N89" s="565"/>
      <c r="O89" s="565"/>
      <c r="P89" s="525"/>
      <c r="Q89" s="525"/>
      <c r="R89" s="525"/>
      <c r="S89" s="525"/>
      <c r="T89" s="525"/>
      <c r="U89" s="565"/>
      <c r="V89" s="525"/>
    </row>
    <row r="90" spans="2:22" s="14" customFormat="1" x14ac:dyDescent="0.25">
      <c r="B90" s="101" t="s">
        <v>133</v>
      </c>
      <c r="C90" s="28" t="s">
        <v>336</v>
      </c>
      <c r="D90" s="626">
        <f>VLOOKUP(B90,'DI Cost of reporting'!$C$4:$E$45,3,FALSE)</f>
        <v>19</v>
      </c>
      <c r="E90" s="565"/>
      <c r="F90" s="565"/>
      <c r="G90" s="565"/>
      <c r="H90" s="565"/>
      <c r="I90" s="565"/>
      <c r="J90" s="565"/>
      <c r="K90" s="565"/>
      <c r="L90" s="565"/>
      <c r="M90" s="565"/>
      <c r="N90" s="565"/>
      <c r="O90" s="565"/>
      <c r="P90" s="525"/>
      <c r="Q90" s="525"/>
      <c r="R90" s="525"/>
      <c r="S90" s="525"/>
      <c r="T90" s="525"/>
      <c r="U90" s="565"/>
      <c r="V90" s="525"/>
    </row>
    <row r="91" spans="2:22" s="14" customFormat="1" x14ac:dyDescent="0.25">
      <c r="B91" s="101" t="s">
        <v>135</v>
      </c>
      <c r="C91" s="28" t="s">
        <v>337</v>
      </c>
      <c r="D91" s="626">
        <f>VLOOKUP(B91,'DI Cost of reporting'!$C$4:$E$45,3,FALSE)</f>
        <v>25</v>
      </c>
      <c r="E91" s="565"/>
      <c r="F91" s="565"/>
      <c r="G91" s="565"/>
      <c r="H91" s="565"/>
      <c r="I91" s="565"/>
      <c r="J91" s="565"/>
      <c r="K91" s="565"/>
      <c r="L91" s="565"/>
      <c r="M91" s="565"/>
      <c r="N91" s="565"/>
      <c r="O91" s="565"/>
      <c r="P91" s="525"/>
      <c r="Q91" s="525"/>
      <c r="R91" s="525"/>
      <c r="S91" s="525"/>
      <c r="T91" s="525"/>
      <c r="U91" s="565"/>
      <c r="V91" s="525"/>
    </row>
    <row r="92" spans="2:22" s="14" customFormat="1" x14ac:dyDescent="0.25">
      <c r="B92" s="101" t="s">
        <v>137</v>
      </c>
      <c r="C92" s="28" t="s">
        <v>338</v>
      </c>
      <c r="D92" s="626">
        <f>VLOOKUP(B92,'DI Cost of reporting'!$C$4:$E$45,3,FALSE)</f>
        <v>25</v>
      </c>
      <c r="E92" s="565"/>
      <c r="F92" s="565"/>
      <c r="G92" s="565"/>
      <c r="H92" s="565"/>
      <c r="I92" s="565"/>
      <c r="J92" s="565"/>
      <c r="K92" s="565"/>
      <c r="L92" s="565"/>
      <c r="M92" s="565"/>
      <c r="N92" s="565"/>
      <c r="O92" s="565"/>
      <c r="P92" s="525"/>
      <c r="Q92" s="525"/>
      <c r="R92" s="525"/>
      <c r="S92" s="525"/>
      <c r="T92" s="525"/>
      <c r="U92" s="565"/>
      <c r="V92" s="525"/>
    </row>
    <row r="93" spans="2:22" s="14" customFormat="1" x14ac:dyDescent="0.25">
      <c r="B93" s="101" t="s">
        <v>139</v>
      </c>
      <c r="C93" s="28" t="s">
        <v>339</v>
      </c>
      <c r="D93" s="626">
        <f>VLOOKUP(B93,'DI Cost of reporting'!$C$4:$E$45,3,FALSE)</f>
        <v>52</v>
      </c>
      <c r="E93" s="565"/>
      <c r="F93" s="565"/>
      <c r="G93" s="565"/>
      <c r="H93" s="565"/>
      <c r="I93" s="565"/>
      <c r="J93" s="565"/>
      <c r="K93" s="565"/>
      <c r="L93" s="565"/>
      <c r="M93" s="565"/>
      <c r="N93" s="565"/>
      <c r="O93" s="565"/>
      <c r="P93" s="525"/>
      <c r="Q93" s="525"/>
      <c r="R93" s="525"/>
      <c r="S93" s="525"/>
      <c r="T93" s="525"/>
      <c r="U93" s="565"/>
      <c r="V93" s="525"/>
    </row>
    <row r="94" spans="2:22" s="14" customFormat="1" x14ac:dyDescent="0.25">
      <c r="B94" s="101" t="s">
        <v>141</v>
      </c>
      <c r="C94" s="28" t="s">
        <v>340</v>
      </c>
      <c r="D94" s="626">
        <f>VLOOKUP(B94,'DI Cost of reporting'!$C$4:$E$45,3,FALSE)</f>
        <v>52</v>
      </c>
      <c r="E94" s="565"/>
      <c r="F94" s="565"/>
      <c r="G94" s="565"/>
      <c r="H94" s="565"/>
      <c r="I94" s="565"/>
      <c r="J94" s="565"/>
      <c r="K94" s="565"/>
      <c r="L94" s="565"/>
      <c r="M94" s="565"/>
      <c r="N94" s="565"/>
      <c r="O94" s="565"/>
      <c r="P94" s="525"/>
      <c r="Q94" s="525"/>
      <c r="R94" s="525"/>
      <c r="S94" s="525"/>
      <c r="T94" s="525"/>
      <c r="U94" s="565"/>
      <c r="V94" s="525"/>
    </row>
    <row r="95" spans="2:22" s="14" customFormat="1" x14ac:dyDescent="0.25">
      <c r="B95" s="101" t="s">
        <v>113</v>
      </c>
      <c r="C95" s="28" t="s">
        <v>114</v>
      </c>
      <c r="D95" s="626">
        <f>VLOOKUP(B95,'DI Cost of reporting'!$C$4:$E$45,3,FALSE)</f>
        <v>27</v>
      </c>
      <c r="E95" s="565"/>
      <c r="F95" s="565"/>
      <c r="G95" s="565"/>
      <c r="H95" s="565"/>
      <c r="I95" s="565"/>
      <c r="J95" s="565"/>
      <c r="K95" s="565"/>
      <c r="L95" s="565"/>
      <c r="M95" s="565"/>
      <c r="N95" s="565"/>
      <c r="O95" s="565"/>
      <c r="P95" s="525"/>
      <c r="Q95" s="525"/>
      <c r="R95" s="525"/>
      <c r="S95" s="525"/>
      <c r="T95" s="525"/>
      <c r="U95" s="565"/>
      <c r="V95" s="525"/>
    </row>
    <row r="96" spans="2:22" s="14" customFormat="1" x14ac:dyDescent="0.25">
      <c r="B96" s="101" t="s">
        <v>191</v>
      </c>
      <c r="C96" s="28" t="s">
        <v>341</v>
      </c>
      <c r="D96" s="626">
        <f>VLOOKUP(B96,'DI Cost of reporting'!$C$4:$E$45,3,FALSE)</f>
        <v>0</v>
      </c>
      <c r="E96" s="565"/>
      <c r="F96" s="565"/>
      <c r="G96" s="565"/>
      <c r="H96" s="565"/>
      <c r="I96" s="565"/>
      <c r="J96" s="565"/>
      <c r="K96" s="565"/>
      <c r="L96" s="565"/>
      <c r="M96" s="565"/>
      <c r="N96" s="565"/>
      <c r="O96" s="565"/>
      <c r="P96" s="525"/>
      <c r="Q96" s="525"/>
      <c r="R96" s="525"/>
      <c r="S96" s="525"/>
      <c r="T96" s="525"/>
      <c r="U96" s="565"/>
      <c r="V96" s="525"/>
    </row>
    <row r="97" spans="2:22" s="14" customFormat="1" x14ac:dyDescent="0.25">
      <c r="B97" s="101" t="s">
        <v>192</v>
      </c>
      <c r="C97" s="28" t="s">
        <v>342</v>
      </c>
      <c r="D97" s="626">
        <f>VLOOKUP(B97,'DI Cost of reporting'!$C$4:$E$45,3,FALSE)</f>
        <v>0</v>
      </c>
      <c r="E97" s="565"/>
      <c r="F97" s="565"/>
      <c r="G97" s="565"/>
      <c r="H97" s="565"/>
      <c r="I97" s="565"/>
      <c r="J97" s="565"/>
      <c r="K97" s="565"/>
      <c r="L97" s="565"/>
      <c r="M97" s="565"/>
      <c r="N97" s="565"/>
      <c r="O97" s="565"/>
      <c r="P97" s="525"/>
      <c r="Q97" s="525"/>
      <c r="R97" s="525"/>
      <c r="S97" s="525"/>
      <c r="T97" s="525"/>
      <c r="U97" s="565"/>
      <c r="V97" s="525"/>
    </row>
    <row r="98" spans="2:22" s="14" customFormat="1" x14ac:dyDescent="0.25">
      <c r="B98" s="101" t="s">
        <v>193</v>
      </c>
      <c r="C98" s="28" t="s">
        <v>343</v>
      </c>
      <c r="D98" s="626">
        <f>VLOOKUP(B98,'DI Cost of reporting'!$C$4:$E$45,3,FALSE)</f>
        <v>0</v>
      </c>
      <c r="E98" s="565"/>
      <c r="F98" s="565"/>
      <c r="G98" s="565"/>
      <c r="H98" s="565"/>
      <c r="I98" s="565"/>
      <c r="J98" s="565"/>
      <c r="K98" s="565"/>
      <c r="L98" s="565"/>
      <c r="M98" s="565"/>
      <c r="N98" s="565"/>
      <c r="O98" s="565"/>
      <c r="P98" s="525"/>
      <c r="Q98" s="525"/>
      <c r="R98" s="525"/>
      <c r="S98" s="525"/>
      <c r="T98" s="525"/>
      <c r="U98" s="565"/>
      <c r="V98" s="525"/>
    </row>
    <row r="99" spans="2:22" s="14" customFormat="1" x14ac:dyDescent="0.25">
      <c r="B99" s="101" t="s">
        <v>194</v>
      </c>
      <c r="C99" s="28" t="s">
        <v>344</v>
      </c>
      <c r="D99" s="626">
        <f>VLOOKUP(B99,'DI Cost of reporting'!$C$4:$E$45,3,FALSE)</f>
        <v>22</v>
      </c>
      <c r="E99" s="565"/>
      <c r="F99" s="565"/>
      <c r="G99" s="565"/>
      <c r="H99" s="565"/>
      <c r="I99" s="565"/>
      <c r="J99" s="565"/>
      <c r="K99" s="565"/>
      <c r="L99" s="565"/>
      <c r="M99" s="565"/>
      <c r="N99" s="565"/>
      <c r="O99" s="565"/>
      <c r="P99" s="525"/>
      <c r="Q99" s="525"/>
      <c r="R99" s="525"/>
      <c r="S99" s="525"/>
      <c r="T99" s="525"/>
      <c r="U99" s="565"/>
      <c r="V99" s="525"/>
    </row>
    <row r="100" spans="2:22" s="14" customFormat="1" x14ac:dyDescent="0.25">
      <c r="B100" s="101" t="s">
        <v>195</v>
      </c>
      <c r="C100" s="28" t="s">
        <v>345</v>
      </c>
      <c r="D100" s="626">
        <f>VLOOKUP(B100,'DI Cost of reporting'!$C$4:$E$45,3,FALSE)</f>
        <v>22</v>
      </c>
      <c r="E100" s="565"/>
      <c r="F100" s="565"/>
      <c r="G100" s="565"/>
      <c r="H100" s="565"/>
      <c r="I100" s="565"/>
      <c r="J100" s="565"/>
      <c r="K100" s="565"/>
      <c r="L100" s="565"/>
      <c r="M100" s="565"/>
      <c r="N100" s="565"/>
      <c r="O100" s="565"/>
      <c r="P100" s="525"/>
      <c r="Q100" s="525"/>
      <c r="R100" s="525"/>
      <c r="S100" s="525"/>
      <c r="T100" s="525"/>
      <c r="U100" s="565"/>
      <c r="V100" s="525"/>
    </row>
    <row r="101" spans="2:22" s="14" customFormat="1" x14ac:dyDescent="0.25">
      <c r="B101" s="101" t="s">
        <v>196</v>
      </c>
      <c r="C101" s="28" t="s">
        <v>346</v>
      </c>
      <c r="D101" s="626">
        <f>VLOOKUP(B101,'DI Cost of reporting'!$C$4:$E$45,3,FALSE)</f>
        <v>22</v>
      </c>
      <c r="E101" s="565"/>
      <c r="F101" s="565"/>
      <c r="G101" s="565"/>
      <c r="H101" s="565"/>
      <c r="I101" s="565"/>
      <c r="J101" s="565"/>
      <c r="K101" s="565"/>
      <c r="L101" s="565"/>
      <c r="M101" s="565"/>
      <c r="N101" s="565"/>
      <c r="O101" s="565"/>
      <c r="P101" s="525"/>
      <c r="Q101" s="525"/>
      <c r="R101" s="525"/>
      <c r="S101" s="525"/>
      <c r="T101" s="525"/>
      <c r="U101" s="565"/>
      <c r="V101" s="525"/>
    </row>
    <row r="102" spans="2:22" s="14" customFormat="1" ht="15.75" thickBot="1" x14ac:dyDescent="0.3">
      <c r="B102" s="387" t="s">
        <v>442</v>
      </c>
      <c r="C102" s="388" t="s">
        <v>443</v>
      </c>
      <c r="D102" s="627">
        <f>VLOOKUP(B102,'DI Cost of reporting'!$C$4:$E$45,3,FALSE)</f>
        <v>20</v>
      </c>
      <c r="E102" s="565"/>
      <c r="F102" s="565"/>
      <c r="G102" s="565"/>
      <c r="H102" s="565"/>
      <c r="I102" s="565"/>
      <c r="J102" s="565"/>
      <c r="K102" s="565"/>
      <c r="L102" s="565"/>
      <c r="M102" s="565"/>
      <c r="N102" s="565"/>
      <c r="O102" s="565"/>
      <c r="P102" s="525"/>
      <c r="Q102" s="525"/>
      <c r="R102" s="525"/>
      <c r="S102" s="525"/>
      <c r="T102" s="525"/>
      <c r="U102" s="565"/>
      <c r="V102" s="525"/>
    </row>
    <row r="103" spans="2:22" x14ac:dyDescent="0.25">
      <c r="O103" s="14"/>
      <c r="Q103" s="14"/>
      <c r="R103" s="14"/>
      <c r="S103" s="14"/>
      <c r="T103" s="14"/>
      <c r="U103" s="14"/>
    </row>
  </sheetData>
  <sortState ref="B18:AD66">
    <sortCondition ref="B18:B58"/>
  </sortState>
  <mergeCells count="2">
    <mergeCell ref="I13:K13"/>
    <mergeCell ref="D13:E13"/>
  </mergeCells>
  <hyperlinks>
    <hyperlink ref="B1" location="Navigation!A1" display="Home"/>
  </hyperlink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sheetPr>
  <dimension ref="A1:AI76"/>
  <sheetViews>
    <sheetView zoomScaleNormal="100" workbookViewId="0"/>
  </sheetViews>
  <sheetFormatPr defaultColWidth="9.140625" defaultRowHeight="12.75" x14ac:dyDescent="0.2"/>
  <cols>
    <col min="1" max="1" width="13.42578125" style="124" bestFit="1" customWidth="1"/>
    <col min="2" max="2" width="9.140625" style="124"/>
    <col min="3" max="4" width="9.140625" style="124" customWidth="1"/>
    <col min="5" max="5" width="15.42578125" style="124" customWidth="1"/>
    <col min="6" max="6" width="9.140625" style="124"/>
    <col min="7" max="7" width="9.85546875" style="124" bestFit="1" customWidth="1"/>
    <col min="8" max="8" width="14" style="124" bestFit="1" customWidth="1"/>
    <col min="9" max="9" width="9.140625" style="124"/>
    <col min="10" max="11" width="7.5703125" style="124" bestFit="1" customWidth="1"/>
    <col min="12" max="12" width="11.42578125" style="124" customWidth="1"/>
    <col min="13" max="13" width="11.85546875" style="124" bestFit="1" customWidth="1"/>
    <col min="14" max="18" width="12.7109375" style="124" customWidth="1"/>
    <col min="19" max="19" width="9.140625" style="124"/>
    <col min="20" max="20" width="11.85546875" style="124" bestFit="1" customWidth="1"/>
    <col min="21" max="21" width="10.28515625" style="124" customWidth="1"/>
    <col min="22" max="22" width="16.5703125" style="124" bestFit="1" customWidth="1"/>
    <col min="23" max="23" width="10.7109375" style="124" customWidth="1"/>
    <col min="24" max="24" width="4.7109375" style="124" customWidth="1"/>
    <col min="25" max="26" width="10.28515625" style="124" customWidth="1"/>
    <col min="27" max="27" width="16.5703125" style="124" bestFit="1" customWidth="1"/>
    <col min="28" max="28" width="12.7109375" style="124" customWidth="1"/>
    <col min="29" max="29" width="4.7109375" style="124" customWidth="1"/>
    <col min="30" max="32" width="9.140625" style="124"/>
    <col min="33" max="33" width="4.7109375" style="124" customWidth="1"/>
    <col min="34" max="34" width="11.85546875" style="124" customWidth="1"/>
    <col min="35" max="35" width="21.5703125" style="124" customWidth="1"/>
    <col min="36" max="16384" width="9.140625" style="124"/>
  </cols>
  <sheetData>
    <row r="1" spans="1:35" s="107" customFormat="1" ht="12" customHeight="1" thickBot="1" x14ac:dyDescent="0.3">
      <c r="A1" s="173" t="s">
        <v>377</v>
      </c>
      <c r="C1" s="124"/>
      <c r="D1" s="332"/>
      <c r="E1" s="332"/>
      <c r="F1" s="434"/>
      <c r="J1" s="332">
        <v>1</v>
      </c>
      <c r="K1" s="332">
        <f>J1+1</f>
        <v>2</v>
      </c>
      <c r="L1" s="332">
        <f t="shared" ref="L1:R1" si="0">K1+1</f>
        <v>3</v>
      </c>
      <c r="M1" s="332">
        <f>L1+1</f>
        <v>4</v>
      </c>
      <c r="N1" s="332">
        <f t="shared" si="0"/>
        <v>5</v>
      </c>
      <c r="O1" s="332">
        <f t="shared" si="0"/>
        <v>6</v>
      </c>
      <c r="P1" s="332">
        <f t="shared" si="0"/>
        <v>7</v>
      </c>
      <c r="Q1" s="332">
        <f t="shared" si="0"/>
        <v>8</v>
      </c>
      <c r="R1" s="332">
        <f t="shared" si="0"/>
        <v>9</v>
      </c>
      <c r="S1" s="332">
        <f t="shared" ref="S1" si="1">R1+1</f>
        <v>10</v>
      </c>
      <c r="T1" s="332">
        <f t="shared" ref="T1" si="2">S1+1</f>
        <v>11</v>
      </c>
      <c r="U1" s="332">
        <f t="shared" ref="U1" si="3">T1+1</f>
        <v>12</v>
      </c>
      <c r="V1" s="332">
        <f t="shared" ref="V1" si="4">U1+1</f>
        <v>13</v>
      </c>
      <c r="W1" s="332">
        <f t="shared" ref="W1" si="5">V1+1</f>
        <v>14</v>
      </c>
      <c r="X1" s="332">
        <f t="shared" ref="X1" si="6">W1+1</f>
        <v>15</v>
      </c>
      <c r="Y1" s="332">
        <f t="shared" ref="Y1" si="7">X1+1</f>
        <v>16</v>
      </c>
      <c r="Z1" s="332">
        <f t="shared" ref="Z1" si="8">Y1+1</f>
        <v>17</v>
      </c>
      <c r="AA1" s="332">
        <f t="shared" ref="AA1" si="9">Z1+1</f>
        <v>18</v>
      </c>
      <c r="AB1" s="332">
        <f t="shared" ref="AB1" si="10">AA1+1</f>
        <v>19</v>
      </c>
      <c r="AC1" s="332">
        <f t="shared" ref="AC1" si="11">AB1+1</f>
        <v>20</v>
      </c>
      <c r="AD1" s="332">
        <f t="shared" ref="AD1" si="12">AC1+1</f>
        <v>21</v>
      </c>
      <c r="AE1" s="332">
        <f t="shared" ref="AE1" si="13">AD1+1</f>
        <v>22</v>
      </c>
      <c r="AF1" s="332">
        <f t="shared" ref="AF1" si="14">AE1+1</f>
        <v>23</v>
      </c>
      <c r="AG1" s="332">
        <f t="shared" ref="AG1" si="15">AF1+1</f>
        <v>24</v>
      </c>
      <c r="AH1" s="332">
        <f t="shared" ref="AH1" si="16">AG1+1</f>
        <v>25</v>
      </c>
    </row>
    <row r="2" spans="1:35" s="107" customFormat="1" ht="30.75" customHeight="1" x14ac:dyDescent="0.25">
      <c r="A2" s="921" t="s">
        <v>718</v>
      </c>
      <c r="B2" s="922"/>
      <c r="C2" s="628"/>
      <c r="D2" s="921" t="s">
        <v>519</v>
      </c>
      <c r="E2" s="922"/>
      <c r="F2" s="629"/>
      <c r="G2" s="919" t="s">
        <v>722</v>
      </c>
      <c r="H2" s="920"/>
      <c r="I2" s="630"/>
      <c r="J2" s="923" t="s">
        <v>519</v>
      </c>
      <c r="K2" s="924"/>
      <c r="L2" s="924"/>
      <c r="M2" s="925"/>
      <c r="N2" s="631"/>
      <c r="O2" s="923" t="s">
        <v>518</v>
      </c>
      <c r="P2" s="924"/>
      <c r="Q2" s="925"/>
      <c r="R2" s="631"/>
      <c r="S2" s="631"/>
      <c r="T2" s="631"/>
      <c r="U2" s="919" t="s">
        <v>722</v>
      </c>
      <c r="V2" s="920"/>
      <c r="W2" s="631"/>
      <c r="X2" s="630"/>
      <c r="Y2" s="918" t="s">
        <v>720</v>
      </c>
      <c r="Z2" s="918"/>
      <c r="AA2" s="918"/>
      <c r="AB2" s="918"/>
      <c r="AC2" s="630"/>
      <c r="AD2" s="632"/>
      <c r="AE2" s="633" t="s">
        <v>521</v>
      </c>
      <c r="AF2" s="634"/>
      <c r="AG2" s="630"/>
      <c r="AH2" s="630"/>
      <c r="AI2" s="630"/>
    </row>
    <row r="3" spans="1:35" ht="45" x14ac:dyDescent="0.2">
      <c r="A3" s="635" t="str">
        <f>Input_DI_activity_mapping!B9</f>
        <v>Combined_HRG</v>
      </c>
      <c r="B3" s="636" t="s">
        <v>59</v>
      </c>
      <c r="C3" s="628"/>
      <c r="D3" s="635" t="s">
        <v>511</v>
      </c>
      <c r="E3" s="636" t="s">
        <v>516</v>
      </c>
      <c r="F3" s="629"/>
      <c r="G3" s="637" t="s">
        <v>719</v>
      </c>
      <c r="H3" s="637" t="s">
        <v>378</v>
      </c>
      <c r="I3" s="628"/>
      <c r="J3" s="635" t="s">
        <v>511</v>
      </c>
      <c r="K3" s="637" t="s">
        <v>512</v>
      </c>
      <c r="L3" s="637" t="s">
        <v>450</v>
      </c>
      <c r="M3" s="636" t="s">
        <v>59</v>
      </c>
      <c r="N3" s="638" t="s">
        <v>517</v>
      </c>
      <c r="O3" s="639" t="s">
        <v>442</v>
      </c>
      <c r="P3" s="640" t="s">
        <v>717</v>
      </c>
      <c r="Q3" s="641" t="s">
        <v>930</v>
      </c>
      <c r="R3" s="642" t="s">
        <v>931</v>
      </c>
      <c r="S3" s="628"/>
      <c r="T3" s="643" t="s">
        <v>450</v>
      </c>
      <c r="U3" s="644" t="s">
        <v>520</v>
      </c>
      <c r="V3" s="644" t="s">
        <v>932</v>
      </c>
      <c r="W3" s="640" t="s">
        <v>933</v>
      </c>
      <c r="X3" s="628"/>
      <c r="Y3" s="644" t="s">
        <v>721</v>
      </c>
      <c r="Z3" s="640" t="s">
        <v>784</v>
      </c>
      <c r="AA3" s="644" t="s">
        <v>934</v>
      </c>
      <c r="AB3" s="640" t="s">
        <v>935</v>
      </c>
      <c r="AC3" s="628"/>
      <c r="AD3" s="644" t="s">
        <v>960</v>
      </c>
      <c r="AE3" s="644" t="s">
        <v>961</v>
      </c>
      <c r="AF3" s="644" t="s">
        <v>962</v>
      </c>
      <c r="AG3" s="628"/>
      <c r="AH3" s="644" t="s">
        <v>776</v>
      </c>
      <c r="AI3" s="441">
        <f>1%</f>
        <v>0.01</v>
      </c>
    </row>
    <row r="4" spans="1:35" x14ac:dyDescent="0.2">
      <c r="A4" s="645" t="str">
        <f>Input_DI_activity_mapping!B10</f>
        <v>N/A,RA08A</v>
      </c>
      <c r="B4" s="646">
        <f>Input_DI_activity_mapping!C10</f>
        <v>6</v>
      </c>
      <c r="C4" s="628"/>
      <c r="D4" s="645" t="s">
        <v>513</v>
      </c>
      <c r="E4" s="646">
        <f t="shared" ref="E4:E35" si="17">SUMIF($J$4:$J$71,$D4,$M$4:$M$71)</f>
        <v>964</v>
      </c>
      <c r="F4" s="629"/>
      <c r="G4" s="647" t="s">
        <v>251</v>
      </c>
      <c r="H4" s="648">
        <f>VLOOKUP($H$3,Input_DI!$D$10:$F$58,2,FALSE)</f>
        <v>16601</v>
      </c>
      <c r="I4" s="628"/>
      <c r="J4" s="645" t="str">
        <f>LEFT($A4,FIND(",",$A4,1)-1)</f>
        <v>N/A</v>
      </c>
      <c r="K4" s="649" t="str">
        <f>RIGHT($A4,LEN($A4)-FIND(",",$A4,1))</f>
        <v>RA08A</v>
      </c>
      <c r="L4" s="649" t="str">
        <f>K4</f>
        <v>RA08A</v>
      </c>
      <c r="M4" s="646">
        <f>$B4</f>
        <v>6</v>
      </c>
      <c r="N4" s="650">
        <f t="shared" ref="N4:N35" si="18">M4/VLOOKUP($J4,$D$4:$E$53,2,FALSE)</f>
        <v>6.2240663900414933E-3</v>
      </c>
      <c r="O4" s="651" t="b">
        <f t="shared" ref="O4:O35" si="19">L4=$O$3</f>
        <v>0</v>
      </c>
      <c r="P4" s="652">
        <f>IF(AND($J4&lt;&gt;"N/A",O4),$N4*VLOOKUP($J4,Input_DI!$D$10:$G$58,P$1-5,FALSE),0)</f>
        <v>0</v>
      </c>
      <c r="Q4" s="653">
        <f>P4*$H$6</f>
        <v>0</v>
      </c>
      <c r="R4" s="654">
        <f>IF($P4=0,0,$Q4/$P4)</f>
        <v>0</v>
      </c>
      <c r="S4" s="628"/>
      <c r="T4" s="649" t="s">
        <v>179</v>
      </c>
      <c r="U4" s="655">
        <f>VLOOKUP($T4,Input_DI!$D$10:$F$58,U$1-10,FALSE)</f>
        <v>1251944</v>
      </c>
      <c r="V4" s="655">
        <f>VLOOKUP($T4,Input_DI!$D$10:$F$58,V$1-10,FALSE)</f>
        <v>164709437.57731101</v>
      </c>
      <c r="W4" s="655">
        <f>IF(U4=0,0,V4/U4)</f>
        <v>131.56294337231617</v>
      </c>
      <c r="X4" s="628"/>
      <c r="Y4" s="655">
        <f t="shared" ref="Y4:Y35" si="20">U4-SUMIF($J$4:$J$71,$T4,P$4:P$71)</f>
        <v>1251944</v>
      </c>
      <c r="Z4" s="652">
        <f>+U4-Y4</f>
        <v>0</v>
      </c>
      <c r="AA4" s="656">
        <f t="shared" ref="AA4:AA35" si="21">V4-SUMIF($J$4:$J$71,$T4,Q$4:Q$71)</f>
        <v>164709437.57731101</v>
      </c>
      <c r="AB4" s="656">
        <f>IF(Y4=0,0,AA4/Y4)</f>
        <v>131.56294337231617</v>
      </c>
      <c r="AC4" s="628"/>
      <c r="AD4" s="657">
        <f>(Y4/U4)-1</f>
        <v>0</v>
      </c>
      <c r="AE4" s="657">
        <f>(AA4/V4)-1</f>
        <v>0</v>
      </c>
      <c r="AF4" s="657">
        <f>(AB4/W4)-1</f>
        <v>0</v>
      </c>
      <c r="AG4" s="628"/>
      <c r="AH4" s="658" t="str">
        <f>IF(ABS(AF4)&gt;$AI$3,"Yes","No")</f>
        <v>No</v>
      </c>
      <c r="AI4" s="628"/>
    </row>
    <row r="5" spans="1:35" x14ac:dyDescent="0.2">
      <c r="A5" s="645" t="str">
        <f>Input_DI_activity_mapping!B11</f>
        <v>N/A,RA11Z</v>
      </c>
      <c r="B5" s="646">
        <f>Input_DI_activity_mapping!C11</f>
        <v>7</v>
      </c>
      <c r="C5" s="628"/>
      <c r="D5" s="645" t="s">
        <v>179</v>
      </c>
      <c r="E5" s="646">
        <f t="shared" si="17"/>
        <v>404864</v>
      </c>
      <c r="F5" s="629"/>
      <c r="G5" s="647" t="s">
        <v>920</v>
      </c>
      <c r="H5" s="648">
        <f>VLOOKUP($H$3,Input_DI!$D$10:$F$58,3,FALSE)</f>
        <v>3762018.9206756898</v>
      </c>
      <c r="I5" s="628"/>
      <c r="J5" s="645" t="str">
        <f t="shared" ref="J5:J68" si="22">LEFT($A5,FIND(",",$A5,1)-1)</f>
        <v>N/A</v>
      </c>
      <c r="K5" s="649" t="str">
        <f t="shared" ref="K5:K68" si="23">RIGHT($A5,LEN($A5)-FIND(",",$A5,1))</f>
        <v>RA11Z</v>
      </c>
      <c r="L5" s="649" t="str">
        <f t="shared" ref="L5:L68" si="24">K5</f>
        <v>RA11Z</v>
      </c>
      <c r="M5" s="646">
        <f t="shared" ref="M5:M68" si="25">$B5</f>
        <v>7</v>
      </c>
      <c r="N5" s="650">
        <f t="shared" si="18"/>
        <v>7.261410788381743E-3</v>
      </c>
      <c r="O5" s="651" t="b">
        <f t="shared" si="19"/>
        <v>0</v>
      </c>
      <c r="P5" s="652">
        <f>IF(AND($J5&lt;&gt;"N/A",O5),$N5*VLOOKUP($J5,Input_DI!$D$10:$G$58,P$1-5,FALSE),0)</f>
        <v>0</v>
      </c>
      <c r="Q5" s="653">
        <f t="shared" ref="Q5:Q68" si="26">P5*$H$6</f>
        <v>0</v>
      </c>
      <c r="R5" s="654">
        <f t="shared" ref="R5:R68" si="27">IF($P5=0,0,$Q5/$P5)</f>
        <v>0</v>
      </c>
      <c r="S5" s="628"/>
      <c r="T5" s="649" t="s">
        <v>180</v>
      </c>
      <c r="U5" s="655">
        <f>VLOOKUP($T5,Input_DI!$D$10:$F$58,U$1-10,FALSE)</f>
        <v>49671</v>
      </c>
      <c r="V5" s="655">
        <f>VLOOKUP($T5,Input_DI!$D$10:$F$58,V$1-10,FALSE)</f>
        <v>6803895.9544373797</v>
      </c>
      <c r="W5" s="655">
        <f t="shared" ref="W5:W53" si="28">IF(U5=0,0,V5/U5)</f>
        <v>136.97924250442674</v>
      </c>
      <c r="X5" s="628"/>
      <c r="Y5" s="655">
        <f t="shared" si="20"/>
        <v>49671</v>
      </c>
      <c r="Z5" s="652">
        <f t="shared" ref="Z5:Z53" si="29">+U5-Y5</f>
        <v>0</v>
      </c>
      <c r="AA5" s="656">
        <f t="shared" si="21"/>
        <v>6803895.9544373797</v>
      </c>
      <c r="AB5" s="656">
        <f t="shared" ref="AB5:AB53" si="30">IF(Y5=0,0,AA5/Y5)</f>
        <v>136.97924250442674</v>
      </c>
      <c r="AC5" s="628"/>
      <c r="AD5" s="657">
        <f t="shared" ref="AD5:AD15" si="31">(Y5/U5)-1</f>
        <v>0</v>
      </c>
      <c r="AE5" s="657">
        <f t="shared" ref="AE5:AE15" si="32">(AA5/V5)-1</f>
        <v>0</v>
      </c>
      <c r="AF5" s="657">
        <f t="shared" ref="AF5:AF52" si="33">(AB5/W5)-1</f>
        <v>0</v>
      </c>
      <c r="AG5" s="628"/>
      <c r="AH5" s="658" t="str">
        <f t="shared" ref="AH5:AH53" si="34">IF(ABS(AF5)&gt;$AI$3,"Yes","No")</f>
        <v>No</v>
      </c>
      <c r="AI5" s="628"/>
    </row>
    <row r="6" spans="1:35" x14ac:dyDescent="0.2">
      <c r="A6" s="645" t="str">
        <f>Input_DI_activity_mapping!B12</f>
        <v>N/A,RA12Z</v>
      </c>
      <c r="B6" s="646">
        <f>Input_DI_activity_mapping!C12</f>
        <v>6</v>
      </c>
      <c r="C6" s="628"/>
      <c r="D6" s="645" t="s">
        <v>180</v>
      </c>
      <c r="E6" s="646">
        <f t="shared" si="17"/>
        <v>23767</v>
      </c>
      <c r="F6" s="629"/>
      <c r="G6" s="647" t="s">
        <v>926</v>
      </c>
      <c r="H6" s="648">
        <f>H5/H4</f>
        <v>226.61399437839225</v>
      </c>
      <c r="I6" s="628"/>
      <c r="J6" s="645" t="str">
        <f t="shared" si="22"/>
        <v>N/A</v>
      </c>
      <c r="K6" s="649" t="str">
        <f t="shared" si="23"/>
        <v>RA12Z</v>
      </c>
      <c r="L6" s="649" t="str">
        <f t="shared" si="24"/>
        <v>RA12Z</v>
      </c>
      <c r="M6" s="646">
        <f t="shared" si="25"/>
        <v>6</v>
      </c>
      <c r="N6" s="650">
        <f t="shared" si="18"/>
        <v>6.2240663900414933E-3</v>
      </c>
      <c r="O6" s="651" t="b">
        <f t="shared" si="19"/>
        <v>0</v>
      </c>
      <c r="P6" s="652">
        <f>IF(AND($J6&lt;&gt;"N/A",O6),$N6*VLOOKUP($J6,Input_DI!$D$10:$G$58,P$1-5,FALSE),0)</f>
        <v>0</v>
      </c>
      <c r="Q6" s="653">
        <f t="shared" si="26"/>
        <v>0</v>
      </c>
      <c r="R6" s="654">
        <f t="shared" si="27"/>
        <v>0</v>
      </c>
      <c r="S6" s="628"/>
      <c r="T6" s="649" t="s">
        <v>181</v>
      </c>
      <c r="U6" s="655">
        <f>VLOOKUP($T6,Input_DI!$D$10:$F$58,U$1-10,FALSE)</f>
        <v>7171</v>
      </c>
      <c r="V6" s="655">
        <f>VLOOKUP($T6,Input_DI!$D$10:$F$58,V$1-10,FALSE)</f>
        <v>915783.52525900805</v>
      </c>
      <c r="W6" s="655">
        <f t="shared" si="28"/>
        <v>127.70652980881439</v>
      </c>
      <c r="X6" s="628"/>
      <c r="Y6" s="655">
        <f t="shared" si="20"/>
        <v>7171</v>
      </c>
      <c r="Z6" s="652">
        <f t="shared" si="29"/>
        <v>0</v>
      </c>
      <c r="AA6" s="656">
        <f t="shared" si="21"/>
        <v>915783.52525900805</v>
      </c>
      <c r="AB6" s="656">
        <f t="shared" si="30"/>
        <v>127.70652980881439</v>
      </c>
      <c r="AC6" s="628"/>
      <c r="AD6" s="657">
        <f t="shared" si="31"/>
        <v>0</v>
      </c>
      <c r="AE6" s="657">
        <f t="shared" si="32"/>
        <v>0</v>
      </c>
      <c r="AF6" s="657">
        <f t="shared" si="33"/>
        <v>0</v>
      </c>
      <c r="AG6" s="628"/>
      <c r="AH6" s="658" t="str">
        <f t="shared" si="34"/>
        <v>No</v>
      </c>
      <c r="AI6" s="628"/>
    </row>
    <row r="7" spans="1:35" x14ac:dyDescent="0.2">
      <c r="A7" s="645" t="str">
        <f>Input_DI_activity_mapping!B13</f>
        <v>N/A,RA13Z</v>
      </c>
      <c r="B7" s="646">
        <f>Input_DI_activity_mapping!C13</f>
        <v>2</v>
      </c>
      <c r="C7" s="628"/>
      <c r="D7" s="645" t="s">
        <v>181</v>
      </c>
      <c r="E7" s="646">
        <f t="shared" si="17"/>
        <v>3189</v>
      </c>
      <c r="F7" s="629"/>
      <c r="G7" s="629"/>
      <c r="H7" s="629"/>
      <c r="I7" s="628"/>
      <c r="J7" s="645" t="str">
        <f t="shared" si="22"/>
        <v>N/A</v>
      </c>
      <c r="K7" s="649" t="str">
        <f t="shared" si="23"/>
        <v>RA13Z</v>
      </c>
      <c r="L7" s="649" t="str">
        <f t="shared" si="24"/>
        <v>RA13Z</v>
      </c>
      <c r="M7" s="646">
        <f t="shared" si="25"/>
        <v>2</v>
      </c>
      <c r="N7" s="650">
        <f t="shared" si="18"/>
        <v>2.0746887966804979E-3</v>
      </c>
      <c r="O7" s="651" t="b">
        <f t="shared" si="19"/>
        <v>0</v>
      </c>
      <c r="P7" s="652">
        <f>IF(AND($J7&lt;&gt;"N/A",O7),$N7*VLOOKUP($J7,Input_DI!$D$10:$G$58,P$1-5,FALSE),0)</f>
        <v>0</v>
      </c>
      <c r="Q7" s="653">
        <f t="shared" si="26"/>
        <v>0</v>
      </c>
      <c r="R7" s="654">
        <f t="shared" si="27"/>
        <v>0</v>
      </c>
      <c r="S7" s="628"/>
      <c r="T7" s="649" t="s">
        <v>182</v>
      </c>
      <c r="U7" s="655">
        <f>VLOOKUP($T7,Input_DI!$D$10:$F$58,U$1-10,FALSE)</f>
        <v>164277</v>
      </c>
      <c r="V7" s="655">
        <f>VLOOKUP($T7,Input_DI!$D$10:$F$58,V$1-10,FALSE)</f>
        <v>24900154.9913367</v>
      </c>
      <c r="W7" s="655">
        <f t="shared" si="28"/>
        <v>151.57420083965923</v>
      </c>
      <c r="X7" s="628"/>
      <c r="Y7" s="655">
        <f t="shared" si="20"/>
        <v>164277</v>
      </c>
      <c r="Z7" s="652">
        <f t="shared" si="29"/>
        <v>0</v>
      </c>
      <c r="AA7" s="656">
        <f t="shared" si="21"/>
        <v>24900154.9913367</v>
      </c>
      <c r="AB7" s="656">
        <f t="shared" si="30"/>
        <v>151.57420083965923</v>
      </c>
      <c r="AC7" s="628"/>
      <c r="AD7" s="657">
        <f t="shared" si="31"/>
        <v>0</v>
      </c>
      <c r="AE7" s="657">
        <f t="shared" si="32"/>
        <v>0</v>
      </c>
      <c r="AF7" s="657">
        <f t="shared" si="33"/>
        <v>0</v>
      </c>
      <c r="AG7" s="628"/>
      <c r="AH7" s="658" t="str">
        <f t="shared" si="34"/>
        <v>No</v>
      </c>
      <c r="AI7" s="628"/>
    </row>
    <row r="8" spans="1:35" ht="15" x14ac:dyDescent="0.2">
      <c r="A8" s="645" t="str">
        <f>Input_DI_activity_mapping!B14</f>
        <v>N/A,RA14Z</v>
      </c>
      <c r="B8" s="646">
        <f>Input_DI_activity_mapping!C14</f>
        <v>1</v>
      </c>
      <c r="C8" s="628"/>
      <c r="D8" s="645" t="s">
        <v>182</v>
      </c>
      <c r="E8" s="646">
        <f t="shared" si="17"/>
        <v>57060</v>
      </c>
      <c r="F8" s="629"/>
      <c r="G8" s="629"/>
      <c r="H8" s="629"/>
      <c r="I8" s="628"/>
      <c r="J8" s="645" t="str">
        <f t="shared" si="22"/>
        <v>N/A</v>
      </c>
      <c r="K8" s="649" t="str">
        <f t="shared" si="23"/>
        <v>RA14Z</v>
      </c>
      <c r="L8" s="649" t="str">
        <f t="shared" si="24"/>
        <v>RA14Z</v>
      </c>
      <c r="M8" s="646">
        <f t="shared" si="25"/>
        <v>1</v>
      </c>
      <c r="N8" s="650">
        <f t="shared" si="18"/>
        <v>1.037344398340249E-3</v>
      </c>
      <c r="O8" s="651" t="b">
        <f t="shared" si="19"/>
        <v>0</v>
      </c>
      <c r="P8" s="652">
        <f>IF(AND($J8&lt;&gt;"N/A",O8),$N8*VLOOKUP($J8,Input_DI!$D$10:$G$58,P$1-5,FALSE),0)</f>
        <v>0</v>
      </c>
      <c r="Q8" s="653">
        <f t="shared" si="26"/>
        <v>0</v>
      </c>
      <c r="R8" s="654">
        <f t="shared" si="27"/>
        <v>0</v>
      </c>
      <c r="S8" s="628"/>
      <c r="T8" s="649" t="s">
        <v>183</v>
      </c>
      <c r="U8" s="655">
        <f>VLOOKUP($T8,Input_DI!$D$10:$F$58,U$1-10,FALSE)</f>
        <v>6236</v>
      </c>
      <c r="V8" s="655">
        <f>VLOOKUP($T8,Input_DI!$D$10:$F$58,V$1-10,FALSE)</f>
        <v>936581.26920705498</v>
      </c>
      <c r="W8" s="655">
        <f t="shared" si="28"/>
        <v>150.18942739048347</v>
      </c>
      <c r="X8" s="628"/>
      <c r="Y8" s="655">
        <f t="shared" si="20"/>
        <v>6236</v>
      </c>
      <c r="Z8" s="652">
        <f t="shared" si="29"/>
        <v>0</v>
      </c>
      <c r="AA8" s="656">
        <f t="shared" si="21"/>
        <v>936581.26920705498</v>
      </c>
      <c r="AB8" s="656">
        <f t="shared" si="30"/>
        <v>150.18942739048347</v>
      </c>
      <c r="AC8" s="628"/>
      <c r="AD8" s="657">
        <f t="shared" si="31"/>
        <v>0</v>
      </c>
      <c r="AE8" s="657">
        <f t="shared" si="32"/>
        <v>0</v>
      </c>
      <c r="AF8" s="657">
        <f t="shared" si="33"/>
        <v>0</v>
      </c>
      <c r="AG8" s="628"/>
      <c r="AH8" s="658" t="str">
        <f t="shared" si="34"/>
        <v>No</v>
      </c>
      <c r="AI8" s="525"/>
    </row>
    <row r="9" spans="1:35" x14ac:dyDescent="0.2">
      <c r="A9" s="645" t="str">
        <f>Input_DI_activity_mapping!B15</f>
        <v>N/A,RA23Z</v>
      </c>
      <c r="B9" s="646">
        <f>Input_DI_activity_mapping!C15</f>
        <v>1</v>
      </c>
      <c r="C9" s="628"/>
      <c r="D9" s="645" t="s">
        <v>183</v>
      </c>
      <c r="E9" s="646">
        <f t="shared" si="17"/>
        <v>3004</v>
      </c>
      <c r="F9" s="629"/>
      <c r="G9" s="629"/>
      <c r="H9" s="629"/>
      <c r="I9" s="628"/>
      <c r="J9" s="645" t="str">
        <f t="shared" si="22"/>
        <v>N/A</v>
      </c>
      <c r="K9" s="649" t="str">
        <f t="shared" si="23"/>
        <v>RA23Z</v>
      </c>
      <c r="L9" s="649" t="str">
        <f t="shared" si="24"/>
        <v>RA23Z</v>
      </c>
      <c r="M9" s="646">
        <f t="shared" si="25"/>
        <v>1</v>
      </c>
      <c r="N9" s="650">
        <f t="shared" si="18"/>
        <v>1.037344398340249E-3</v>
      </c>
      <c r="O9" s="651" t="b">
        <f t="shared" si="19"/>
        <v>0</v>
      </c>
      <c r="P9" s="652">
        <f>IF(AND($J9&lt;&gt;"N/A",O9),$N9*VLOOKUP($J9,Input_DI!$D$10:$G$58,P$1-5,FALSE),0)</f>
        <v>0</v>
      </c>
      <c r="Q9" s="653">
        <f t="shared" si="26"/>
        <v>0</v>
      </c>
      <c r="R9" s="654">
        <f t="shared" si="27"/>
        <v>0</v>
      </c>
      <c r="S9" s="628"/>
      <c r="T9" s="649" t="s">
        <v>184</v>
      </c>
      <c r="U9" s="655">
        <f>VLOOKUP($T9,Input_DI!$D$10:$F$58,U$1-10,FALSE)</f>
        <v>6526</v>
      </c>
      <c r="V9" s="655">
        <f>VLOOKUP($T9,Input_DI!$D$10:$F$58,V$1-10,FALSE)</f>
        <v>1257756.6654131</v>
      </c>
      <c r="W9" s="655">
        <f t="shared" si="28"/>
        <v>192.73010502805701</v>
      </c>
      <c r="X9" s="628"/>
      <c r="Y9" s="655">
        <f t="shared" si="20"/>
        <v>6526</v>
      </c>
      <c r="Z9" s="652">
        <f t="shared" si="29"/>
        <v>0</v>
      </c>
      <c r="AA9" s="656">
        <f t="shared" si="21"/>
        <v>1257756.6654131</v>
      </c>
      <c r="AB9" s="656">
        <f t="shared" si="30"/>
        <v>192.73010502805701</v>
      </c>
      <c r="AC9" s="628"/>
      <c r="AD9" s="657">
        <f t="shared" si="31"/>
        <v>0</v>
      </c>
      <c r="AE9" s="657">
        <f t="shared" si="32"/>
        <v>0</v>
      </c>
      <c r="AF9" s="657">
        <f t="shared" si="33"/>
        <v>0</v>
      </c>
      <c r="AG9" s="628"/>
      <c r="AH9" s="658" t="str">
        <f t="shared" si="34"/>
        <v>No</v>
      </c>
      <c r="AI9" s="628"/>
    </row>
    <row r="10" spans="1:35" x14ac:dyDescent="0.2">
      <c r="A10" s="645" t="str">
        <f>Input_DI_activity_mapping!B16</f>
        <v>N/A,RA50Z</v>
      </c>
      <c r="B10" s="646">
        <f>Input_DI_activity_mapping!C16</f>
        <v>1</v>
      </c>
      <c r="C10" s="628"/>
      <c r="D10" s="645" t="s">
        <v>184</v>
      </c>
      <c r="E10" s="646">
        <f t="shared" si="17"/>
        <v>580</v>
      </c>
      <c r="F10" s="629"/>
      <c r="G10" s="629"/>
      <c r="H10" s="629"/>
      <c r="I10" s="628"/>
      <c r="J10" s="645" t="str">
        <f t="shared" si="22"/>
        <v>N/A</v>
      </c>
      <c r="K10" s="649" t="str">
        <f t="shared" si="23"/>
        <v>RA50Z</v>
      </c>
      <c r="L10" s="649" t="str">
        <f t="shared" si="24"/>
        <v>RA50Z</v>
      </c>
      <c r="M10" s="646">
        <f t="shared" si="25"/>
        <v>1</v>
      </c>
      <c r="N10" s="650">
        <f t="shared" si="18"/>
        <v>1.037344398340249E-3</v>
      </c>
      <c r="O10" s="651" t="b">
        <f t="shared" si="19"/>
        <v>0</v>
      </c>
      <c r="P10" s="652">
        <f>IF(AND($J10&lt;&gt;"N/A",O10),$N10*VLOOKUP($J10,Input_DI!$D$10:$G$58,P$1-5,FALSE),0)</f>
        <v>0</v>
      </c>
      <c r="Q10" s="653">
        <f t="shared" si="26"/>
        <v>0</v>
      </c>
      <c r="R10" s="654">
        <f t="shared" si="27"/>
        <v>0</v>
      </c>
      <c r="S10" s="628"/>
      <c r="T10" s="649" t="s">
        <v>97</v>
      </c>
      <c r="U10" s="655">
        <f>VLOOKUP($T10,Input_DI!$D$10:$F$58,U$1-10,FALSE)</f>
        <v>92964</v>
      </c>
      <c r="V10" s="655">
        <f>VLOOKUP($T10,Input_DI!$D$10:$F$58,V$1-10,FALSE)</f>
        <v>16955659.892029699</v>
      </c>
      <c r="W10" s="655">
        <f t="shared" si="28"/>
        <v>182.38952596736047</v>
      </c>
      <c r="X10" s="628"/>
      <c r="Y10" s="655">
        <f t="shared" si="20"/>
        <v>92964</v>
      </c>
      <c r="Z10" s="652">
        <f t="shared" si="29"/>
        <v>0</v>
      </c>
      <c r="AA10" s="656">
        <f t="shared" si="21"/>
        <v>16955659.892029699</v>
      </c>
      <c r="AB10" s="656">
        <f t="shared" si="30"/>
        <v>182.38952596736047</v>
      </c>
      <c r="AC10" s="628"/>
      <c r="AD10" s="657">
        <f t="shared" si="31"/>
        <v>0</v>
      </c>
      <c r="AE10" s="657">
        <f t="shared" si="32"/>
        <v>0</v>
      </c>
      <c r="AF10" s="657">
        <f t="shared" si="33"/>
        <v>0</v>
      </c>
      <c r="AG10" s="628"/>
      <c r="AH10" s="658" t="str">
        <f t="shared" si="34"/>
        <v>No</v>
      </c>
      <c r="AI10" s="628"/>
    </row>
    <row r="11" spans="1:35" x14ac:dyDescent="0.2">
      <c r="A11" s="645" t="str">
        <f>Input_DI_activity_mapping!B17</f>
        <v>N/A,RA69Z</v>
      </c>
      <c r="B11" s="646">
        <f>Input_DI_activity_mapping!C17</f>
        <v>940</v>
      </c>
      <c r="C11" s="628"/>
      <c r="D11" s="645" t="s">
        <v>97</v>
      </c>
      <c r="E11" s="646">
        <f t="shared" si="17"/>
        <v>6317</v>
      </c>
      <c r="F11" s="629"/>
      <c r="G11" s="629"/>
      <c r="H11" s="629"/>
      <c r="I11" s="628"/>
      <c r="J11" s="645" t="str">
        <f t="shared" si="22"/>
        <v>N/A</v>
      </c>
      <c r="K11" s="649" t="str">
        <f t="shared" si="23"/>
        <v>RA69Z</v>
      </c>
      <c r="L11" s="649" t="str">
        <f t="shared" si="24"/>
        <v>RA69Z</v>
      </c>
      <c r="M11" s="646">
        <f t="shared" si="25"/>
        <v>940</v>
      </c>
      <c r="N11" s="650">
        <f t="shared" si="18"/>
        <v>0.975103734439834</v>
      </c>
      <c r="O11" s="651" t="b">
        <f t="shared" si="19"/>
        <v>1</v>
      </c>
      <c r="P11" s="652">
        <f>IF(AND($J11&lt;&gt;"N/A",O11),$N11*VLOOKUP($J11,Input_DI!$D$10:$G$58,P$1-5,FALSE),0)</f>
        <v>0</v>
      </c>
      <c r="Q11" s="653">
        <f t="shared" si="26"/>
        <v>0</v>
      </c>
      <c r="R11" s="654">
        <f t="shared" si="27"/>
        <v>0</v>
      </c>
      <c r="S11" s="628"/>
      <c r="T11" s="649" t="s">
        <v>99</v>
      </c>
      <c r="U11" s="655">
        <f>VLOOKUP($T11,Input_DI!$D$10:$F$58,U$1-10,FALSE)</f>
        <v>133228</v>
      </c>
      <c r="V11" s="655">
        <f>VLOOKUP($T11,Input_DI!$D$10:$F$58,V$1-10,FALSE)</f>
        <v>20212686.2986084</v>
      </c>
      <c r="W11" s="655">
        <f t="shared" si="28"/>
        <v>151.71500209121507</v>
      </c>
      <c r="X11" s="628"/>
      <c r="Y11" s="655">
        <f t="shared" si="20"/>
        <v>133228</v>
      </c>
      <c r="Z11" s="652">
        <f t="shared" si="29"/>
        <v>0</v>
      </c>
      <c r="AA11" s="656">
        <f t="shared" si="21"/>
        <v>20212686.2986084</v>
      </c>
      <c r="AB11" s="656">
        <f t="shared" si="30"/>
        <v>151.71500209121507</v>
      </c>
      <c r="AC11" s="628"/>
      <c r="AD11" s="657">
        <f t="shared" si="31"/>
        <v>0</v>
      </c>
      <c r="AE11" s="657">
        <f t="shared" si="32"/>
        <v>0</v>
      </c>
      <c r="AF11" s="657">
        <f t="shared" si="33"/>
        <v>0</v>
      </c>
      <c r="AG11" s="628"/>
      <c r="AH11" s="658" t="str">
        <f t="shared" si="34"/>
        <v>No</v>
      </c>
      <c r="AI11" s="628"/>
    </row>
    <row r="12" spans="1:35" x14ac:dyDescent="0.2">
      <c r="A12" s="645" t="str">
        <f>Input_DI_activity_mapping!B18</f>
        <v>RA01A,RA01A</v>
      </c>
      <c r="B12" s="646">
        <f>Input_DI_activity_mapping!C18</f>
        <v>404864</v>
      </c>
      <c r="C12" s="628"/>
      <c r="D12" s="645" t="s">
        <v>99</v>
      </c>
      <c r="E12" s="646">
        <f t="shared" si="17"/>
        <v>33095</v>
      </c>
      <c r="F12" s="629"/>
      <c r="G12" s="629"/>
      <c r="H12" s="629"/>
      <c r="I12" s="628"/>
      <c r="J12" s="645" t="str">
        <f t="shared" si="22"/>
        <v>RA01A</v>
      </c>
      <c r="K12" s="649" t="str">
        <f t="shared" si="23"/>
        <v>RA01A</v>
      </c>
      <c r="L12" s="649" t="str">
        <f t="shared" si="24"/>
        <v>RA01A</v>
      </c>
      <c r="M12" s="646">
        <f t="shared" si="25"/>
        <v>404864</v>
      </c>
      <c r="N12" s="650">
        <f t="shared" si="18"/>
        <v>1</v>
      </c>
      <c r="O12" s="651" t="b">
        <f t="shared" si="19"/>
        <v>0</v>
      </c>
      <c r="P12" s="652">
        <f>IF(AND($J12&lt;&gt;"N/A",O12),$N12*VLOOKUP($J12,Input_DI!$D$10:$G$58,P$1-5,FALSE),0)</f>
        <v>0</v>
      </c>
      <c r="Q12" s="653">
        <f t="shared" si="26"/>
        <v>0</v>
      </c>
      <c r="R12" s="654">
        <f t="shared" si="27"/>
        <v>0</v>
      </c>
      <c r="S12" s="628"/>
      <c r="T12" s="649" t="s">
        <v>101</v>
      </c>
      <c r="U12" s="655">
        <f>VLOOKUP($T12,Input_DI!$D$10:$F$58,U$1-10,FALSE)</f>
        <v>68322</v>
      </c>
      <c r="V12" s="655">
        <f>VLOOKUP($T12,Input_DI!$D$10:$F$58,V$1-10,FALSE)</f>
        <v>10420520.6324185</v>
      </c>
      <c r="W12" s="655">
        <f t="shared" si="28"/>
        <v>152.52072000846726</v>
      </c>
      <c r="X12" s="628"/>
      <c r="Y12" s="655">
        <f t="shared" si="20"/>
        <v>68322</v>
      </c>
      <c r="Z12" s="652">
        <f t="shared" si="29"/>
        <v>0</v>
      </c>
      <c r="AA12" s="656">
        <f t="shared" si="21"/>
        <v>10420520.6324185</v>
      </c>
      <c r="AB12" s="656">
        <f t="shared" si="30"/>
        <v>152.52072000846726</v>
      </c>
      <c r="AC12" s="628"/>
      <c r="AD12" s="657">
        <f t="shared" si="31"/>
        <v>0</v>
      </c>
      <c r="AE12" s="657">
        <f t="shared" si="32"/>
        <v>0</v>
      </c>
      <c r="AF12" s="657">
        <f t="shared" si="33"/>
        <v>0</v>
      </c>
      <c r="AG12" s="628"/>
      <c r="AH12" s="658" t="str">
        <f t="shared" si="34"/>
        <v>No</v>
      </c>
      <c r="AI12" s="628"/>
    </row>
    <row r="13" spans="1:35" x14ac:dyDescent="0.2">
      <c r="A13" s="645" t="str">
        <f>Input_DI_activity_mapping!B19</f>
        <v>RA01B,RA01B</v>
      </c>
      <c r="B13" s="646">
        <f>Input_DI_activity_mapping!C19</f>
        <v>23767</v>
      </c>
      <c r="C13" s="628"/>
      <c r="D13" s="645" t="s">
        <v>101</v>
      </c>
      <c r="E13" s="646">
        <f t="shared" si="17"/>
        <v>3269</v>
      </c>
      <c r="F13" s="629"/>
      <c r="G13" s="629"/>
      <c r="H13" s="629"/>
      <c r="I13" s="628"/>
      <c r="J13" s="645" t="str">
        <f t="shared" si="22"/>
        <v>RA01B</v>
      </c>
      <c r="K13" s="649" t="str">
        <f t="shared" si="23"/>
        <v>RA01B</v>
      </c>
      <c r="L13" s="649" t="str">
        <f t="shared" si="24"/>
        <v>RA01B</v>
      </c>
      <c r="M13" s="646">
        <f t="shared" si="25"/>
        <v>23767</v>
      </c>
      <c r="N13" s="650">
        <f t="shared" si="18"/>
        <v>1</v>
      </c>
      <c r="O13" s="651" t="b">
        <f t="shared" si="19"/>
        <v>0</v>
      </c>
      <c r="P13" s="652">
        <f>IF(AND($J13&lt;&gt;"N/A",O13),$N13*VLOOKUP($J13,Input_DI!$D$10:$G$58,P$1-5,FALSE),0)</f>
        <v>0</v>
      </c>
      <c r="Q13" s="653">
        <f t="shared" si="26"/>
        <v>0</v>
      </c>
      <c r="R13" s="654">
        <f t="shared" si="27"/>
        <v>0</v>
      </c>
      <c r="S13" s="628"/>
      <c r="T13" s="649" t="s">
        <v>103</v>
      </c>
      <c r="U13" s="655">
        <f>VLOOKUP($T13,Input_DI!$D$10:$F$58,U$1-10,FALSE)</f>
        <v>12684</v>
      </c>
      <c r="V13" s="655">
        <f>VLOOKUP($T13,Input_DI!$D$10:$F$58,V$1-10,FALSE)</f>
        <v>2364622.47807201</v>
      </c>
      <c r="W13" s="655">
        <f t="shared" si="28"/>
        <v>186.42561321917455</v>
      </c>
      <c r="X13" s="628"/>
      <c r="Y13" s="655">
        <f t="shared" si="20"/>
        <v>12684</v>
      </c>
      <c r="Z13" s="652">
        <f t="shared" si="29"/>
        <v>0</v>
      </c>
      <c r="AA13" s="656">
        <f t="shared" si="21"/>
        <v>2364622.47807201</v>
      </c>
      <c r="AB13" s="656">
        <f t="shared" si="30"/>
        <v>186.42561321917455</v>
      </c>
      <c r="AC13" s="628"/>
      <c r="AD13" s="657">
        <f t="shared" si="31"/>
        <v>0</v>
      </c>
      <c r="AE13" s="657">
        <f t="shared" si="32"/>
        <v>0</v>
      </c>
      <c r="AF13" s="657">
        <f t="shared" si="33"/>
        <v>0</v>
      </c>
      <c r="AG13" s="628"/>
      <c r="AH13" s="658" t="str">
        <f t="shared" si="34"/>
        <v>No</v>
      </c>
      <c r="AI13" s="628"/>
    </row>
    <row r="14" spans="1:35" x14ac:dyDescent="0.2">
      <c r="A14" s="645" t="str">
        <f>Input_DI_activity_mapping!B20</f>
        <v>RA01C,RA01C</v>
      </c>
      <c r="B14" s="646">
        <f>Input_DI_activity_mapping!C20</f>
        <v>3189</v>
      </c>
      <c r="C14" s="628"/>
      <c r="D14" s="645" t="s">
        <v>103</v>
      </c>
      <c r="E14" s="646">
        <f t="shared" si="17"/>
        <v>5444</v>
      </c>
      <c r="F14" s="629"/>
      <c r="G14" s="629"/>
      <c r="H14" s="629"/>
      <c r="I14" s="628"/>
      <c r="J14" s="645" t="str">
        <f t="shared" si="22"/>
        <v>RA01C</v>
      </c>
      <c r="K14" s="649" t="str">
        <f t="shared" si="23"/>
        <v>RA01C</v>
      </c>
      <c r="L14" s="649" t="str">
        <f t="shared" si="24"/>
        <v>RA01C</v>
      </c>
      <c r="M14" s="646">
        <f t="shared" si="25"/>
        <v>3189</v>
      </c>
      <c r="N14" s="650">
        <f t="shared" si="18"/>
        <v>1</v>
      </c>
      <c r="O14" s="651" t="b">
        <f t="shared" si="19"/>
        <v>0</v>
      </c>
      <c r="P14" s="652">
        <f>IF(AND($J14&lt;&gt;"N/A",O14),$N14*VLOOKUP($J14,Input_DI!$D$10:$G$58,P$1-5,FALSE),0)</f>
        <v>0</v>
      </c>
      <c r="Q14" s="653">
        <f t="shared" si="26"/>
        <v>0</v>
      </c>
      <c r="R14" s="654">
        <f t="shared" si="27"/>
        <v>0</v>
      </c>
      <c r="S14" s="628"/>
      <c r="T14" s="649" t="s">
        <v>105</v>
      </c>
      <c r="U14" s="655">
        <f>VLOOKUP($T14,Input_DI!$D$10:$F$58,U$1-10,FALSE)</f>
        <v>9610</v>
      </c>
      <c r="V14" s="655">
        <f>VLOOKUP($T14,Input_DI!$D$10:$F$58,V$1-10,FALSE)</f>
        <v>2276461.4032241302</v>
      </c>
      <c r="W14" s="655">
        <f t="shared" si="28"/>
        <v>236.88464133445683</v>
      </c>
      <c r="X14" s="628"/>
      <c r="Y14" s="655">
        <f t="shared" si="20"/>
        <v>9610</v>
      </c>
      <c r="Z14" s="652">
        <f t="shared" si="29"/>
        <v>0</v>
      </c>
      <c r="AA14" s="656">
        <f t="shared" si="21"/>
        <v>2276461.4032241302</v>
      </c>
      <c r="AB14" s="656">
        <f t="shared" si="30"/>
        <v>236.88464133445683</v>
      </c>
      <c r="AC14" s="628"/>
      <c r="AD14" s="657">
        <f t="shared" si="31"/>
        <v>0</v>
      </c>
      <c r="AE14" s="657">
        <f t="shared" si="32"/>
        <v>0</v>
      </c>
      <c r="AF14" s="657">
        <f t="shared" si="33"/>
        <v>0</v>
      </c>
      <c r="AG14" s="628"/>
      <c r="AH14" s="658" t="str">
        <f t="shared" si="34"/>
        <v>No</v>
      </c>
      <c r="AI14" s="628"/>
    </row>
    <row r="15" spans="1:35" x14ac:dyDescent="0.2">
      <c r="A15" s="645" t="str">
        <f>Input_DI_activity_mapping!B21</f>
        <v>RA02A,RA02A</v>
      </c>
      <c r="B15" s="646">
        <f>Input_DI_activity_mapping!C21</f>
        <v>57060</v>
      </c>
      <c r="C15" s="628"/>
      <c r="D15" s="645" t="s">
        <v>105</v>
      </c>
      <c r="E15" s="646">
        <f t="shared" si="17"/>
        <v>2113</v>
      </c>
      <c r="F15" s="629"/>
      <c r="G15" s="629"/>
      <c r="H15" s="629"/>
      <c r="I15" s="628"/>
      <c r="J15" s="645" t="str">
        <f t="shared" si="22"/>
        <v>RA02A</v>
      </c>
      <c r="K15" s="649" t="str">
        <f t="shared" si="23"/>
        <v>RA02A</v>
      </c>
      <c r="L15" s="649" t="str">
        <f t="shared" si="24"/>
        <v>RA02A</v>
      </c>
      <c r="M15" s="646">
        <f t="shared" si="25"/>
        <v>57060</v>
      </c>
      <c r="N15" s="650">
        <f t="shared" si="18"/>
        <v>1</v>
      </c>
      <c r="O15" s="651" t="b">
        <f t="shared" si="19"/>
        <v>0</v>
      </c>
      <c r="P15" s="652">
        <f>IF(AND($J15&lt;&gt;"N/A",O15),$N15*VLOOKUP($J15,Input_DI!$D$10:$G$58,P$1-5,FALSE),0)</f>
        <v>0</v>
      </c>
      <c r="Q15" s="653">
        <f t="shared" si="26"/>
        <v>0</v>
      </c>
      <c r="R15" s="654">
        <f t="shared" si="27"/>
        <v>0</v>
      </c>
      <c r="S15" s="628"/>
      <c r="T15" s="659" t="s">
        <v>185</v>
      </c>
      <c r="U15" s="660">
        <f>VLOOKUP($T15,Input_DI!$D$10:$F$58,U$1-10,FALSE)</f>
        <v>615032</v>
      </c>
      <c r="V15" s="661">
        <f>VLOOKUP($T15,Input_DI!$D$10:$F$58,V$1-10,FALSE)</f>
        <v>51027684.963383801</v>
      </c>
      <c r="W15" s="661">
        <f t="shared" si="28"/>
        <v>82.967528459305854</v>
      </c>
      <c r="X15" s="628"/>
      <c r="Y15" s="660">
        <f t="shared" si="20"/>
        <v>585238.49317911465</v>
      </c>
      <c r="Z15" s="662">
        <f t="shared" si="29"/>
        <v>29793.506820885348</v>
      </c>
      <c r="AA15" s="663">
        <f t="shared" si="21"/>
        <v>44276059.376163103</v>
      </c>
      <c r="AB15" s="663">
        <f t="shared" si="30"/>
        <v>75.654728614394529</v>
      </c>
      <c r="AC15" s="628"/>
      <c r="AD15" s="664">
        <f t="shared" si="31"/>
        <v>-4.8442205967958341E-2</v>
      </c>
      <c r="AE15" s="664">
        <f t="shared" si="32"/>
        <v>-0.13231299033192467</v>
      </c>
      <c r="AF15" s="664">
        <f>(AB15/W15)-1</f>
        <v>-8.8140504854234969E-2</v>
      </c>
      <c r="AG15" s="628"/>
      <c r="AH15" s="658" t="str">
        <f t="shared" si="34"/>
        <v>Yes</v>
      </c>
      <c r="AI15" s="628"/>
    </row>
    <row r="16" spans="1:35" x14ac:dyDescent="0.2">
      <c r="A16" s="645" t="str">
        <f>Input_DI_activity_mapping!B22</f>
        <v>RA02B,RA02B</v>
      </c>
      <c r="B16" s="646">
        <f>Input_DI_activity_mapping!C22</f>
        <v>3004</v>
      </c>
      <c r="C16" s="628"/>
      <c r="D16" s="645" t="s">
        <v>185</v>
      </c>
      <c r="E16" s="646">
        <f t="shared" si="17"/>
        <v>197555</v>
      </c>
      <c r="F16" s="629"/>
      <c r="G16" s="629"/>
      <c r="H16" s="629"/>
      <c r="I16" s="628"/>
      <c r="J16" s="645" t="str">
        <f t="shared" si="22"/>
        <v>RA02B</v>
      </c>
      <c r="K16" s="649" t="str">
        <f t="shared" si="23"/>
        <v>RA02B</v>
      </c>
      <c r="L16" s="649" t="str">
        <f t="shared" si="24"/>
        <v>RA02B</v>
      </c>
      <c r="M16" s="646">
        <f t="shared" si="25"/>
        <v>3004</v>
      </c>
      <c r="N16" s="650">
        <f t="shared" si="18"/>
        <v>1</v>
      </c>
      <c r="O16" s="651" t="b">
        <f t="shared" si="19"/>
        <v>0</v>
      </c>
      <c r="P16" s="652">
        <f>IF(AND($J16&lt;&gt;"N/A",O16),$N16*VLOOKUP($J16,Input_DI!$D$10:$G$58,P$1-5,FALSE),0)</f>
        <v>0</v>
      </c>
      <c r="Q16" s="653">
        <f t="shared" si="26"/>
        <v>0</v>
      </c>
      <c r="R16" s="654">
        <f t="shared" si="27"/>
        <v>0</v>
      </c>
      <c r="S16" s="628"/>
      <c r="T16" s="659" t="s">
        <v>186</v>
      </c>
      <c r="U16" s="660">
        <f>VLOOKUP($T16,Input_DI!$D$10:$F$58,U$1-10,FALSE)</f>
        <v>13582</v>
      </c>
      <c r="V16" s="661">
        <f>VLOOKUP($T16,Input_DI!$D$10:$F$58,V$1-10,FALSE)</f>
        <v>1265718.0725756099</v>
      </c>
      <c r="W16" s="661">
        <f t="shared" si="28"/>
        <v>93.190846162244881</v>
      </c>
      <c r="X16" s="628"/>
      <c r="Y16" s="660">
        <f t="shared" si="20"/>
        <v>13576.763061499903</v>
      </c>
      <c r="Z16" s="662">
        <f t="shared" si="29"/>
        <v>5.2369385000965849</v>
      </c>
      <c r="AA16" s="663">
        <f t="shared" si="21"/>
        <v>1264531.3090237891</v>
      </c>
      <c r="AB16" s="663">
        <f t="shared" si="30"/>
        <v>93.139381109895353</v>
      </c>
      <c r="AC16" s="628"/>
      <c r="AD16" s="664">
        <f t="shared" ref="AD16:AD52" si="35">(Y16/U16)-1</f>
        <v>-3.8557933294780522E-4</v>
      </c>
      <c r="AE16" s="664">
        <f t="shared" ref="AE16:AE52" si="36">(AA16/V16)-1</f>
        <v>-9.3762076842740516E-4</v>
      </c>
      <c r="AF16" s="664">
        <f t="shared" si="33"/>
        <v>-5.5225437335260086E-4</v>
      </c>
      <c r="AG16" s="628"/>
      <c r="AH16" s="658" t="str">
        <f t="shared" si="34"/>
        <v>No</v>
      </c>
      <c r="AI16" s="628"/>
    </row>
    <row r="17" spans="1:35" x14ac:dyDescent="0.2">
      <c r="A17" s="645" t="str">
        <f>Input_DI_activity_mapping!B23</f>
        <v>RA02C,RA02C</v>
      </c>
      <c r="B17" s="646">
        <f>Input_DI_activity_mapping!C23</f>
        <v>580</v>
      </c>
      <c r="C17" s="628"/>
      <c r="D17" s="645" t="s">
        <v>186</v>
      </c>
      <c r="E17" s="646">
        <f t="shared" si="17"/>
        <v>5187</v>
      </c>
      <c r="F17" s="629"/>
      <c r="G17" s="629"/>
      <c r="H17" s="629"/>
      <c r="I17" s="628"/>
      <c r="J17" s="645" t="str">
        <f t="shared" si="22"/>
        <v>RA02C</v>
      </c>
      <c r="K17" s="649" t="str">
        <f t="shared" si="23"/>
        <v>RA02C</v>
      </c>
      <c r="L17" s="649" t="str">
        <f t="shared" si="24"/>
        <v>RA02C</v>
      </c>
      <c r="M17" s="646">
        <f t="shared" si="25"/>
        <v>580</v>
      </c>
      <c r="N17" s="650">
        <f t="shared" si="18"/>
        <v>1</v>
      </c>
      <c r="O17" s="651" t="b">
        <f t="shared" si="19"/>
        <v>0</v>
      </c>
      <c r="P17" s="652">
        <f>IF(AND($J17&lt;&gt;"N/A",O17),$N17*VLOOKUP($J17,Input_DI!$D$10:$G$58,P$1-5,FALSE),0)</f>
        <v>0</v>
      </c>
      <c r="Q17" s="653">
        <f t="shared" si="26"/>
        <v>0</v>
      </c>
      <c r="R17" s="654">
        <f t="shared" si="27"/>
        <v>0</v>
      </c>
      <c r="S17" s="628"/>
      <c r="T17" s="649" t="s">
        <v>187</v>
      </c>
      <c r="U17" s="655">
        <f>VLOOKUP($T17,Input_DI!$D$10:$F$58,U$1-10,FALSE)</f>
        <v>2279</v>
      </c>
      <c r="V17" s="665">
        <f>VLOOKUP($T17,Input_DI!$D$10:$F$58,V$1-10,FALSE)</f>
        <v>149678.704583702</v>
      </c>
      <c r="W17" s="665">
        <f t="shared" si="28"/>
        <v>65.677360501843793</v>
      </c>
      <c r="X17" s="628"/>
      <c r="Y17" s="655">
        <f t="shared" si="20"/>
        <v>2279</v>
      </c>
      <c r="Z17" s="652">
        <f t="shared" si="29"/>
        <v>0</v>
      </c>
      <c r="AA17" s="656">
        <f t="shared" si="21"/>
        <v>149678.704583702</v>
      </c>
      <c r="AB17" s="656">
        <f t="shared" si="30"/>
        <v>65.677360501843793</v>
      </c>
      <c r="AC17" s="628"/>
      <c r="AD17" s="657">
        <f t="shared" si="35"/>
        <v>0</v>
      </c>
      <c r="AE17" s="657">
        <f t="shared" si="36"/>
        <v>0</v>
      </c>
      <c r="AF17" s="657">
        <f t="shared" si="33"/>
        <v>0</v>
      </c>
      <c r="AG17" s="628"/>
      <c r="AH17" s="658" t="str">
        <f t="shared" si="34"/>
        <v>No</v>
      </c>
      <c r="AI17" s="628"/>
    </row>
    <row r="18" spans="1:35" x14ac:dyDescent="0.2">
      <c r="A18" s="645" t="str">
        <f>Input_DI_activity_mapping!B24</f>
        <v>RA03Z,RA03Z</v>
      </c>
      <c r="B18" s="646">
        <f>Input_DI_activity_mapping!C24</f>
        <v>6317</v>
      </c>
      <c r="C18" s="628"/>
      <c r="D18" s="645" t="s">
        <v>187</v>
      </c>
      <c r="E18" s="646">
        <f t="shared" si="17"/>
        <v>1000</v>
      </c>
      <c r="F18" s="629"/>
      <c r="G18" s="629"/>
      <c r="H18" s="629"/>
      <c r="I18" s="628"/>
      <c r="J18" s="645" t="str">
        <f t="shared" si="22"/>
        <v>RA03Z</v>
      </c>
      <c r="K18" s="649" t="str">
        <f t="shared" si="23"/>
        <v>RA03Z</v>
      </c>
      <c r="L18" s="649" t="str">
        <f t="shared" si="24"/>
        <v>RA03Z</v>
      </c>
      <c r="M18" s="646">
        <f t="shared" si="25"/>
        <v>6317</v>
      </c>
      <c r="N18" s="650">
        <f t="shared" si="18"/>
        <v>1</v>
      </c>
      <c r="O18" s="651" t="b">
        <f t="shared" si="19"/>
        <v>0</v>
      </c>
      <c r="P18" s="652">
        <f>IF(AND($J18&lt;&gt;"N/A",O18),$N18*VLOOKUP($J18,Input_DI!$D$10:$G$58,P$1-5,FALSE),0)</f>
        <v>0</v>
      </c>
      <c r="Q18" s="653">
        <f t="shared" si="26"/>
        <v>0</v>
      </c>
      <c r="R18" s="654">
        <f t="shared" si="27"/>
        <v>0</v>
      </c>
      <c r="S18" s="628"/>
      <c r="T18" s="659" t="s">
        <v>188</v>
      </c>
      <c r="U18" s="660">
        <f>VLOOKUP($T18,Input_DI!$D$10:$F$58,U$1-10,FALSE)</f>
        <v>242287</v>
      </c>
      <c r="V18" s="661">
        <f>VLOOKUP($T18,Input_DI!$D$10:$F$58,V$1-10,FALSE)</f>
        <v>22391011.034669202</v>
      </c>
      <c r="W18" s="661">
        <f t="shared" si="28"/>
        <v>92.415239095243251</v>
      </c>
      <c r="X18" s="628"/>
      <c r="Y18" s="660">
        <f t="shared" si="20"/>
        <v>233851.62724665779</v>
      </c>
      <c r="Z18" s="662">
        <f t="shared" si="29"/>
        <v>8435.3727533422061</v>
      </c>
      <c r="AA18" s="663">
        <f t="shared" si="21"/>
        <v>20479437.520963665</v>
      </c>
      <c r="AB18" s="663">
        <f t="shared" si="30"/>
        <v>87.574492262834397</v>
      </c>
      <c r="AC18" s="628"/>
      <c r="AD18" s="664">
        <f t="shared" si="35"/>
        <v>-3.481562260188209E-2</v>
      </c>
      <c r="AE18" s="664">
        <f t="shared" si="36"/>
        <v>-8.5372362630063647E-2</v>
      </c>
      <c r="AF18" s="664">
        <f t="shared" si="33"/>
        <v>-5.2380396131637696E-2</v>
      </c>
      <c r="AG18" s="628"/>
      <c r="AH18" s="658" t="str">
        <f t="shared" si="34"/>
        <v>Yes</v>
      </c>
      <c r="AI18" s="628"/>
    </row>
    <row r="19" spans="1:35" x14ac:dyDescent="0.2">
      <c r="A19" s="645" t="str">
        <f>Input_DI_activity_mapping!B25</f>
        <v>RA04Z,RA04Z</v>
      </c>
      <c r="B19" s="646">
        <f>Input_DI_activity_mapping!C25</f>
        <v>33095</v>
      </c>
      <c r="C19" s="628"/>
      <c r="D19" s="645" t="s">
        <v>188</v>
      </c>
      <c r="E19" s="646">
        <f t="shared" si="17"/>
        <v>49518</v>
      </c>
      <c r="F19" s="629"/>
      <c r="G19" s="629"/>
      <c r="H19" s="629"/>
      <c r="I19" s="628"/>
      <c r="J19" s="645" t="str">
        <f t="shared" si="22"/>
        <v>RA04Z</v>
      </c>
      <c r="K19" s="649" t="str">
        <f t="shared" si="23"/>
        <v>RA04Z</v>
      </c>
      <c r="L19" s="649" t="str">
        <f t="shared" si="24"/>
        <v>RA04Z</v>
      </c>
      <c r="M19" s="646">
        <f t="shared" si="25"/>
        <v>33095</v>
      </c>
      <c r="N19" s="650">
        <f t="shared" si="18"/>
        <v>1</v>
      </c>
      <c r="O19" s="651" t="b">
        <f t="shared" si="19"/>
        <v>0</v>
      </c>
      <c r="P19" s="652">
        <f>IF(AND($J19&lt;&gt;"N/A",O19),$N19*VLOOKUP($J19,Input_DI!$D$10:$G$58,P$1-5,FALSE),0)</f>
        <v>0</v>
      </c>
      <c r="Q19" s="653">
        <f t="shared" si="26"/>
        <v>0</v>
      </c>
      <c r="R19" s="654">
        <f t="shared" si="27"/>
        <v>0</v>
      </c>
      <c r="S19" s="628"/>
      <c r="T19" s="649" t="s">
        <v>189</v>
      </c>
      <c r="U19" s="655">
        <f>VLOOKUP($T19,Input_DI!$D$10:$F$58,U$1-10,FALSE)</f>
        <v>1917</v>
      </c>
      <c r="V19" s="665">
        <f>VLOOKUP($T19,Input_DI!$D$10:$F$58,V$1-10,FALSE)</f>
        <v>137700.93195127699</v>
      </c>
      <c r="W19" s="665">
        <f t="shared" si="28"/>
        <v>71.831472066393843</v>
      </c>
      <c r="X19" s="628"/>
      <c r="Y19" s="655">
        <f t="shared" si="20"/>
        <v>1917</v>
      </c>
      <c r="Z19" s="652">
        <f t="shared" si="29"/>
        <v>0</v>
      </c>
      <c r="AA19" s="656">
        <f t="shared" si="21"/>
        <v>137700.93195127699</v>
      </c>
      <c r="AB19" s="656">
        <f t="shared" si="30"/>
        <v>71.831472066393843</v>
      </c>
      <c r="AC19" s="628"/>
      <c r="AD19" s="657">
        <f t="shared" si="35"/>
        <v>0</v>
      </c>
      <c r="AE19" s="657">
        <f t="shared" si="36"/>
        <v>0</v>
      </c>
      <c r="AF19" s="657">
        <f t="shared" si="33"/>
        <v>0</v>
      </c>
      <c r="AG19" s="628"/>
      <c r="AH19" s="658" t="str">
        <f t="shared" si="34"/>
        <v>No</v>
      </c>
      <c r="AI19" s="628"/>
    </row>
    <row r="20" spans="1:35" x14ac:dyDescent="0.2">
      <c r="A20" s="645" t="str">
        <f>Input_DI_activity_mapping!B26</f>
        <v>RA05Z,RA05Z</v>
      </c>
      <c r="B20" s="646">
        <f>Input_DI_activity_mapping!C26</f>
        <v>3269</v>
      </c>
      <c r="C20" s="628"/>
      <c r="D20" s="645" t="s">
        <v>189</v>
      </c>
      <c r="E20" s="646">
        <f t="shared" si="17"/>
        <v>486</v>
      </c>
      <c r="F20" s="629"/>
      <c r="G20" s="629"/>
      <c r="H20" s="629"/>
      <c r="I20" s="628"/>
      <c r="J20" s="645" t="str">
        <f t="shared" si="22"/>
        <v>RA05Z</v>
      </c>
      <c r="K20" s="649" t="str">
        <f t="shared" si="23"/>
        <v>RA05Z</v>
      </c>
      <c r="L20" s="649" t="str">
        <f t="shared" si="24"/>
        <v>RA05Z</v>
      </c>
      <c r="M20" s="646">
        <f t="shared" si="25"/>
        <v>3269</v>
      </c>
      <c r="N20" s="650">
        <f t="shared" si="18"/>
        <v>1</v>
      </c>
      <c r="O20" s="651" t="b">
        <f t="shared" si="19"/>
        <v>0</v>
      </c>
      <c r="P20" s="652">
        <f>IF(AND($J20&lt;&gt;"N/A",O20),$N20*VLOOKUP($J20,Input_DI!$D$10:$G$58,P$1-5,FALSE),0)</f>
        <v>0</v>
      </c>
      <c r="Q20" s="653">
        <f t="shared" si="26"/>
        <v>0</v>
      </c>
      <c r="R20" s="654">
        <f t="shared" si="27"/>
        <v>0</v>
      </c>
      <c r="S20" s="628"/>
      <c r="T20" s="649" t="s">
        <v>190</v>
      </c>
      <c r="U20" s="655">
        <f>VLOOKUP($T20,Input_DI!$D$10:$F$58,U$1-10,FALSE)</f>
        <v>2337</v>
      </c>
      <c r="V20" s="665">
        <f>VLOOKUP($T20,Input_DI!$D$10:$F$58,V$1-10,FALSE)</f>
        <v>222503.94198657601</v>
      </c>
      <c r="W20" s="665">
        <f t="shared" si="28"/>
        <v>95.209217794854951</v>
      </c>
      <c r="X20" s="628"/>
      <c r="Y20" s="655">
        <f t="shared" si="20"/>
        <v>2337</v>
      </c>
      <c r="Z20" s="652">
        <f t="shared" si="29"/>
        <v>0</v>
      </c>
      <c r="AA20" s="656">
        <f t="shared" si="21"/>
        <v>222503.94198657601</v>
      </c>
      <c r="AB20" s="656">
        <f t="shared" si="30"/>
        <v>95.209217794854951</v>
      </c>
      <c r="AC20" s="628"/>
      <c r="AD20" s="657">
        <f t="shared" si="35"/>
        <v>0</v>
      </c>
      <c r="AE20" s="657">
        <f t="shared" si="36"/>
        <v>0</v>
      </c>
      <c r="AF20" s="657">
        <f t="shared" si="33"/>
        <v>0</v>
      </c>
      <c r="AG20" s="628"/>
      <c r="AH20" s="658" t="str">
        <f t="shared" si="34"/>
        <v>No</v>
      </c>
      <c r="AI20" s="628"/>
    </row>
    <row r="21" spans="1:35" x14ac:dyDescent="0.2">
      <c r="A21" s="645" t="str">
        <f>Input_DI_activity_mapping!B27</f>
        <v>RA06Z,RA06Z</v>
      </c>
      <c r="B21" s="646">
        <f>Input_DI_activity_mapping!C27</f>
        <v>5444</v>
      </c>
      <c r="C21" s="628"/>
      <c r="D21" s="645" t="s">
        <v>190</v>
      </c>
      <c r="E21" s="646">
        <f t="shared" si="17"/>
        <v>107</v>
      </c>
      <c r="F21" s="629"/>
      <c r="G21" s="629"/>
      <c r="H21" s="629"/>
      <c r="I21" s="628"/>
      <c r="J21" s="645" t="str">
        <f t="shared" si="22"/>
        <v>RA06Z</v>
      </c>
      <c r="K21" s="649" t="str">
        <f t="shared" si="23"/>
        <v>RA06Z</v>
      </c>
      <c r="L21" s="649" t="str">
        <f t="shared" si="24"/>
        <v>RA06Z</v>
      </c>
      <c r="M21" s="646">
        <f t="shared" si="25"/>
        <v>5444</v>
      </c>
      <c r="N21" s="650">
        <f t="shared" si="18"/>
        <v>1</v>
      </c>
      <c r="O21" s="651" t="b">
        <f t="shared" si="19"/>
        <v>0</v>
      </c>
      <c r="P21" s="652">
        <f>IF(AND($J21&lt;&gt;"N/A",O21),$N21*VLOOKUP($J21,Input_DI!$D$10:$G$58,P$1-5,FALSE),0)</f>
        <v>0</v>
      </c>
      <c r="Q21" s="653">
        <f t="shared" si="26"/>
        <v>0</v>
      </c>
      <c r="R21" s="654">
        <f t="shared" si="27"/>
        <v>0</v>
      </c>
      <c r="S21" s="628"/>
      <c r="T21" s="659" t="s">
        <v>107</v>
      </c>
      <c r="U21" s="660">
        <f>VLOOKUP($T21,Input_DI!$D$10:$F$58,U$1-10,FALSE)</f>
        <v>95449</v>
      </c>
      <c r="V21" s="661">
        <f>VLOOKUP($T21,Input_DI!$D$10:$F$58,V$1-10,FALSE)</f>
        <v>10291602.846676599</v>
      </c>
      <c r="W21" s="661">
        <f t="shared" si="28"/>
        <v>107.82305573318315</v>
      </c>
      <c r="X21" s="628"/>
      <c r="Y21" s="660">
        <f t="shared" si="20"/>
        <v>94601.640456563095</v>
      </c>
      <c r="Z21" s="662">
        <f t="shared" si="29"/>
        <v>847.35954343690537</v>
      </c>
      <c r="AA21" s="663">
        <f t="shared" si="21"/>
        <v>10099579.315863712</v>
      </c>
      <c r="AB21" s="663">
        <f t="shared" si="30"/>
        <v>106.75902941134508</v>
      </c>
      <c r="AC21" s="628"/>
      <c r="AD21" s="664">
        <f t="shared" si="35"/>
        <v>-8.8776157260621602E-3</v>
      </c>
      <c r="AE21" s="664">
        <f t="shared" si="36"/>
        <v>-1.8658272542541487E-2</v>
      </c>
      <c r="AF21" s="666">
        <f t="shared" si="33"/>
        <v>-9.8682634674265302E-3</v>
      </c>
      <c r="AG21" s="628"/>
      <c r="AH21" s="658" t="str">
        <f t="shared" si="34"/>
        <v>No</v>
      </c>
      <c r="AI21" s="628"/>
    </row>
    <row r="22" spans="1:35" x14ac:dyDescent="0.2">
      <c r="A22" s="645" t="str">
        <f>Input_DI_activity_mapping!B28</f>
        <v>RA07Z,RA07Z</v>
      </c>
      <c r="B22" s="646">
        <f>Input_DI_activity_mapping!C28</f>
        <v>2113</v>
      </c>
      <c r="C22" s="628"/>
      <c r="D22" s="645" t="s">
        <v>107</v>
      </c>
      <c r="E22" s="646">
        <f t="shared" si="17"/>
        <v>1577</v>
      </c>
      <c r="F22" s="629"/>
      <c r="G22" s="629"/>
      <c r="H22" s="629"/>
      <c r="I22" s="628"/>
      <c r="J22" s="645" t="str">
        <f t="shared" si="22"/>
        <v>RA07Z</v>
      </c>
      <c r="K22" s="649" t="str">
        <f t="shared" si="23"/>
        <v>RA07Z</v>
      </c>
      <c r="L22" s="649" t="str">
        <f t="shared" si="24"/>
        <v>RA07Z</v>
      </c>
      <c r="M22" s="646">
        <f t="shared" si="25"/>
        <v>2113</v>
      </c>
      <c r="N22" s="650">
        <f t="shared" si="18"/>
        <v>1</v>
      </c>
      <c r="O22" s="651" t="b">
        <f t="shared" si="19"/>
        <v>0</v>
      </c>
      <c r="P22" s="652">
        <f>IF(AND($J22&lt;&gt;"N/A",O22),$N22*VLOOKUP($J22,Input_DI!$D$10:$G$58,P$1-5,FALSE),0)</f>
        <v>0</v>
      </c>
      <c r="Q22" s="653">
        <f t="shared" si="26"/>
        <v>0</v>
      </c>
      <c r="R22" s="654">
        <f t="shared" si="27"/>
        <v>0</v>
      </c>
      <c r="S22" s="628"/>
      <c r="T22" s="659" t="s">
        <v>109</v>
      </c>
      <c r="U22" s="660">
        <f>VLOOKUP($T22,Input_DI!$D$10:$F$58,U$1-10,FALSE)</f>
        <v>77127</v>
      </c>
      <c r="V22" s="661">
        <f>VLOOKUP($T22,Input_DI!$D$10:$F$58,V$1-10,FALSE)</f>
        <v>7246671.70350172</v>
      </c>
      <c r="W22" s="661">
        <f t="shared" si="28"/>
        <v>93.957650414274113</v>
      </c>
      <c r="X22" s="628"/>
      <c r="Y22" s="660">
        <f t="shared" si="20"/>
        <v>76182.408430646537</v>
      </c>
      <c r="Z22" s="662">
        <f t="shared" si="29"/>
        <v>944.59156935346255</v>
      </c>
      <c r="AA22" s="663">
        <f t="shared" si="21"/>
        <v>7032614.0349143781</v>
      </c>
      <c r="AB22" s="663">
        <f t="shared" si="30"/>
        <v>92.312834154050051</v>
      </c>
      <c r="AC22" s="628"/>
      <c r="AD22" s="664">
        <f t="shared" si="35"/>
        <v>-1.2247223013386543E-2</v>
      </c>
      <c r="AE22" s="664">
        <f t="shared" si="36"/>
        <v>-2.9538756182911574E-2</v>
      </c>
      <c r="AF22" s="664">
        <f t="shared" si="33"/>
        <v>-1.7505932225548526E-2</v>
      </c>
      <c r="AG22" s="628"/>
      <c r="AH22" s="658" t="str">
        <f t="shared" si="34"/>
        <v>Yes</v>
      </c>
      <c r="AI22" s="628"/>
    </row>
    <row r="23" spans="1:35" x14ac:dyDescent="0.2">
      <c r="A23" s="645" t="str">
        <f>Input_DI_activity_mapping!B29</f>
        <v>RA08A,RA08A</v>
      </c>
      <c r="B23" s="646">
        <f>Input_DI_activity_mapping!C29</f>
        <v>187984</v>
      </c>
      <c r="C23" s="628"/>
      <c r="D23" s="645" t="s">
        <v>109</v>
      </c>
      <c r="E23" s="646">
        <f t="shared" si="17"/>
        <v>17555</v>
      </c>
      <c r="F23" s="629"/>
      <c r="G23" s="629"/>
      <c r="H23" s="629"/>
      <c r="I23" s="628"/>
      <c r="J23" s="645" t="str">
        <f t="shared" si="22"/>
        <v>RA08A</v>
      </c>
      <c r="K23" s="649" t="str">
        <f t="shared" si="23"/>
        <v>RA08A</v>
      </c>
      <c r="L23" s="649" t="str">
        <f t="shared" si="24"/>
        <v>RA08A</v>
      </c>
      <c r="M23" s="646">
        <f t="shared" si="25"/>
        <v>187984</v>
      </c>
      <c r="N23" s="650">
        <f t="shared" si="18"/>
        <v>0.95155273215054037</v>
      </c>
      <c r="O23" s="651" t="b">
        <f t="shared" si="19"/>
        <v>0</v>
      </c>
      <c r="P23" s="652">
        <f>IF(AND($J23&lt;&gt;"N/A",O23),$N23*VLOOKUP($J23,Input_DI!$D$10:$G$58,P$1-5,FALSE),0)</f>
        <v>0</v>
      </c>
      <c r="Q23" s="653">
        <f t="shared" si="26"/>
        <v>0</v>
      </c>
      <c r="R23" s="654">
        <f t="shared" si="27"/>
        <v>0</v>
      </c>
      <c r="S23" s="628"/>
      <c r="T23" s="659" t="s">
        <v>111</v>
      </c>
      <c r="U23" s="660">
        <f>VLOOKUP($T23,Input_DI!$D$10:$F$58,U$1-10,FALSE)</f>
        <v>256650</v>
      </c>
      <c r="V23" s="661">
        <f>VLOOKUP($T23,Input_DI!$D$10:$F$58,V$1-10,FALSE)</f>
        <v>28388073.9884138</v>
      </c>
      <c r="W23" s="661">
        <f t="shared" si="28"/>
        <v>110.61006814110189</v>
      </c>
      <c r="X23" s="628"/>
      <c r="Y23" s="660">
        <f t="shared" si="20"/>
        <v>247629.14013549997</v>
      </c>
      <c r="Z23" s="662">
        <f t="shared" si="29"/>
        <v>9020.8598645000311</v>
      </c>
      <c r="AA23" s="663">
        <f t="shared" si="21"/>
        <v>26343820.901791725</v>
      </c>
      <c r="AB23" s="663">
        <f t="shared" si="30"/>
        <v>106.38417145646378</v>
      </c>
      <c r="AC23" s="628"/>
      <c r="AD23" s="664">
        <f t="shared" si="35"/>
        <v>-3.5148489633742619E-2</v>
      </c>
      <c r="AE23" s="664">
        <f t="shared" si="36"/>
        <v>-7.2010982057338913E-2</v>
      </c>
      <c r="AF23" s="664">
        <f t="shared" si="33"/>
        <v>-3.8205352873006748E-2</v>
      </c>
      <c r="AG23" s="628"/>
      <c r="AH23" s="658" t="str">
        <f t="shared" si="34"/>
        <v>Yes</v>
      </c>
      <c r="AI23" s="628"/>
    </row>
    <row r="24" spans="1:35" x14ac:dyDescent="0.2">
      <c r="A24" s="645" t="str">
        <f>Input_DI_activity_mapping!B30</f>
        <v>RA08A,RA09A</v>
      </c>
      <c r="B24" s="646">
        <f>Input_DI_activity_mapping!C30</f>
        <v>1</v>
      </c>
      <c r="C24" s="628"/>
      <c r="D24" s="645" t="s">
        <v>111</v>
      </c>
      <c r="E24" s="646">
        <f t="shared" si="17"/>
        <v>58893</v>
      </c>
      <c r="F24" s="629"/>
      <c r="G24" s="629"/>
      <c r="H24" s="629"/>
      <c r="I24" s="628"/>
      <c r="J24" s="645" t="str">
        <f t="shared" si="22"/>
        <v>RA08A</v>
      </c>
      <c r="K24" s="649" t="str">
        <f t="shared" si="23"/>
        <v>RA09A</v>
      </c>
      <c r="L24" s="649" t="str">
        <f t="shared" si="24"/>
        <v>RA09A</v>
      </c>
      <c r="M24" s="646">
        <f t="shared" si="25"/>
        <v>1</v>
      </c>
      <c r="N24" s="650">
        <f t="shared" si="18"/>
        <v>5.0618815013540533E-6</v>
      </c>
      <c r="O24" s="651" t="b">
        <f t="shared" si="19"/>
        <v>0</v>
      </c>
      <c r="P24" s="652">
        <f>IF(AND($J24&lt;&gt;"N/A",O24),$N24*VLOOKUP($J24,Input_DI!$D$10:$G$58,P$1-5,FALSE),0)</f>
        <v>0</v>
      </c>
      <c r="Q24" s="653">
        <f t="shared" si="26"/>
        <v>0</v>
      </c>
      <c r="R24" s="654">
        <f t="shared" si="27"/>
        <v>0</v>
      </c>
      <c r="S24" s="628"/>
      <c r="T24" s="659" t="s">
        <v>115</v>
      </c>
      <c r="U24" s="660">
        <f>VLOOKUP($T24,Input_DI!$D$10:$F$58,U$1-10,FALSE)</f>
        <v>322104</v>
      </c>
      <c r="V24" s="661">
        <f>VLOOKUP($T24,Input_DI!$D$10:$F$58,V$1-10,FALSE)</f>
        <v>39206044.537808903</v>
      </c>
      <c r="W24" s="661">
        <f t="shared" si="28"/>
        <v>121.71858945498629</v>
      </c>
      <c r="X24" s="628"/>
      <c r="Y24" s="660">
        <f t="shared" si="20"/>
        <v>321298.72218411911</v>
      </c>
      <c r="Z24" s="662">
        <f t="shared" si="29"/>
        <v>805.2778158808942</v>
      </c>
      <c r="AA24" s="663">
        <f t="shared" si="21"/>
        <v>39023557.315367825</v>
      </c>
      <c r="AB24" s="663">
        <f t="shared" si="30"/>
        <v>121.45568787231439</v>
      </c>
      <c r="AC24" s="628"/>
      <c r="AD24" s="664">
        <f t="shared" si="35"/>
        <v>-2.5000553109582047E-3</v>
      </c>
      <c r="AE24" s="664">
        <f t="shared" si="36"/>
        <v>-4.654568564423589E-3</v>
      </c>
      <c r="AF24" s="664">
        <f t="shared" si="33"/>
        <v>-2.1599131558218687E-3</v>
      </c>
      <c r="AG24" s="628"/>
      <c r="AH24" s="658" t="str">
        <f t="shared" si="34"/>
        <v>No</v>
      </c>
      <c r="AI24" s="628"/>
    </row>
    <row r="25" spans="1:35" x14ac:dyDescent="0.2">
      <c r="A25" s="645" t="str">
        <f>Input_DI_activity_mapping!B31</f>
        <v>RA08A,RA69Z</v>
      </c>
      <c r="B25" s="646">
        <f>Input_DI_activity_mapping!C31</f>
        <v>9570</v>
      </c>
      <c r="C25" s="628"/>
      <c r="D25" s="645" t="s">
        <v>115</v>
      </c>
      <c r="E25" s="646">
        <f t="shared" si="17"/>
        <v>90398</v>
      </c>
      <c r="F25" s="629"/>
      <c r="G25" s="629"/>
      <c r="H25" s="629"/>
      <c r="I25" s="628"/>
      <c r="J25" s="645" t="str">
        <f t="shared" si="22"/>
        <v>RA08A</v>
      </c>
      <c r="K25" s="649" t="str">
        <f t="shared" si="23"/>
        <v>RA69Z</v>
      </c>
      <c r="L25" s="649" t="str">
        <f t="shared" si="24"/>
        <v>RA69Z</v>
      </c>
      <c r="M25" s="646">
        <f t="shared" si="25"/>
        <v>9570</v>
      </c>
      <c r="N25" s="650">
        <f t="shared" si="18"/>
        <v>4.8442205967958292E-2</v>
      </c>
      <c r="O25" s="651" t="b">
        <f t="shared" si="19"/>
        <v>1</v>
      </c>
      <c r="P25" s="652">
        <f>IF(AND($J25&lt;&gt;"N/A",O25),$N25*VLOOKUP($J25,Input_DI!$D$10:$G$58,P$1-5,FALSE),0)</f>
        <v>29793.506820885323</v>
      </c>
      <c r="Q25" s="653">
        <f t="shared" si="26"/>
        <v>6751625.5872206977</v>
      </c>
      <c r="R25" s="654">
        <f t="shared" si="27"/>
        <v>226.61399437839225</v>
      </c>
      <c r="S25" s="628"/>
      <c r="T25" s="649" t="s">
        <v>117</v>
      </c>
      <c r="U25" s="655">
        <f>VLOOKUP($T25,Input_DI!$D$10:$F$58,U$1-10,FALSE)</f>
        <v>46988</v>
      </c>
      <c r="V25" s="665">
        <f>VLOOKUP($T25,Input_DI!$D$10:$F$58,V$1-10,FALSE)</f>
        <v>6360658.1041094996</v>
      </c>
      <c r="W25" s="665">
        <f t="shared" si="28"/>
        <v>135.36771312057334</v>
      </c>
      <c r="X25" s="628"/>
      <c r="Y25" s="655">
        <f t="shared" si="20"/>
        <v>46977.678260232846</v>
      </c>
      <c r="Z25" s="652">
        <f t="shared" si="29"/>
        <v>10.321739767154213</v>
      </c>
      <c r="AA25" s="656">
        <f t="shared" si="21"/>
        <v>6358319.053431931</v>
      </c>
      <c r="AB25" s="656">
        <f t="shared" si="30"/>
        <v>135.34766486777025</v>
      </c>
      <c r="AC25" s="628"/>
      <c r="AD25" s="657">
        <f t="shared" si="35"/>
        <v>-2.1966756974445278E-4</v>
      </c>
      <c r="AE25" s="657">
        <f t="shared" si="36"/>
        <v>-3.6773721198080089E-4</v>
      </c>
      <c r="AF25" s="657">
        <f t="shared" si="33"/>
        <v>-1.4810217548133497E-4</v>
      </c>
      <c r="AG25" s="628"/>
      <c r="AH25" s="658" t="str">
        <f t="shared" si="34"/>
        <v>No</v>
      </c>
      <c r="AI25" s="628"/>
    </row>
    <row r="26" spans="1:35" x14ac:dyDescent="0.2">
      <c r="A26" s="645" t="str">
        <f>Input_DI_activity_mapping!B32</f>
        <v>RA08B,RA08B</v>
      </c>
      <c r="B26" s="646">
        <f>Input_DI_activity_mapping!C32</f>
        <v>5185</v>
      </c>
      <c r="C26" s="628"/>
      <c r="D26" s="645" t="s">
        <v>117</v>
      </c>
      <c r="E26" s="646">
        <f t="shared" si="17"/>
        <v>13657</v>
      </c>
      <c r="F26" s="629"/>
      <c r="G26" s="629"/>
      <c r="H26" s="629"/>
      <c r="I26" s="628"/>
      <c r="J26" s="645" t="str">
        <f t="shared" si="22"/>
        <v>RA08B</v>
      </c>
      <c r="K26" s="649" t="str">
        <f t="shared" si="23"/>
        <v>RA08B</v>
      </c>
      <c r="L26" s="649" t="str">
        <f t="shared" si="24"/>
        <v>RA08B</v>
      </c>
      <c r="M26" s="646">
        <f t="shared" si="25"/>
        <v>5185</v>
      </c>
      <c r="N26" s="650">
        <f t="shared" si="18"/>
        <v>0.99961442066705219</v>
      </c>
      <c r="O26" s="651" t="b">
        <f t="shared" si="19"/>
        <v>0</v>
      </c>
      <c r="P26" s="652">
        <f>IF(AND($J26&lt;&gt;"N/A",O26),$N26*VLOOKUP($J26,Input_DI!$D$10:$G$58,P$1-5,FALSE),0)</f>
        <v>0</v>
      </c>
      <c r="Q26" s="653">
        <f t="shared" si="26"/>
        <v>0</v>
      </c>
      <c r="R26" s="654">
        <f t="shared" si="27"/>
        <v>0</v>
      </c>
      <c r="S26" s="628"/>
      <c r="T26" s="649" t="s">
        <v>119</v>
      </c>
      <c r="U26" s="655">
        <f>VLOOKUP($T26,Input_DI!$D$10:$F$58,U$1-10,FALSE)</f>
        <v>250053</v>
      </c>
      <c r="V26" s="665">
        <f>VLOOKUP($T26,Input_DI!$D$10:$F$58,V$1-10,FALSE)</f>
        <v>16248267.0509503</v>
      </c>
      <c r="W26" s="665">
        <f t="shared" si="28"/>
        <v>64.979292593771319</v>
      </c>
      <c r="X26" s="628"/>
      <c r="Y26" s="655">
        <f t="shared" si="20"/>
        <v>250053</v>
      </c>
      <c r="Z26" s="652">
        <f t="shared" si="29"/>
        <v>0</v>
      </c>
      <c r="AA26" s="656">
        <f t="shared" si="21"/>
        <v>16248267.0509503</v>
      </c>
      <c r="AB26" s="656">
        <f t="shared" si="30"/>
        <v>64.979292593771319</v>
      </c>
      <c r="AC26" s="628"/>
      <c r="AD26" s="657">
        <f t="shared" si="35"/>
        <v>0</v>
      </c>
      <c r="AE26" s="657">
        <f t="shared" si="36"/>
        <v>0</v>
      </c>
      <c r="AF26" s="657">
        <f t="shared" si="33"/>
        <v>0</v>
      </c>
      <c r="AG26" s="628"/>
      <c r="AH26" s="658" t="str">
        <f t="shared" si="34"/>
        <v>No</v>
      </c>
      <c r="AI26" s="628"/>
    </row>
    <row r="27" spans="1:35" x14ac:dyDescent="0.2">
      <c r="A27" s="645" t="str">
        <f>Input_DI_activity_mapping!B33</f>
        <v>RA08B,RA69Z</v>
      </c>
      <c r="B27" s="646">
        <f>Input_DI_activity_mapping!C33</f>
        <v>2</v>
      </c>
      <c r="C27" s="628"/>
      <c r="D27" s="645" t="s">
        <v>119</v>
      </c>
      <c r="E27" s="646">
        <f t="shared" si="17"/>
        <v>81791</v>
      </c>
      <c r="F27" s="629"/>
      <c r="G27" s="629"/>
      <c r="H27" s="629"/>
      <c r="I27" s="628"/>
      <c r="J27" s="645" t="str">
        <f t="shared" si="22"/>
        <v>RA08B</v>
      </c>
      <c r="K27" s="649" t="str">
        <f t="shared" si="23"/>
        <v>RA69Z</v>
      </c>
      <c r="L27" s="649" t="str">
        <f t="shared" si="24"/>
        <v>RA69Z</v>
      </c>
      <c r="M27" s="646">
        <f t="shared" si="25"/>
        <v>2</v>
      </c>
      <c r="N27" s="650">
        <f t="shared" si="18"/>
        <v>3.8557933294775399E-4</v>
      </c>
      <c r="O27" s="651" t="b">
        <f t="shared" si="19"/>
        <v>1</v>
      </c>
      <c r="P27" s="652">
        <f>IF(AND($J27&lt;&gt;"N/A",O27),$N27*VLOOKUP($J27,Input_DI!$D$10:$G$58,P$1-5,FALSE),0)</f>
        <v>5.2369385000963948</v>
      </c>
      <c r="Q27" s="653">
        <f t="shared" si="26"/>
        <v>1186.7635518208303</v>
      </c>
      <c r="R27" s="654">
        <f t="shared" si="27"/>
        <v>226.61399437839225</v>
      </c>
      <c r="S27" s="628"/>
      <c r="T27" s="649" t="s">
        <v>121</v>
      </c>
      <c r="U27" s="655">
        <f>VLOOKUP($T27,Input_DI!$D$10:$F$58,U$1-10,FALSE)</f>
        <v>151215</v>
      </c>
      <c r="V27" s="665">
        <f>VLOOKUP($T27,Input_DI!$D$10:$F$58,V$1-10,FALSE)</f>
        <v>13670126.1867694</v>
      </c>
      <c r="W27" s="665">
        <f t="shared" si="28"/>
        <v>90.401919034284958</v>
      </c>
      <c r="X27" s="628"/>
      <c r="Y27" s="655">
        <f t="shared" si="20"/>
        <v>151215</v>
      </c>
      <c r="Z27" s="652">
        <f t="shared" si="29"/>
        <v>0</v>
      </c>
      <c r="AA27" s="656">
        <f t="shared" si="21"/>
        <v>13670126.1867694</v>
      </c>
      <c r="AB27" s="656">
        <f t="shared" si="30"/>
        <v>90.401919034284958</v>
      </c>
      <c r="AC27" s="628"/>
      <c r="AD27" s="657">
        <f t="shared" si="35"/>
        <v>0</v>
      </c>
      <c r="AE27" s="657">
        <f t="shared" si="36"/>
        <v>0</v>
      </c>
      <c r="AF27" s="657">
        <f t="shared" si="33"/>
        <v>0</v>
      </c>
      <c r="AG27" s="628"/>
      <c r="AH27" s="658" t="str">
        <f t="shared" si="34"/>
        <v>No</v>
      </c>
      <c r="AI27" s="628"/>
    </row>
    <row r="28" spans="1:35" x14ac:dyDescent="0.2">
      <c r="A28" s="645" t="str">
        <f>Input_DI_activity_mapping!B34</f>
        <v>RA08C,RA08C</v>
      </c>
      <c r="B28" s="646">
        <f>Input_DI_activity_mapping!C34</f>
        <v>1000</v>
      </c>
      <c r="C28" s="628"/>
      <c r="D28" s="645" t="s">
        <v>121</v>
      </c>
      <c r="E28" s="646">
        <f t="shared" si="17"/>
        <v>48277</v>
      </c>
      <c r="F28" s="629"/>
      <c r="G28" s="629"/>
      <c r="H28" s="629"/>
      <c r="I28" s="628"/>
      <c r="J28" s="645" t="str">
        <f t="shared" si="22"/>
        <v>RA08C</v>
      </c>
      <c r="K28" s="649" t="str">
        <f t="shared" si="23"/>
        <v>RA08C</v>
      </c>
      <c r="L28" s="649" t="str">
        <f t="shared" si="24"/>
        <v>RA08C</v>
      </c>
      <c r="M28" s="646">
        <f t="shared" si="25"/>
        <v>1000</v>
      </c>
      <c r="N28" s="650">
        <f t="shared" si="18"/>
        <v>1</v>
      </c>
      <c r="O28" s="651" t="b">
        <f t="shared" si="19"/>
        <v>0</v>
      </c>
      <c r="P28" s="652">
        <f>IF(AND($J28&lt;&gt;"N/A",O28),$N28*VLOOKUP($J28,Input_DI!$D$10:$G$58,P$1-5,FALSE),0)</f>
        <v>0</v>
      </c>
      <c r="Q28" s="653">
        <f t="shared" si="26"/>
        <v>0</v>
      </c>
      <c r="R28" s="654">
        <f t="shared" si="27"/>
        <v>0</v>
      </c>
      <c r="S28" s="628"/>
      <c r="T28" s="649" t="s">
        <v>123</v>
      </c>
      <c r="U28" s="655">
        <f>VLOOKUP($T28,Input_DI!$D$10:$F$58,U$1-10,FALSE)</f>
        <v>75452</v>
      </c>
      <c r="V28" s="665">
        <f>VLOOKUP($T28,Input_DI!$D$10:$F$58,V$1-10,FALSE)</f>
        <v>10215474.428631</v>
      </c>
      <c r="W28" s="665">
        <f t="shared" si="28"/>
        <v>135.39037306673117</v>
      </c>
      <c r="X28" s="628"/>
      <c r="Y28" s="655">
        <f t="shared" si="20"/>
        <v>75452</v>
      </c>
      <c r="Z28" s="652">
        <f t="shared" si="29"/>
        <v>0</v>
      </c>
      <c r="AA28" s="656">
        <f t="shared" si="21"/>
        <v>10215474.428631</v>
      </c>
      <c r="AB28" s="656">
        <f t="shared" si="30"/>
        <v>135.39037306673117</v>
      </c>
      <c r="AC28" s="628"/>
      <c r="AD28" s="657">
        <f t="shared" si="35"/>
        <v>0</v>
      </c>
      <c r="AE28" s="657">
        <f t="shared" si="36"/>
        <v>0</v>
      </c>
      <c r="AF28" s="657">
        <f t="shared" si="33"/>
        <v>0</v>
      </c>
      <c r="AG28" s="628"/>
      <c r="AH28" s="658" t="str">
        <f t="shared" si="34"/>
        <v>No</v>
      </c>
      <c r="AI28" s="628"/>
    </row>
    <row r="29" spans="1:35" x14ac:dyDescent="0.2">
      <c r="A29" s="645" t="str">
        <f>Input_DI_activity_mapping!B35</f>
        <v>RA09A,RA09A</v>
      </c>
      <c r="B29" s="646">
        <f>Input_DI_activity_mapping!C35</f>
        <v>47794</v>
      </c>
      <c r="C29" s="628"/>
      <c r="D29" s="645" t="s">
        <v>123</v>
      </c>
      <c r="E29" s="646">
        <f t="shared" si="17"/>
        <v>2022</v>
      </c>
      <c r="F29" s="629"/>
      <c r="G29" s="629"/>
      <c r="H29" s="629"/>
      <c r="I29" s="628"/>
      <c r="J29" s="645" t="str">
        <f t="shared" si="22"/>
        <v>RA09A</v>
      </c>
      <c r="K29" s="649" t="str">
        <f t="shared" si="23"/>
        <v>RA09A</v>
      </c>
      <c r="L29" s="649" t="str">
        <f t="shared" si="24"/>
        <v>RA09A</v>
      </c>
      <c r="M29" s="646">
        <f t="shared" si="25"/>
        <v>47794</v>
      </c>
      <c r="N29" s="650">
        <f t="shared" si="18"/>
        <v>0.96518437739811791</v>
      </c>
      <c r="O29" s="651" t="b">
        <f t="shared" si="19"/>
        <v>0</v>
      </c>
      <c r="P29" s="652">
        <f>IF(AND($J29&lt;&gt;"N/A",O29),$N29*VLOOKUP($J29,Input_DI!$D$10:$G$58,P$1-5,FALSE),0)</f>
        <v>0</v>
      </c>
      <c r="Q29" s="653">
        <f t="shared" si="26"/>
        <v>0</v>
      </c>
      <c r="R29" s="654">
        <f t="shared" si="27"/>
        <v>0</v>
      </c>
      <c r="S29" s="628"/>
      <c r="T29" s="649" t="s">
        <v>125</v>
      </c>
      <c r="U29" s="655">
        <f>VLOOKUP($T29,Input_DI!$D$10:$F$58,U$1-10,FALSE)</f>
        <v>33057</v>
      </c>
      <c r="V29" s="665">
        <f>VLOOKUP($T29,Input_DI!$D$10:$F$58,V$1-10,FALSE)</f>
        <v>6051361.8957281299</v>
      </c>
      <c r="W29" s="665">
        <f t="shared" si="28"/>
        <v>183.05841109986176</v>
      </c>
      <c r="X29" s="628"/>
      <c r="Y29" s="655">
        <f t="shared" si="20"/>
        <v>33057</v>
      </c>
      <c r="Z29" s="652">
        <f t="shared" si="29"/>
        <v>0</v>
      </c>
      <c r="AA29" s="656">
        <f t="shared" si="21"/>
        <v>6051361.8957281299</v>
      </c>
      <c r="AB29" s="656">
        <f t="shared" si="30"/>
        <v>183.05841109986176</v>
      </c>
      <c r="AC29" s="628"/>
      <c r="AD29" s="657">
        <f t="shared" si="35"/>
        <v>0</v>
      </c>
      <c r="AE29" s="657">
        <f t="shared" si="36"/>
        <v>0</v>
      </c>
      <c r="AF29" s="657">
        <f t="shared" si="33"/>
        <v>0</v>
      </c>
      <c r="AG29" s="628"/>
      <c r="AH29" s="658" t="str">
        <f t="shared" si="34"/>
        <v>No</v>
      </c>
      <c r="AI29" s="628"/>
    </row>
    <row r="30" spans="1:35" x14ac:dyDescent="0.2">
      <c r="A30" s="645" t="str">
        <f>Input_DI_activity_mapping!B36</f>
        <v>RA09A,RA69Z</v>
      </c>
      <c r="B30" s="646">
        <f>Input_DI_activity_mapping!C36</f>
        <v>1724</v>
      </c>
      <c r="C30" s="628"/>
      <c r="D30" s="645" t="s">
        <v>125</v>
      </c>
      <c r="E30" s="646">
        <f t="shared" si="17"/>
        <v>305</v>
      </c>
      <c r="F30" s="629"/>
      <c r="G30" s="629"/>
      <c r="H30" s="629"/>
      <c r="I30" s="628"/>
      <c r="J30" s="645" t="str">
        <f t="shared" si="22"/>
        <v>RA09A</v>
      </c>
      <c r="K30" s="649" t="str">
        <f t="shared" si="23"/>
        <v>RA69Z</v>
      </c>
      <c r="L30" s="649" t="str">
        <f t="shared" si="24"/>
        <v>RA69Z</v>
      </c>
      <c r="M30" s="646">
        <f t="shared" si="25"/>
        <v>1724</v>
      </c>
      <c r="N30" s="650">
        <f t="shared" si="18"/>
        <v>3.4815622601882146E-2</v>
      </c>
      <c r="O30" s="651" t="b">
        <f t="shared" si="19"/>
        <v>1</v>
      </c>
      <c r="P30" s="652">
        <f>IF(AND($J30&lt;&gt;"N/A",O30),$N30*VLOOKUP($J30,Input_DI!$D$10:$G$58,P$1-5,FALSE),0)</f>
        <v>8435.3727533422189</v>
      </c>
      <c r="Q30" s="653">
        <f t="shared" si="26"/>
        <v>1911573.5137055367</v>
      </c>
      <c r="R30" s="654">
        <f t="shared" si="27"/>
        <v>226.61399437839225</v>
      </c>
      <c r="S30" s="628"/>
      <c r="T30" s="649" t="s">
        <v>172</v>
      </c>
      <c r="U30" s="655">
        <f>VLOOKUP($T30,Input_DI!$D$10:$F$58,U$1-10,FALSE)</f>
        <v>1924</v>
      </c>
      <c r="V30" s="665">
        <f>VLOOKUP($T30,Input_DI!$D$10:$F$58,V$1-10,FALSE)</f>
        <v>126794.41565815599</v>
      </c>
      <c r="W30" s="665">
        <f t="shared" si="28"/>
        <v>65.901463439790021</v>
      </c>
      <c r="X30" s="628"/>
      <c r="Y30" s="655">
        <f t="shared" si="20"/>
        <v>1924</v>
      </c>
      <c r="Z30" s="652">
        <f t="shared" si="29"/>
        <v>0</v>
      </c>
      <c r="AA30" s="656">
        <f t="shared" si="21"/>
        <v>126794.41565815599</v>
      </c>
      <c r="AB30" s="656">
        <f t="shared" si="30"/>
        <v>65.901463439790021</v>
      </c>
      <c r="AC30" s="628"/>
      <c r="AD30" s="657">
        <f t="shared" si="35"/>
        <v>0</v>
      </c>
      <c r="AE30" s="657">
        <f t="shared" si="36"/>
        <v>0</v>
      </c>
      <c r="AF30" s="657">
        <f t="shared" si="33"/>
        <v>0</v>
      </c>
      <c r="AG30" s="628"/>
      <c r="AH30" s="658" t="str">
        <f t="shared" si="34"/>
        <v>No</v>
      </c>
      <c r="AI30" s="628"/>
    </row>
    <row r="31" spans="1:35" x14ac:dyDescent="0.2">
      <c r="A31" s="645" t="str">
        <f>Input_DI_activity_mapping!B37</f>
        <v>RA09B,RA09B</v>
      </c>
      <c r="B31" s="646">
        <f>Input_DI_activity_mapping!C37</f>
        <v>486</v>
      </c>
      <c r="C31" s="628"/>
      <c r="D31" s="645" t="s">
        <v>172</v>
      </c>
      <c r="E31" s="646">
        <f t="shared" si="17"/>
        <v>0</v>
      </c>
      <c r="F31" s="629"/>
      <c r="G31" s="629"/>
      <c r="H31" s="629"/>
      <c r="I31" s="628"/>
      <c r="J31" s="645" t="str">
        <f t="shared" si="22"/>
        <v>RA09B</v>
      </c>
      <c r="K31" s="649" t="str">
        <f t="shared" si="23"/>
        <v>RA09B</v>
      </c>
      <c r="L31" s="649" t="str">
        <f t="shared" si="24"/>
        <v>RA09B</v>
      </c>
      <c r="M31" s="646">
        <f t="shared" si="25"/>
        <v>486</v>
      </c>
      <c r="N31" s="650">
        <f t="shared" si="18"/>
        <v>1</v>
      </c>
      <c r="O31" s="651" t="b">
        <f t="shared" si="19"/>
        <v>0</v>
      </c>
      <c r="P31" s="652">
        <f>IF(AND($J31&lt;&gt;"N/A",O31),$N31*VLOOKUP($J31,Input_DI!$D$10:$G$58,P$1-5,FALSE),0)</f>
        <v>0</v>
      </c>
      <c r="Q31" s="653">
        <f t="shared" si="26"/>
        <v>0</v>
      </c>
      <c r="R31" s="654">
        <f t="shared" si="27"/>
        <v>0</v>
      </c>
      <c r="S31" s="628"/>
      <c r="T31" s="649" t="s">
        <v>173</v>
      </c>
      <c r="U31" s="655">
        <f>VLOOKUP($T31,Input_DI!$D$10:$F$58,U$1-10,FALSE)</f>
        <v>1857</v>
      </c>
      <c r="V31" s="665">
        <f>VLOOKUP($T31,Input_DI!$D$10:$F$58,V$1-10,FALSE)</f>
        <v>217093.79842191201</v>
      </c>
      <c r="W31" s="665">
        <f t="shared" si="28"/>
        <v>116.90565343129349</v>
      </c>
      <c r="X31" s="628"/>
      <c r="Y31" s="655">
        <f t="shared" si="20"/>
        <v>1857</v>
      </c>
      <c r="Z31" s="652">
        <f t="shared" si="29"/>
        <v>0</v>
      </c>
      <c r="AA31" s="656">
        <f t="shared" si="21"/>
        <v>217093.79842191201</v>
      </c>
      <c r="AB31" s="656">
        <f t="shared" si="30"/>
        <v>116.90565343129349</v>
      </c>
      <c r="AC31" s="628"/>
      <c r="AD31" s="657">
        <f t="shared" si="35"/>
        <v>0</v>
      </c>
      <c r="AE31" s="657">
        <f t="shared" si="36"/>
        <v>0</v>
      </c>
      <c r="AF31" s="657">
        <f t="shared" si="33"/>
        <v>0</v>
      </c>
      <c r="AG31" s="628"/>
      <c r="AH31" s="658" t="str">
        <f t="shared" si="34"/>
        <v>No</v>
      </c>
      <c r="AI31" s="628"/>
    </row>
    <row r="32" spans="1:35" x14ac:dyDescent="0.2">
      <c r="A32" s="645" t="str">
        <f>Input_DI_activity_mapping!B38</f>
        <v>RA09C,RA09C</v>
      </c>
      <c r="B32" s="646">
        <f>Input_DI_activity_mapping!C38</f>
        <v>107</v>
      </c>
      <c r="C32" s="628"/>
      <c r="D32" s="645" t="s">
        <v>173</v>
      </c>
      <c r="E32" s="646">
        <f t="shared" si="17"/>
        <v>0</v>
      </c>
      <c r="F32" s="629"/>
      <c r="G32" s="629"/>
      <c r="H32" s="629"/>
      <c r="I32" s="628"/>
      <c r="J32" s="645" t="str">
        <f t="shared" si="22"/>
        <v>RA09C</v>
      </c>
      <c r="K32" s="649" t="str">
        <f t="shared" si="23"/>
        <v>RA09C</v>
      </c>
      <c r="L32" s="649" t="str">
        <f t="shared" si="24"/>
        <v>RA09C</v>
      </c>
      <c r="M32" s="646">
        <f t="shared" si="25"/>
        <v>107</v>
      </c>
      <c r="N32" s="650">
        <f t="shared" si="18"/>
        <v>1</v>
      </c>
      <c r="O32" s="651" t="b">
        <f t="shared" si="19"/>
        <v>0</v>
      </c>
      <c r="P32" s="652">
        <f>IF(AND($J32&lt;&gt;"N/A",O32),$N32*VLOOKUP($J32,Input_DI!$D$10:$G$58,P$1-5,FALSE),0)</f>
        <v>0</v>
      </c>
      <c r="Q32" s="653">
        <f t="shared" si="26"/>
        <v>0</v>
      </c>
      <c r="R32" s="654">
        <f t="shared" si="27"/>
        <v>0</v>
      </c>
      <c r="S32" s="628"/>
      <c r="T32" s="649" t="s">
        <v>174</v>
      </c>
      <c r="U32" s="655">
        <f>VLOOKUP($T32,Input_DI!$D$10:$F$58,U$1-10,FALSE)</f>
        <v>4200</v>
      </c>
      <c r="V32" s="665">
        <f>VLOOKUP($T32,Input_DI!$D$10:$F$58,V$1-10,FALSE)</f>
        <v>563062.30534508696</v>
      </c>
      <c r="W32" s="665">
        <f t="shared" si="28"/>
        <v>134.06245365359214</v>
      </c>
      <c r="X32" s="628"/>
      <c r="Y32" s="655">
        <f t="shared" si="20"/>
        <v>4200</v>
      </c>
      <c r="Z32" s="652">
        <f t="shared" si="29"/>
        <v>0</v>
      </c>
      <c r="AA32" s="656">
        <f t="shared" si="21"/>
        <v>563062.30534508696</v>
      </c>
      <c r="AB32" s="656">
        <f t="shared" si="30"/>
        <v>134.06245365359214</v>
      </c>
      <c r="AC32" s="628"/>
      <c r="AD32" s="657">
        <f t="shared" si="35"/>
        <v>0</v>
      </c>
      <c r="AE32" s="657">
        <f t="shared" si="36"/>
        <v>0</v>
      </c>
      <c r="AF32" s="657">
        <f t="shared" si="33"/>
        <v>0</v>
      </c>
      <c r="AG32" s="628"/>
      <c r="AH32" s="658" t="str">
        <f t="shared" si="34"/>
        <v>No</v>
      </c>
      <c r="AI32" s="628"/>
    </row>
    <row r="33" spans="1:35" x14ac:dyDescent="0.2">
      <c r="A33" s="645" t="str">
        <f>Input_DI_activity_mapping!B39</f>
        <v>RA10Z,RA10Z</v>
      </c>
      <c r="B33" s="646">
        <f>Input_DI_activity_mapping!C39</f>
        <v>1563</v>
      </c>
      <c r="C33" s="628"/>
      <c r="D33" s="645" t="s">
        <v>174</v>
      </c>
      <c r="E33" s="646">
        <f t="shared" si="17"/>
        <v>0</v>
      </c>
      <c r="F33" s="629"/>
      <c r="G33" s="629"/>
      <c r="H33" s="629"/>
      <c r="I33" s="628"/>
      <c r="J33" s="645" t="str">
        <f t="shared" si="22"/>
        <v>RA10Z</v>
      </c>
      <c r="K33" s="649" t="str">
        <f t="shared" si="23"/>
        <v>RA10Z</v>
      </c>
      <c r="L33" s="649" t="str">
        <f t="shared" si="24"/>
        <v>RA10Z</v>
      </c>
      <c r="M33" s="646">
        <f t="shared" si="25"/>
        <v>1563</v>
      </c>
      <c r="N33" s="650">
        <f t="shared" si="18"/>
        <v>0.99112238427393784</v>
      </c>
      <c r="O33" s="651" t="b">
        <f t="shared" si="19"/>
        <v>0</v>
      </c>
      <c r="P33" s="652">
        <f>IF(AND($J33&lt;&gt;"N/A",O33),$N33*VLOOKUP($J33,Input_DI!$D$10:$G$58,P$1-5,FALSE),0)</f>
        <v>0</v>
      </c>
      <c r="Q33" s="653">
        <f t="shared" si="26"/>
        <v>0</v>
      </c>
      <c r="R33" s="654">
        <f t="shared" si="27"/>
        <v>0</v>
      </c>
      <c r="S33" s="628"/>
      <c r="T33" s="649" t="s">
        <v>127</v>
      </c>
      <c r="U33" s="655">
        <f>VLOOKUP($T33,Input_DI!$D$10:$F$58,U$1-10,FALSE)</f>
        <v>3758253</v>
      </c>
      <c r="V33" s="665">
        <f>VLOOKUP($T33,Input_DI!$D$10:$F$58,V$1-10,FALSE)</f>
        <v>170310872.40760499</v>
      </c>
      <c r="W33" s="665">
        <f t="shared" si="28"/>
        <v>45.316500088632935</v>
      </c>
      <c r="X33" s="628"/>
      <c r="Y33" s="655">
        <f t="shared" si="20"/>
        <v>3758249.3502149615</v>
      </c>
      <c r="Z33" s="652">
        <f t="shared" si="29"/>
        <v>3.649785038549453</v>
      </c>
      <c r="AA33" s="656">
        <f t="shared" si="21"/>
        <v>170310045.3152388</v>
      </c>
      <c r="AB33" s="656">
        <f t="shared" si="30"/>
        <v>45.316324023443933</v>
      </c>
      <c r="AC33" s="628"/>
      <c r="AD33" s="657">
        <f t="shared" si="35"/>
        <v>-9.711387282118622E-7</v>
      </c>
      <c r="AE33" s="657">
        <f t="shared" si="36"/>
        <v>-4.85636856006888E-6</v>
      </c>
      <c r="AF33" s="657">
        <f t="shared" si="33"/>
        <v>-3.8852336049499669E-6</v>
      </c>
      <c r="AG33" s="628"/>
      <c r="AH33" s="658" t="str">
        <f t="shared" si="34"/>
        <v>No</v>
      </c>
      <c r="AI33" s="628"/>
    </row>
    <row r="34" spans="1:35" x14ac:dyDescent="0.2">
      <c r="A34" s="645" t="str">
        <f>Input_DI_activity_mapping!B40</f>
        <v>RA10Z,RA69Z</v>
      </c>
      <c r="B34" s="646">
        <f>Input_DI_activity_mapping!C40</f>
        <v>14</v>
      </c>
      <c r="C34" s="628"/>
      <c r="D34" s="645" t="s">
        <v>127</v>
      </c>
      <c r="E34" s="646">
        <f t="shared" si="17"/>
        <v>1029719</v>
      </c>
      <c r="F34" s="629"/>
      <c r="G34" s="629"/>
      <c r="H34" s="629"/>
      <c r="I34" s="628"/>
      <c r="J34" s="645" t="str">
        <f t="shared" si="22"/>
        <v>RA10Z</v>
      </c>
      <c r="K34" s="649" t="str">
        <f t="shared" si="23"/>
        <v>RA69Z</v>
      </c>
      <c r="L34" s="649" t="str">
        <f t="shared" si="24"/>
        <v>RA69Z</v>
      </c>
      <c r="M34" s="646">
        <f t="shared" si="25"/>
        <v>14</v>
      </c>
      <c r="N34" s="650">
        <f t="shared" si="18"/>
        <v>8.8776157260621429E-3</v>
      </c>
      <c r="O34" s="651" t="b">
        <f t="shared" si="19"/>
        <v>1</v>
      </c>
      <c r="P34" s="652">
        <f>IF(AND($J34&lt;&gt;"N/A",O34),$N34*VLOOKUP($J34,Input_DI!$D$10:$G$58,P$1-5,FALSE),0)</f>
        <v>847.35954343690548</v>
      </c>
      <c r="Q34" s="653">
        <f t="shared" si="26"/>
        <v>192023.53081288791</v>
      </c>
      <c r="R34" s="654">
        <f t="shared" si="27"/>
        <v>226.61399437839225</v>
      </c>
      <c r="S34" s="628"/>
      <c r="T34" s="649" t="s">
        <v>129</v>
      </c>
      <c r="U34" s="655">
        <f>VLOOKUP($T34,Input_DI!$D$10:$F$58,U$1-10,FALSE)</f>
        <v>1099632</v>
      </c>
      <c r="V34" s="665">
        <f>VLOOKUP($T34,Input_DI!$D$10:$F$58,V$1-10,FALSE)</f>
        <v>61041007.4753858</v>
      </c>
      <c r="W34" s="665">
        <f t="shared" si="28"/>
        <v>55.510395728194339</v>
      </c>
      <c r="X34" s="628"/>
      <c r="Y34" s="655">
        <f t="shared" si="20"/>
        <v>1099632</v>
      </c>
      <c r="Z34" s="652">
        <f t="shared" si="29"/>
        <v>0</v>
      </c>
      <c r="AA34" s="656">
        <f t="shared" si="21"/>
        <v>61041007.4753858</v>
      </c>
      <c r="AB34" s="656">
        <f t="shared" si="30"/>
        <v>55.510395728194339</v>
      </c>
      <c r="AC34" s="628"/>
      <c r="AD34" s="657">
        <f t="shared" si="35"/>
        <v>0</v>
      </c>
      <c r="AE34" s="657">
        <f t="shared" si="36"/>
        <v>0</v>
      </c>
      <c r="AF34" s="657">
        <f t="shared" si="33"/>
        <v>0</v>
      </c>
      <c r="AG34" s="628"/>
      <c r="AH34" s="658" t="str">
        <f t="shared" si="34"/>
        <v>No</v>
      </c>
      <c r="AI34" s="628"/>
    </row>
    <row r="35" spans="1:35" x14ac:dyDescent="0.2">
      <c r="A35" s="645" t="str">
        <f>Input_DI_activity_mapping!B41</f>
        <v>RA11Z,RA08A</v>
      </c>
      <c r="B35" s="646">
        <f>Input_DI_activity_mapping!C41</f>
        <v>5</v>
      </c>
      <c r="C35" s="628"/>
      <c r="D35" s="645" t="s">
        <v>129</v>
      </c>
      <c r="E35" s="646">
        <f t="shared" si="17"/>
        <v>40023</v>
      </c>
      <c r="F35" s="629"/>
      <c r="G35" s="629"/>
      <c r="H35" s="629"/>
      <c r="I35" s="628"/>
      <c r="J35" s="645" t="str">
        <f t="shared" si="22"/>
        <v>RA11Z</v>
      </c>
      <c r="K35" s="649" t="str">
        <f t="shared" si="23"/>
        <v>RA08A</v>
      </c>
      <c r="L35" s="649" t="str">
        <f t="shared" si="24"/>
        <v>RA08A</v>
      </c>
      <c r="M35" s="646">
        <f t="shared" si="25"/>
        <v>5</v>
      </c>
      <c r="N35" s="650">
        <f t="shared" si="18"/>
        <v>2.8481913984619768E-4</v>
      </c>
      <c r="O35" s="651" t="b">
        <f t="shared" si="19"/>
        <v>0</v>
      </c>
      <c r="P35" s="652">
        <f>IF(AND($J35&lt;&gt;"N/A",O35),$N35*VLOOKUP($J35,Input_DI!$D$10:$G$58,P$1-5,FALSE),0)</f>
        <v>0</v>
      </c>
      <c r="Q35" s="653">
        <f t="shared" si="26"/>
        <v>0</v>
      </c>
      <c r="R35" s="654">
        <f t="shared" si="27"/>
        <v>0</v>
      </c>
      <c r="S35" s="628"/>
      <c r="T35" s="649" t="s">
        <v>175</v>
      </c>
      <c r="U35" s="655">
        <f>VLOOKUP($T35,Input_DI!$D$10:$F$58,U$1-10,FALSE)</f>
        <v>6488</v>
      </c>
      <c r="V35" s="665">
        <f>VLOOKUP($T35,Input_DI!$D$10:$F$58,V$1-10,FALSE)</f>
        <v>450367.536109915</v>
      </c>
      <c r="W35" s="665">
        <f t="shared" si="28"/>
        <v>69.415464875141026</v>
      </c>
      <c r="X35" s="628"/>
      <c r="Y35" s="655">
        <f t="shared" si="20"/>
        <v>6488</v>
      </c>
      <c r="Z35" s="652">
        <f t="shared" si="29"/>
        <v>0</v>
      </c>
      <c r="AA35" s="656">
        <f t="shared" si="21"/>
        <v>450367.536109915</v>
      </c>
      <c r="AB35" s="656">
        <f t="shared" si="30"/>
        <v>69.415464875141026</v>
      </c>
      <c r="AC35" s="628"/>
      <c r="AD35" s="657">
        <f t="shared" si="35"/>
        <v>0</v>
      </c>
      <c r="AE35" s="657">
        <f t="shared" si="36"/>
        <v>0</v>
      </c>
      <c r="AF35" s="657">
        <f t="shared" si="33"/>
        <v>0</v>
      </c>
      <c r="AG35" s="628"/>
      <c r="AH35" s="658" t="str">
        <f t="shared" si="34"/>
        <v>No</v>
      </c>
      <c r="AI35" s="628"/>
    </row>
    <row r="36" spans="1:35" x14ac:dyDescent="0.2">
      <c r="A36" s="645" t="str">
        <f>Input_DI_activity_mapping!B42</f>
        <v>RA11Z,RA11Z</v>
      </c>
      <c r="B36" s="646">
        <f>Input_DI_activity_mapping!C42</f>
        <v>17335</v>
      </c>
      <c r="C36" s="628"/>
      <c r="D36" s="645" t="s">
        <v>175</v>
      </c>
      <c r="E36" s="646">
        <f t="shared" ref="E36:E53" si="37">SUMIF($J$4:$J$71,$D36,$M$4:$M$71)</f>
        <v>713</v>
      </c>
      <c r="F36" s="629"/>
      <c r="G36" s="629"/>
      <c r="H36" s="629"/>
      <c r="I36" s="628"/>
      <c r="J36" s="645" t="str">
        <f t="shared" si="22"/>
        <v>RA11Z</v>
      </c>
      <c r="K36" s="649" t="str">
        <f t="shared" si="23"/>
        <v>RA11Z</v>
      </c>
      <c r="L36" s="649" t="str">
        <f t="shared" si="24"/>
        <v>RA11Z</v>
      </c>
      <c r="M36" s="646">
        <f t="shared" si="25"/>
        <v>17335</v>
      </c>
      <c r="N36" s="650">
        <f t="shared" ref="N36:N67" si="38">M36/VLOOKUP($J36,$D$4:$E$53,2,FALSE)</f>
        <v>0.98746795784676733</v>
      </c>
      <c r="O36" s="651" t="b">
        <f t="shared" ref="O36:O68" si="39">L36=$O$3</f>
        <v>0</v>
      </c>
      <c r="P36" s="652">
        <f>IF(AND($J36&lt;&gt;"N/A",O36),$N36*VLOOKUP($J36,Input_DI!$D$10:$G$58,P$1-5,FALSE),0)</f>
        <v>0</v>
      </c>
      <c r="Q36" s="653">
        <f t="shared" si="26"/>
        <v>0</v>
      </c>
      <c r="R36" s="654">
        <f t="shared" si="27"/>
        <v>0</v>
      </c>
      <c r="S36" s="628"/>
      <c r="T36" s="649" t="s">
        <v>176</v>
      </c>
      <c r="U36" s="655">
        <f>VLOOKUP($T36,Input_DI!$D$10:$F$58,U$1-10,FALSE)</f>
        <v>23202</v>
      </c>
      <c r="V36" s="665">
        <f>VLOOKUP($T36,Input_DI!$D$10:$F$58,V$1-10,FALSE)</f>
        <v>2228709.3933224999</v>
      </c>
      <c r="W36" s="665">
        <f t="shared" si="28"/>
        <v>96.056779300168088</v>
      </c>
      <c r="X36" s="628"/>
      <c r="Y36" s="655">
        <f t="shared" ref="Y36:Y52" si="40">U36-SUMIF($J$4:$J$71,$T36,P$4:P$71)</f>
        <v>23202</v>
      </c>
      <c r="Z36" s="652">
        <f t="shared" si="29"/>
        <v>0</v>
      </c>
      <c r="AA36" s="656">
        <f t="shared" ref="AA36:AA52" si="41">V36-SUMIF($J$4:$J$71,$T36,Q$4:Q$71)</f>
        <v>2228709.3933224999</v>
      </c>
      <c r="AB36" s="656">
        <f t="shared" si="30"/>
        <v>96.056779300168088</v>
      </c>
      <c r="AC36" s="628"/>
      <c r="AD36" s="657">
        <f t="shared" si="35"/>
        <v>0</v>
      </c>
      <c r="AE36" s="657">
        <f t="shared" si="36"/>
        <v>0</v>
      </c>
      <c r="AF36" s="657">
        <f t="shared" si="33"/>
        <v>0</v>
      </c>
      <c r="AG36" s="628"/>
      <c r="AH36" s="658" t="str">
        <f t="shared" si="34"/>
        <v>No</v>
      </c>
      <c r="AI36" s="628"/>
    </row>
    <row r="37" spans="1:35" x14ac:dyDescent="0.2">
      <c r="A37" s="645" t="str">
        <f>Input_DI_activity_mapping!B43</f>
        <v>RA11Z,RA69Z</v>
      </c>
      <c r="B37" s="646">
        <f>Input_DI_activity_mapping!C43</f>
        <v>215</v>
      </c>
      <c r="C37" s="628"/>
      <c r="D37" s="645" t="s">
        <v>176</v>
      </c>
      <c r="E37" s="646">
        <f t="shared" si="37"/>
        <v>0</v>
      </c>
      <c r="F37" s="629"/>
      <c r="G37" s="629"/>
      <c r="H37" s="629"/>
      <c r="I37" s="628"/>
      <c r="J37" s="645" t="str">
        <f t="shared" si="22"/>
        <v>RA11Z</v>
      </c>
      <c r="K37" s="649" t="str">
        <f t="shared" si="23"/>
        <v>RA69Z</v>
      </c>
      <c r="L37" s="649" t="str">
        <f t="shared" si="24"/>
        <v>RA69Z</v>
      </c>
      <c r="M37" s="646">
        <f t="shared" si="25"/>
        <v>215</v>
      </c>
      <c r="N37" s="650">
        <f t="shared" si="38"/>
        <v>1.22472230133865E-2</v>
      </c>
      <c r="O37" s="651" t="b">
        <f t="shared" si="39"/>
        <v>1</v>
      </c>
      <c r="P37" s="652">
        <f>IF(AND($J37&lt;&gt;"N/A",O37),$N37*VLOOKUP($J37,Input_DI!$D$10:$G$58,P$1-5,FALSE),0)</f>
        <v>944.59156935346061</v>
      </c>
      <c r="Q37" s="653">
        <f t="shared" si="26"/>
        <v>214057.66858734185</v>
      </c>
      <c r="R37" s="654">
        <f t="shared" si="27"/>
        <v>226.61399437839225</v>
      </c>
      <c r="S37" s="628"/>
      <c r="T37" s="649" t="s">
        <v>177</v>
      </c>
      <c r="U37" s="655">
        <f>VLOOKUP($T37,Input_DI!$D$10:$F$58,U$1-10,FALSE)</f>
        <v>1557</v>
      </c>
      <c r="V37" s="665">
        <f>VLOOKUP($T37,Input_DI!$D$10:$F$58,V$1-10,FALSE)</f>
        <v>110978.215735523</v>
      </c>
      <c r="W37" s="665">
        <f t="shared" si="28"/>
        <v>71.276952945101485</v>
      </c>
      <c r="X37" s="628"/>
      <c r="Y37" s="655">
        <f t="shared" si="40"/>
        <v>1557</v>
      </c>
      <c r="Z37" s="652">
        <f t="shared" si="29"/>
        <v>0</v>
      </c>
      <c r="AA37" s="656">
        <f t="shared" si="41"/>
        <v>110978.215735523</v>
      </c>
      <c r="AB37" s="656">
        <f t="shared" si="30"/>
        <v>71.276952945101485</v>
      </c>
      <c r="AC37" s="628"/>
      <c r="AD37" s="657">
        <f t="shared" si="35"/>
        <v>0</v>
      </c>
      <c r="AE37" s="657">
        <f t="shared" si="36"/>
        <v>0</v>
      </c>
      <c r="AF37" s="657">
        <f t="shared" si="33"/>
        <v>0</v>
      </c>
      <c r="AG37" s="628"/>
      <c r="AH37" s="658" t="str">
        <f t="shared" si="34"/>
        <v>No</v>
      </c>
      <c r="AI37" s="628"/>
    </row>
    <row r="38" spans="1:35" x14ac:dyDescent="0.2">
      <c r="A38" s="645" t="str">
        <f>Input_DI_activity_mapping!B44</f>
        <v>RA12Z,RA08A</v>
      </c>
      <c r="B38" s="646">
        <f>Input_DI_activity_mapping!C44</f>
        <v>5</v>
      </c>
      <c r="C38" s="628"/>
      <c r="D38" s="645" t="s">
        <v>177</v>
      </c>
      <c r="E38" s="646">
        <f t="shared" si="37"/>
        <v>0</v>
      </c>
      <c r="F38" s="629"/>
      <c r="G38" s="629"/>
      <c r="H38" s="629"/>
      <c r="I38" s="628"/>
      <c r="J38" s="645" t="str">
        <f t="shared" si="22"/>
        <v>RA12Z</v>
      </c>
      <c r="K38" s="649" t="str">
        <f t="shared" si="23"/>
        <v>RA08A</v>
      </c>
      <c r="L38" s="649" t="str">
        <f t="shared" si="24"/>
        <v>RA08A</v>
      </c>
      <c r="M38" s="646">
        <f t="shared" si="25"/>
        <v>5</v>
      </c>
      <c r="N38" s="650">
        <f t="shared" si="38"/>
        <v>8.4899733414837083E-5</v>
      </c>
      <c r="O38" s="651" t="b">
        <f t="shared" si="39"/>
        <v>0</v>
      </c>
      <c r="P38" s="652">
        <f>IF(AND($J38&lt;&gt;"N/A",O38),$N38*VLOOKUP($J38,Input_DI!$D$10:$G$58,P$1-5,FALSE),0)</f>
        <v>0</v>
      </c>
      <c r="Q38" s="653">
        <f t="shared" si="26"/>
        <v>0</v>
      </c>
      <c r="R38" s="654">
        <f t="shared" si="27"/>
        <v>0</v>
      </c>
      <c r="S38" s="628"/>
      <c r="T38" s="649" t="s">
        <v>131</v>
      </c>
      <c r="U38" s="655">
        <f>VLOOKUP($T38,Input_DI!$D$10:$F$58,U$1-10,FALSE)</f>
        <v>37609</v>
      </c>
      <c r="V38" s="665">
        <f>VLOOKUP($T38,Input_DI!$D$10:$F$58,V$1-10,FALSE)</f>
        <v>5966093.7592216199</v>
      </c>
      <c r="W38" s="665">
        <f t="shared" si="28"/>
        <v>158.63473528202346</v>
      </c>
      <c r="X38" s="628"/>
      <c r="Y38" s="655">
        <f t="shared" si="40"/>
        <v>37609</v>
      </c>
      <c r="Z38" s="652">
        <f t="shared" si="29"/>
        <v>0</v>
      </c>
      <c r="AA38" s="656">
        <f t="shared" si="41"/>
        <v>5966093.7592216199</v>
      </c>
      <c r="AB38" s="656">
        <f t="shared" si="30"/>
        <v>158.63473528202346</v>
      </c>
      <c r="AC38" s="628"/>
      <c r="AD38" s="657">
        <f t="shared" si="35"/>
        <v>0</v>
      </c>
      <c r="AE38" s="657">
        <f t="shared" si="36"/>
        <v>0</v>
      </c>
      <c r="AF38" s="657">
        <f t="shared" si="33"/>
        <v>0</v>
      </c>
      <c r="AG38" s="628"/>
      <c r="AH38" s="658" t="str">
        <f t="shared" si="34"/>
        <v>No</v>
      </c>
      <c r="AI38" s="628"/>
    </row>
    <row r="39" spans="1:35" x14ac:dyDescent="0.2">
      <c r="A39" s="645" t="str">
        <f>Input_DI_activity_mapping!B45</f>
        <v>RA12Z,RA12Z</v>
      </c>
      <c r="B39" s="646">
        <f>Input_DI_activity_mapping!C45</f>
        <v>56818</v>
      </c>
      <c r="C39" s="628"/>
      <c r="D39" s="645" t="s">
        <v>131</v>
      </c>
      <c r="E39" s="646">
        <f t="shared" si="37"/>
        <v>465</v>
      </c>
      <c r="F39" s="629"/>
      <c r="G39" s="629"/>
      <c r="H39" s="629"/>
      <c r="I39" s="628"/>
      <c r="J39" s="645" t="str">
        <f t="shared" si="22"/>
        <v>RA12Z</v>
      </c>
      <c r="K39" s="649" t="str">
        <f t="shared" si="23"/>
        <v>RA12Z</v>
      </c>
      <c r="L39" s="649" t="str">
        <f t="shared" si="24"/>
        <v>RA12Z</v>
      </c>
      <c r="M39" s="646">
        <f t="shared" si="25"/>
        <v>56818</v>
      </c>
      <c r="N39" s="650">
        <f t="shared" si="38"/>
        <v>0.96476661063284264</v>
      </c>
      <c r="O39" s="651" t="b">
        <f t="shared" si="39"/>
        <v>0</v>
      </c>
      <c r="P39" s="652">
        <f>IF(AND($J39&lt;&gt;"N/A",O39),$N39*VLOOKUP($J39,Input_DI!$D$10:$G$58,P$1-5,FALSE),0)</f>
        <v>0</v>
      </c>
      <c r="Q39" s="653">
        <f t="shared" si="26"/>
        <v>0</v>
      </c>
      <c r="R39" s="654">
        <f t="shared" si="27"/>
        <v>0</v>
      </c>
      <c r="S39" s="628"/>
      <c r="T39" s="649" t="s">
        <v>133</v>
      </c>
      <c r="U39" s="655">
        <f>VLOOKUP($T39,Input_DI!$D$10:$F$58,U$1-10,FALSE)</f>
        <v>185239</v>
      </c>
      <c r="V39" s="665">
        <f>VLOOKUP($T39,Input_DI!$D$10:$F$58,V$1-10,FALSE)</f>
        <v>35219302.097767703</v>
      </c>
      <c r="W39" s="665">
        <f t="shared" si="28"/>
        <v>190.12897984640225</v>
      </c>
      <c r="X39" s="628"/>
      <c r="Y39" s="655">
        <f t="shared" si="40"/>
        <v>185239</v>
      </c>
      <c r="Z39" s="652">
        <f t="shared" si="29"/>
        <v>0</v>
      </c>
      <c r="AA39" s="656">
        <f t="shared" si="41"/>
        <v>35219302.097767703</v>
      </c>
      <c r="AB39" s="656">
        <f t="shared" si="30"/>
        <v>190.12897984640225</v>
      </c>
      <c r="AC39" s="628"/>
      <c r="AD39" s="657">
        <f t="shared" si="35"/>
        <v>0</v>
      </c>
      <c r="AE39" s="657">
        <f t="shared" si="36"/>
        <v>0</v>
      </c>
      <c r="AF39" s="657">
        <f t="shared" si="33"/>
        <v>0</v>
      </c>
      <c r="AG39" s="628"/>
      <c r="AH39" s="658" t="str">
        <f t="shared" si="34"/>
        <v>No</v>
      </c>
      <c r="AI39" s="628"/>
    </row>
    <row r="40" spans="1:35" x14ac:dyDescent="0.2">
      <c r="A40" s="645" t="str">
        <f>Input_DI_activity_mapping!B46</f>
        <v>RA12Z,RA69Z</v>
      </c>
      <c r="B40" s="646">
        <f>Input_DI_activity_mapping!C46</f>
        <v>2070</v>
      </c>
      <c r="C40" s="628"/>
      <c r="D40" s="645" t="s">
        <v>133</v>
      </c>
      <c r="E40" s="646">
        <f t="shared" si="37"/>
        <v>70758</v>
      </c>
      <c r="F40" s="629"/>
      <c r="G40" s="629"/>
      <c r="H40" s="629"/>
      <c r="I40" s="628"/>
      <c r="J40" s="645" t="str">
        <f t="shared" si="22"/>
        <v>RA12Z</v>
      </c>
      <c r="K40" s="649" t="str">
        <f t="shared" si="23"/>
        <v>RA69Z</v>
      </c>
      <c r="L40" s="649" t="str">
        <f t="shared" si="24"/>
        <v>RA69Z</v>
      </c>
      <c r="M40" s="646">
        <f t="shared" si="25"/>
        <v>2070</v>
      </c>
      <c r="N40" s="650">
        <f t="shared" si="38"/>
        <v>3.514848963374255E-2</v>
      </c>
      <c r="O40" s="651" t="b">
        <f t="shared" si="39"/>
        <v>1</v>
      </c>
      <c r="P40" s="652">
        <f>IF(AND($J40&lt;&gt;"N/A",O40),$N40*VLOOKUP($J40,Input_DI!$D$10:$G$58,P$1-5,FALSE),0)</f>
        <v>9020.8598645000257</v>
      </c>
      <c r="Q40" s="653">
        <f t="shared" si="26"/>
        <v>2044253.0866220731</v>
      </c>
      <c r="R40" s="654">
        <f t="shared" si="27"/>
        <v>226.61399437839225</v>
      </c>
      <c r="S40" s="628"/>
      <c r="T40" s="649" t="s">
        <v>135</v>
      </c>
      <c r="U40" s="655">
        <f>VLOOKUP($T40,Input_DI!$D$10:$F$58,U$1-10,FALSE)</f>
        <v>76791</v>
      </c>
      <c r="V40" s="665">
        <f>VLOOKUP($T40,Input_DI!$D$10:$F$58,V$1-10,FALSE)</f>
        <v>16586751.587544801</v>
      </c>
      <c r="W40" s="665">
        <f t="shared" si="28"/>
        <v>215.99864030348348</v>
      </c>
      <c r="X40" s="628"/>
      <c r="Y40" s="655">
        <f t="shared" si="40"/>
        <v>76791</v>
      </c>
      <c r="Z40" s="652">
        <f t="shared" si="29"/>
        <v>0</v>
      </c>
      <c r="AA40" s="656">
        <f t="shared" si="41"/>
        <v>16586751.587544801</v>
      </c>
      <c r="AB40" s="656">
        <f t="shared" si="30"/>
        <v>215.99864030348348</v>
      </c>
      <c r="AC40" s="628"/>
      <c r="AD40" s="657">
        <f t="shared" si="35"/>
        <v>0</v>
      </c>
      <c r="AE40" s="657">
        <f t="shared" si="36"/>
        <v>0</v>
      </c>
      <c r="AF40" s="657">
        <f t="shared" si="33"/>
        <v>0</v>
      </c>
      <c r="AG40" s="628"/>
      <c r="AH40" s="658" t="str">
        <f t="shared" si="34"/>
        <v>No</v>
      </c>
      <c r="AI40" s="628"/>
    </row>
    <row r="41" spans="1:35" x14ac:dyDescent="0.2">
      <c r="A41" s="645" t="str">
        <f>Input_DI_activity_mapping!B47</f>
        <v>RA13Z,RA08A</v>
      </c>
      <c r="B41" s="646">
        <f>Input_DI_activity_mapping!C47</f>
        <v>9</v>
      </c>
      <c r="C41" s="628"/>
      <c r="D41" s="645" t="s">
        <v>135</v>
      </c>
      <c r="E41" s="646">
        <f t="shared" si="37"/>
        <v>15391</v>
      </c>
      <c r="F41" s="629"/>
      <c r="G41" s="629"/>
      <c r="H41" s="629"/>
      <c r="I41" s="628"/>
      <c r="J41" s="645" t="str">
        <f t="shared" si="22"/>
        <v>RA13Z</v>
      </c>
      <c r="K41" s="649" t="str">
        <f t="shared" si="23"/>
        <v>RA08A</v>
      </c>
      <c r="L41" s="649" t="str">
        <f t="shared" si="24"/>
        <v>RA08A</v>
      </c>
      <c r="M41" s="646">
        <f t="shared" si="25"/>
        <v>9</v>
      </c>
      <c r="N41" s="650">
        <f t="shared" si="38"/>
        <v>9.9559724772671959E-5</v>
      </c>
      <c r="O41" s="651" t="b">
        <f t="shared" si="39"/>
        <v>0</v>
      </c>
      <c r="P41" s="652">
        <f>IF(AND($J41&lt;&gt;"N/A",O41),$N41*VLOOKUP($J41,Input_DI!$D$10:$G$58,P$1-5,FALSE),0)</f>
        <v>0</v>
      </c>
      <c r="Q41" s="653">
        <f t="shared" si="26"/>
        <v>0</v>
      </c>
      <c r="R41" s="654">
        <f t="shared" si="27"/>
        <v>0</v>
      </c>
      <c r="S41" s="628"/>
      <c r="T41" s="649" t="s">
        <v>137</v>
      </c>
      <c r="U41" s="655">
        <f>VLOOKUP($T41,Input_DI!$D$10:$F$58,U$1-10,FALSE)</f>
        <v>51973</v>
      </c>
      <c r="V41" s="665">
        <f>VLOOKUP($T41,Input_DI!$D$10:$F$58,V$1-10,FALSE)</f>
        <v>14737124.100872699</v>
      </c>
      <c r="W41" s="665">
        <f t="shared" si="28"/>
        <v>283.55346239148594</v>
      </c>
      <c r="X41" s="628"/>
      <c r="Y41" s="655">
        <f t="shared" si="40"/>
        <v>51973</v>
      </c>
      <c r="Z41" s="652">
        <f t="shared" si="29"/>
        <v>0</v>
      </c>
      <c r="AA41" s="656">
        <f t="shared" si="41"/>
        <v>14737124.100872699</v>
      </c>
      <c r="AB41" s="656">
        <f t="shared" si="30"/>
        <v>283.55346239148594</v>
      </c>
      <c r="AC41" s="628"/>
      <c r="AD41" s="657">
        <f t="shared" si="35"/>
        <v>0</v>
      </c>
      <c r="AE41" s="657">
        <f t="shared" si="36"/>
        <v>0</v>
      </c>
      <c r="AF41" s="657">
        <f t="shared" si="33"/>
        <v>0</v>
      </c>
      <c r="AG41" s="628"/>
      <c r="AH41" s="658" t="str">
        <f t="shared" si="34"/>
        <v>No</v>
      </c>
      <c r="AI41" s="628"/>
    </row>
    <row r="42" spans="1:35" x14ac:dyDescent="0.2">
      <c r="A42" s="645" t="str">
        <f>Input_DI_activity_mapping!B48</f>
        <v>RA13Z,RA13Z</v>
      </c>
      <c r="B42" s="646">
        <f>Input_DI_activity_mapping!C48</f>
        <v>90163</v>
      </c>
      <c r="C42" s="628"/>
      <c r="D42" s="645" t="s">
        <v>137</v>
      </c>
      <c r="E42" s="646">
        <f t="shared" si="37"/>
        <v>20468</v>
      </c>
      <c r="F42" s="629"/>
      <c r="G42" s="629"/>
      <c r="H42" s="629"/>
      <c r="I42" s="628"/>
      <c r="J42" s="645" t="str">
        <f t="shared" si="22"/>
        <v>RA13Z</v>
      </c>
      <c r="K42" s="649" t="str">
        <f t="shared" si="23"/>
        <v>RA13Z</v>
      </c>
      <c r="L42" s="649" t="str">
        <f t="shared" si="24"/>
        <v>RA13Z</v>
      </c>
      <c r="M42" s="646">
        <f t="shared" si="25"/>
        <v>90163</v>
      </c>
      <c r="N42" s="650">
        <f t="shared" si="38"/>
        <v>0.99740038496426908</v>
      </c>
      <c r="O42" s="651" t="b">
        <f t="shared" si="39"/>
        <v>0</v>
      </c>
      <c r="P42" s="652">
        <f>IF(AND($J42&lt;&gt;"N/A",O42),$N42*VLOOKUP($J42,Input_DI!$D$10:$G$58,P$1-5,FALSE),0)</f>
        <v>0</v>
      </c>
      <c r="Q42" s="653">
        <f t="shared" si="26"/>
        <v>0</v>
      </c>
      <c r="R42" s="654">
        <f t="shared" si="27"/>
        <v>0</v>
      </c>
      <c r="S42" s="628"/>
      <c r="T42" s="649" t="s">
        <v>139</v>
      </c>
      <c r="U42" s="655">
        <f>VLOOKUP($T42,Input_DI!$D$10:$F$58,U$1-10,FALSE)</f>
        <v>41982</v>
      </c>
      <c r="V42" s="665">
        <f>VLOOKUP($T42,Input_DI!$D$10:$F$58,V$1-10,FALSE)</f>
        <v>13426180.6246217</v>
      </c>
      <c r="W42" s="665">
        <f t="shared" si="28"/>
        <v>319.80802783625603</v>
      </c>
      <c r="X42" s="628"/>
      <c r="Y42" s="655">
        <f t="shared" si="40"/>
        <v>41982</v>
      </c>
      <c r="Z42" s="652">
        <f t="shared" si="29"/>
        <v>0</v>
      </c>
      <c r="AA42" s="656">
        <f t="shared" si="41"/>
        <v>13426180.6246217</v>
      </c>
      <c r="AB42" s="656">
        <f t="shared" si="30"/>
        <v>319.80802783625603</v>
      </c>
      <c r="AC42" s="628"/>
      <c r="AD42" s="657">
        <f t="shared" si="35"/>
        <v>0</v>
      </c>
      <c r="AE42" s="657">
        <f t="shared" si="36"/>
        <v>0</v>
      </c>
      <c r="AF42" s="657">
        <f t="shared" si="33"/>
        <v>0</v>
      </c>
      <c r="AG42" s="628"/>
      <c r="AH42" s="658" t="str">
        <f t="shared" si="34"/>
        <v>No</v>
      </c>
      <c r="AI42" s="628"/>
    </row>
    <row r="43" spans="1:35" x14ac:dyDescent="0.2">
      <c r="A43" s="645" t="str">
        <f>Input_DI_activity_mapping!B49</f>
        <v>RA13Z,RA69Z</v>
      </c>
      <c r="B43" s="646">
        <f>Input_DI_activity_mapping!C49</f>
        <v>226</v>
      </c>
      <c r="C43" s="628"/>
      <c r="D43" s="645" t="s">
        <v>139</v>
      </c>
      <c r="E43" s="646">
        <f t="shared" si="37"/>
        <v>4670</v>
      </c>
      <c r="F43" s="629"/>
      <c r="G43" s="629"/>
      <c r="H43" s="629"/>
      <c r="I43" s="628"/>
      <c r="J43" s="645" t="str">
        <f t="shared" si="22"/>
        <v>RA13Z</v>
      </c>
      <c r="K43" s="649" t="str">
        <f t="shared" si="23"/>
        <v>RA69Z</v>
      </c>
      <c r="L43" s="649" t="str">
        <f t="shared" si="24"/>
        <v>RA69Z</v>
      </c>
      <c r="M43" s="646">
        <f t="shared" si="25"/>
        <v>226</v>
      </c>
      <c r="N43" s="650">
        <f t="shared" si="38"/>
        <v>2.5000553109582068E-3</v>
      </c>
      <c r="O43" s="651" t="b">
        <f t="shared" si="39"/>
        <v>1</v>
      </c>
      <c r="P43" s="652">
        <f>IF(AND($J43&lt;&gt;"N/A",O43),$N43*VLOOKUP($J43,Input_DI!$D$10:$G$58,P$1-5,FALSE),0)</f>
        <v>805.27781588088226</v>
      </c>
      <c r="Q43" s="653">
        <f t="shared" si="26"/>
        <v>182487.22244107423</v>
      </c>
      <c r="R43" s="654">
        <f t="shared" si="27"/>
        <v>226.61399437839225</v>
      </c>
      <c r="S43" s="628"/>
      <c r="T43" s="649" t="s">
        <v>141</v>
      </c>
      <c r="U43" s="655">
        <f>VLOOKUP($T43,Input_DI!$D$10:$F$58,U$1-10,FALSE)</f>
        <v>11356</v>
      </c>
      <c r="V43" s="665">
        <f>VLOOKUP($T43,Input_DI!$D$10:$F$58,V$1-10,FALSE)</f>
        <v>4690970.9343493897</v>
      </c>
      <c r="W43" s="665">
        <f t="shared" si="28"/>
        <v>413.0830340216088</v>
      </c>
      <c r="X43" s="628"/>
      <c r="Y43" s="655">
        <f t="shared" si="40"/>
        <v>11356</v>
      </c>
      <c r="Z43" s="652">
        <f t="shared" si="29"/>
        <v>0</v>
      </c>
      <c r="AA43" s="656">
        <f t="shared" si="41"/>
        <v>4690970.9343493897</v>
      </c>
      <c r="AB43" s="656">
        <f t="shared" si="30"/>
        <v>413.0830340216088</v>
      </c>
      <c r="AC43" s="628"/>
      <c r="AD43" s="657">
        <f t="shared" si="35"/>
        <v>0</v>
      </c>
      <c r="AE43" s="657">
        <f t="shared" si="36"/>
        <v>0</v>
      </c>
      <c r="AF43" s="657">
        <f t="shared" si="33"/>
        <v>0</v>
      </c>
      <c r="AG43" s="628"/>
      <c r="AH43" s="658" t="str">
        <f t="shared" si="34"/>
        <v>No</v>
      </c>
      <c r="AI43" s="628"/>
    </row>
    <row r="44" spans="1:35" x14ac:dyDescent="0.2">
      <c r="A44" s="645" t="str">
        <f>Input_DI_activity_mapping!B50</f>
        <v>RA14Z,RA08A</v>
      </c>
      <c r="B44" s="646">
        <f>Input_DI_activity_mapping!C50</f>
        <v>3</v>
      </c>
      <c r="C44" s="628"/>
      <c r="D44" s="645" t="s">
        <v>141</v>
      </c>
      <c r="E44" s="646">
        <f t="shared" si="37"/>
        <v>5121</v>
      </c>
      <c r="F44" s="629"/>
      <c r="G44" s="629"/>
      <c r="H44" s="629"/>
      <c r="I44" s="628"/>
      <c r="J44" s="645" t="str">
        <f t="shared" si="22"/>
        <v>RA14Z</v>
      </c>
      <c r="K44" s="649" t="str">
        <f t="shared" si="23"/>
        <v>RA08A</v>
      </c>
      <c r="L44" s="649" t="str">
        <f t="shared" si="24"/>
        <v>RA08A</v>
      </c>
      <c r="M44" s="646">
        <f t="shared" si="25"/>
        <v>3</v>
      </c>
      <c r="N44" s="650">
        <f t="shared" si="38"/>
        <v>2.1966756974445338E-4</v>
      </c>
      <c r="O44" s="651" t="b">
        <f t="shared" si="39"/>
        <v>0</v>
      </c>
      <c r="P44" s="652">
        <f>IF(AND($J44&lt;&gt;"N/A",O44),$N44*VLOOKUP($J44,Input_DI!$D$10:$G$58,P$1-5,FALSE),0)</f>
        <v>0</v>
      </c>
      <c r="Q44" s="653">
        <f t="shared" si="26"/>
        <v>0</v>
      </c>
      <c r="R44" s="654">
        <f t="shared" si="27"/>
        <v>0</v>
      </c>
      <c r="S44" s="628"/>
      <c r="T44" s="649" t="s">
        <v>170</v>
      </c>
      <c r="U44" s="655">
        <f>VLOOKUP($T44,Input_DI!$D$10:$F$58,U$1-10,FALSE)</f>
        <v>12885</v>
      </c>
      <c r="V44" s="665">
        <f>VLOOKUP($T44,Input_DI!$D$10:$F$58,V$1-10,FALSE)</f>
        <v>7445764.5237623397</v>
      </c>
      <c r="W44" s="665">
        <f t="shared" si="28"/>
        <v>577.86298205373225</v>
      </c>
      <c r="X44" s="628"/>
      <c r="Y44" s="655">
        <f t="shared" si="40"/>
        <v>12885</v>
      </c>
      <c r="Z44" s="652">
        <f t="shared" si="29"/>
        <v>0</v>
      </c>
      <c r="AA44" s="656">
        <f t="shared" si="41"/>
        <v>7445764.5237623397</v>
      </c>
      <c r="AB44" s="656">
        <f t="shared" si="30"/>
        <v>577.86298205373225</v>
      </c>
      <c r="AC44" s="628"/>
      <c r="AD44" s="657">
        <f t="shared" si="35"/>
        <v>0</v>
      </c>
      <c r="AE44" s="657">
        <f t="shared" si="36"/>
        <v>0</v>
      </c>
      <c r="AF44" s="657">
        <f t="shared" si="33"/>
        <v>0</v>
      </c>
      <c r="AG44" s="628"/>
      <c r="AH44" s="658" t="str">
        <f t="shared" si="34"/>
        <v>No</v>
      </c>
      <c r="AI44" s="628"/>
    </row>
    <row r="45" spans="1:35" x14ac:dyDescent="0.2">
      <c r="A45" s="645" t="str">
        <f>Input_DI_activity_mapping!B51</f>
        <v>RA14Z,RA14Z</v>
      </c>
      <c r="B45" s="646">
        <f>Input_DI_activity_mapping!C51</f>
        <v>13651</v>
      </c>
      <c r="C45" s="628"/>
      <c r="D45" s="645" t="s">
        <v>170</v>
      </c>
      <c r="E45" s="646">
        <f t="shared" si="37"/>
        <v>12801</v>
      </c>
      <c r="F45" s="629"/>
      <c r="G45" s="629"/>
      <c r="H45" s="629"/>
      <c r="I45" s="628"/>
      <c r="J45" s="645" t="str">
        <f t="shared" si="22"/>
        <v>RA14Z</v>
      </c>
      <c r="K45" s="649" t="str">
        <f t="shared" si="23"/>
        <v>RA14Z</v>
      </c>
      <c r="L45" s="649" t="str">
        <f t="shared" si="24"/>
        <v>RA14Z</v>
      </c>
      <c r="M45" s="646">
        <f t="shared" si="25"/>
        <v>13651</v>
      </c>
      <c r="N45" s="650">
        <f t="shared" si="38"/>
        <v>0.99956066486051109</v>
      </c>
      <c r="O45" s="651" t="b">
        <f t="shared" si="39"/>
        <v>0</v>
      </c>
      <c r="P45" s="652">
        <f>IF(AND($J45&lt;&gt;"N/A",O45),$N45*VLOOKUP($J45,Input_DI!$D$10:$G$58,P$1-5,FALSE),0)</f>
        <v>0</v>
      </c>
      <c r="Q45" s="653">
        <f t="shared" si="26"/>
        <v>0</v>
      </c>
      <c r="R45" s="654">
        <f t="shared" si="27"/>
        <v>0</v>
      </c>
      <c r="S45" s="628"/>
      <c r="T45" s="659" t="s">
        <v>113</v>
      </c>
      <c r="U45" s="660">
        <f>VLOOKUP($T45,Input_DI!$D$10:$F$58,U$1-10,FALSE)</f>
        <v>33583</v>
      </c>
      <c r="V45" s="661">
        <f>VLOOKUP($T45,Input_DI!$D$10:$F$58,V$1-10,FALSE)</f>
        <v>3019876.63184383</v>
      </c>
      <c r="W45" s="661">
        <f t="shared" si="28"/>
        <v>89.922777352941367</v>
      </c>
      <c r="X45" s="628"/>
      <c r="Y45" s="660">
        <f t="shared" si="40"/>
        <v>33511.712273253572</v>
      </c>
      <c r="Z45" s="662">
        <f t="shared" si="29"/>
        <v>71.287726746428234</v>
      </c>
      <c r="AA45" s="663">
        <f t="shared" si="41"/>
        <v>3003721.8353356663</v>
      </c>
      <c r="AB45" s="663">
        <f t="shared" si="30"/>
        <v>89.632001219257376</v>
      </c>
      <c r="AC45" s="628"/>
      <c r="AD45" s="664">
        <f t="shared" si="35"/>
        <v>-2.1227325357005E-3</v>
      </c>
      <c r="AE45" s="664">
        <f t="shared" si="36"/>
        <v>-5.3494888956110431E-3</v>
      </c>
      <c r="AF45" s="664">
        <f t="shared" si="33"/>
        <v>-3.2336204712929417E-3</v>
      </c>
      <c r="AG45" s="628"/>
      <c r="AH45" s="658" t="str">
        <f t="shared" si="34"/>
        <v>No</v>
      </c>
      <c r="AI45" s="628"/>
    </row>
    <row r="46" spans="1:35" x14ac:dyDescent="0.2">
      <c r="A46" s="645" t="str">
        <f>Input_DI_activity_mapping!B52</f>
        <v>RA14Z,RA69Z</v>
      </c>
      <c r="B46" s="646">
        <f>Input_DI_activity_mapping!C52</f>
        <v>3</v>
      </c>
      <c r="C46" s="628"/>
      <c r="D46" s="645" t="s">
        <v>113</v>
      </c>
      <c r="E46" s="646">
        <f t="shared" si="37"/>
        <v>10364</v>
      </c>
      <c r="F46" s="629"/>
      <c r="G46" s="629"/>
      <c r="H46" s="629"/>
      <c r="I46" s="628"/>
      <c r="J46" s="645" t="str">
        <f t="shared" si="22"/>
        <v>RA14Z</v>
      </c>
      <c r="K46" s="649" t="str">
        <f t="shared" si="23"/>
        <v>RA69Z</v>
      </c>
      <c r="L46" s="649" t="str">
        <f t="shared" si="24"/>
        <v>RA69Z</v>
      </c>
      <c r="M46" s="646">
        <f t="shared" si="25"/>
        <v>3</v>
      </c>
      <c r="N46" s="650">
        <f t="shared" si="38"/>
        <v>2.1966756974445338E-4</v>
      </c>
      <c r="O46" s="651" t="b">
        <f t="shared" si="39"/>
        <v>1</v>
      </c>
      <c r="P46" s="652">
        <f>IF(AND($J46&lt;&gt;"N/A",O46),$N46*VLOOKUP($J46,Input_DI!$D$10:$G$58,P$1-5,FALSE),0)</f>
        <v>10.321739767152376</v>
      </c>
      <c r="Q46" s="653">
        <f t="shared" si="26"/>
        <v>2339.0506775686963</v>
      </c>
      <c r="R46" s="654">
        <f t="shared" si="27"/>
        <v>226.61399437839225</v>
      </c>
      <c r="S46" s="628"/>
      <c r="T46" s="649" t="s">
        <v>191</v>
      </c>
      <c r="U46" s="655">
        <f>VLOOKUP($T46,Input_DI!$D$10:$F$58,U$1-10,FALSE)</f>
        <v>191705</v>
      </c>
      <c r="V46" s="665">
        <f>VLOOKUP($T46,Input_DI!$D$10:$F$58,V$1-10,FALSE)</f>
        <v>11019213.841751199</v>
      </c>
      <c r="W46" s="665">
        <f t="shared" si="28"/>
        <v>57.480054467808344</v>
      </c>
      <c r="X46" s="628"/>
      <c r="Y46" s="655">
        <f t="shared" si="40"/>
        <v>191705</v>
      </c>
      <c r="Z46" s="652">
        <f t="shared" si="29"/>
        <v>0</v>
      </c>
      <c r="AA46" s="656">
        <f t="shared" si="41"/>
        <v>11019213.841751199</v>
      </c>
      <c r="AB46" s="656">
        <f t="shared" si="30"/>
        <v>57.480054467808344</v>
      </c>
      <c r="AC46" s="628"/>
      <c r="AD46" s="657">
        <f t="shared" si="35"/>
        <v>0</v>
      </c>
      <c r="AE46" s="657">
        <f t="shared" si="36"/>
        <v>0</v>
      </c>
      <c r="AF46" s="657">
        <f t="shared" si="33"/>
        <v>0</v>
      </c>
      <c r="AG46" s="628"/>
      <c r="AH46" s="658" t="str">
        <f t="shared" si="34"/>
        <v>No</v>
      </c>
      <c r="AI46" s="628"/>
    </row>
    <row r="47" spans="1:35" x14ac:dyDescent="0.2">
      <c r="A47" s="645" t="str">
        <f>Input_DI_activity_mapping!B53</f>
        <v>RA15Z,RA15Z</v>
      </c>
      <c r="B47" s="646">
        <f>Input_DI_activity_mapping!C53</f>
        <v>81791</v>
      </c>
      <c r="C47" s="628"/>
      <c r="D47" s="645" t="s">
        <v>191</v>
      </c>
      <c r="E47" s="646">
        <f t="shared" si="37"/>
        <v>393396</v>
      </c>
      <c r="F47" s="629"/>
      <c r="G47" s="629"/>
      <c r="H47" s="629"/>
      <c r="I47" s="628"/>
      <c r="J47" s="645" t="str">
        <f t="shared" si="22"/>
        <v>RA15Z</v>
      </c>
      <c r="K47" s="649" t="str">
        <f t="shared" si="23"/>
        <v>RA15Z</v>
      </c>
      <c r="L47" s="649" t="str">
        <f t="shared" si="24"/>
        <v>RA15Z</v>
      </c>
      <c r="M47" s="646">
        <f t="shared" si="25"/>
        <v>81791</v>
      </c>
      <c r="N47" s="650">
        <f t="shared" si="38"/>
        <v>1</v>
      </c>
      <c r="O47" s="651" t="b">
        <f t="shared" si="39"/>
        <v>0</v>
      </c>
      <c r="P47" s="652">
        <f>IF(AND($J47&lt;&gt;"N/A",O47),$N47*VLOOKUP($J47,Input_DI!$D$10:$G$58,P$1-5,FALSE),0)</f>
        <v>0</v>
      </c>
      <c r="Q47" s="653">
        <f t="shared" si="26"/>
        <v>0</v>
      </c>
      <c r="R47" s="654">
        <f t="shared" si="27"/>
        <v>0</v>
      </c>
      <c r="S47" s="628"/>
      <c r="T47" s="649" t="s">
        <v>192</v>
      </c>
      <c r="U47" s="655">
        <f>VLOOKUP($T47,Input_DI!$D$10:$F$58,U$1-10,FALSE)</f>
        <v>4243</v>
      </c>
      <c r="V47" s="665">
        <f>VLOOKUP($T47,Input_DI!$D$10:$F$58,V$1-10,FALSE)</f>
        <v>247542.747844211</v>
      </c>
      <c r="W47" s="665">
        <f t="shared" si="28"/>
        <v>58.341444224419277</v>
      </c>
      <c r="X47" s="628"/>
      <c r="Y47" s="655">
        <f t="shared" si="40"/>
        <v>4243</v>
      </c>
      <c r="Z47" s="652">
        <f t="shared" si="29"/>
        <v>0</v>
      </c>
      <c r="AA47" s="656">
        <f t="shared" si="41"/>
        <v>247542.747844211</v>
      </c>
      <c r="AB47" s="656">
        <f t="shared" si="30"/>
        <v>58.341444224419277</v>
      </c>
      <c r="AC47" s="628"/>
      <c r="AD47" s="657">
        <f t="shared" si="35"/>
        <v>0</v>
      </c>
      <c r="AE47" s="657">
        <f t="shared" si="36"/>
        <v>0</v>
      </c>
      <c r="AF47" s="657">
        <f t="shared" si="33"/>
        <v>0</v>
      </c>
      <c r="AG47" s="628"/>
      <c r="AH47" s="658" t="str">
        <f t="shared" si="34"/>
        <v>No</v>
      </c>
      <c r="AI47" s="628"/>
    </row>
    <row r="48" spans="1:35" x14ac:dyDescent="0.2">
      <c r="A48" s="645" t="str">
        <f>Input_DI_activity_mapping!B54</f>
        <v>RA16Z,RA16Z</v>
      </c>
      <c r="B48" s="646">
        <f>Input_DI_activity_mapping!C54</f>
        <v>48277</v>
      </c>
      <c r="C48" s="628"/>
      <c r="D48" s="645" t="s">
        <v>192</v>
      </c>
      <c r="E48" s="646">
        <f t="shared" si="37"/>
        <v>24045</v>
      </c>
      <c r="F48" s="629"/>
      <c r="G48" s="629"/>
      <c r="H48" s="629"/>
      <c r="I48" s="628"/>
      <c r="J48" s="645" t="str">
        <f t="shared" si="22"/>
        <v>RA16Z</v>
      </c>
      <c r="K48" s="649" t="str">
        <f t="shared" si="23"/>
        <v>RA16Z</v>
      </c>
      <c r="L48" s="649" t="str">
        <f t="shared" si="24"/>
        <v>RA16Z</v>
      </c>
      <c r="M48" s="646">
        <f t="shared" si="25"/>
        <v>48277</v>
      </c>
      <c r="N48" s="650">
        <f t="shared" si="38"/>
        <v>1</v>
      </c>
      <c r="O48" s="651" t="b">
        <f t="shared" si="39"/>
        <v>0</v>
      </c>
      <c r="P48" s="652">
        <f>IF(AND($J48&lt;&gt;"N/A",O48),$N48*VLOOKUP($J48,Input_DI!$D$10:$G$58,P$1-5,FALSE),0)</f>
        <v>0</v>
      </c>
      <c r="Q48" s="653">
        <f t="shared" si="26"/>
        <v>0</v>
      </c>
      <c r="R48" s="654">
        <f t="shared" si="27"/>
        <v>0</v>
      </c>
      <c r="S48" s="628"/>
      <c r="T48" s="649" t="s">
        <v>193</v>
      </c>
      <c r="U48" s="655">
        <f>VLOOKUP($T48,Input_DI!$D$10:$F$58,U$1-10,FALSE)</f>
        <v>1945</v>
      </c>
      <c r="V48" s="665">
        <f>VLOOKUP($T48,Input_DI!$D$10:$F$58,V$1-10,FALSE)</f>
        <v>161037.84368411699</v>
      </c>
      <c r="W48" s="665">
        <f t="shared" si="28"/>
        <v>82.795806521396912</v>
      </c>
      <c r="X48" s="628"/>
      <c r="Y48" s="655">
        <f t="shared" si="40"/>
        <v>1945</v>
      </c>
      <c r="Z48" s="652">
        <f t="shared" si="29"/>
        <v>0</v>
      </c>
      <c r="AA48" s="656">
        <f t="shared" si="41"/>
        <v>161037.84368411699</v>
      </c>
      <c r="AB48" s="656">
        <f t="shared" si="30"/>
        <v>82.795806521396912</v>
      </c>
      <c r="AC48" s="628"/>
      <c r="AD48" s="657">
        <f t="shared" si="35"/>
        <v>0</v>
      </c>
      <c r="AE48" s="657">
        <f t="shared" si="36"/>
        <v>0</v>
      </c>
      <c r="AF48" s="657">
        <f t="shared" si="33"/>
        <v>0</v>
      </c>
      <c r="AG48" s="628"/>
      <c r="AH48" s="658" t="str">
        <f t="shared" si="34"/>
        <v>No</v>
      </c>
      <c r="AI48" s="628"/>
    </row>
    <row r="49" spans="1:35" x14ac:dyDescent="0.2">
      <c r="A49" s="645" t="str">
        <f>Input_DI_activity_mapping!B55</f>
        <v>RA17Z,RA17Z</v>
      </c>
      <c r="B49" s="646">
        <f>Input_DI_activity_mapping!C55</f>
        <v>2022</v>
      </c>
      <c r="C49" s="628"/>
      <c r="D49" s="645" t="s">
        <v>193</v>
      </c>
      <c r="E49" s="646">
        <f t="shared" si="37"/>
        <v>27022</v>
      </c>
      <c r="F49" s="629"/>
      <c r="G49" s="629"/>
      <c r="H49" s="629"/>
      <c r="I49" s="628"/>
      <c r="J49" s="645" t="str">
        <f t="shared" si="22"/>
        <v>RA17Z</v>
      </c>
      <c r="K49" s="649" t="str">
        <f t="shared" si="23"/>
        <v>RA17Z</v>
      </c>
      <c r="L49" s="649" t="str">
        <f t="shared" si="24"/>
        <v>RA17Z</v>
      </c>
      <c r="M49" s="646">
        <f t="shared" si="25"/>
        <v>2022</v>
      </c>
      <c r="N49" s="650">
        <f t="shared" si="38"/>
        <v>1</v>
      </c>
      <c r="O49" s="651" t="b">
        <f t="shared" si="39"/>
        <v>0</v>
      </c>
      <c r="P49" s="652">
        <f>IF(AND($J49&lt;&gt;"N/A",O49),$N49*VLOOKUP($J49,Input_DI!$D$10:$G$58,P$1-5,FALSE),0)</f>
        <v>0</v>
      </c>
      <c r="Q49" s="653">
        <f t="shared" si="26"/>
        <v>0</v>
      </c>
      <c r="R49" s="654">
        <f t="shared" si="27"/>
        <v>0</v>
      </c>
      <c r="S49" s="628"/>
      <c r="T49" s="649" t="s">
        <v>194</v>
      </c>
      <c r="U49" s="655">
        <f>VLOOKUP($T49,Input_DI!$D$10:$F$58,U$1-10,FALSE)</f>
        <v>14173</v>
      </c>
      <c r="V49" s="665">
        <f>VLOOKUP($T49,Input_DI!$D$10:$F$58,V$1-10,FALSE)</f>
        <v>4940190.6037450004</v>
      </c>
      <c r="W49" s="665">
        <f t="shared" si="28"/>
        <v>348.56350834297609</v>
      </c>
      <c r="X49" s="628"/>
      <c r="Y49" s="655">
        <f t="shared" si="40"/>
        <v>14173</v>
      </c>
      <c r="Z49" s="652">
        <f t="shared" si="29"/>
        <v>0</v>
      </c>
      <c r="AA49" s="656">
        <f t="shared" si="41"/>
        <v>4940190.6037450004</v>
      </c>
      <c r="AB49" s="656">
        <f t="shared" si="30"/>
        <v>348.56350834297609</v>
      </c>
      <c r="AC49" s="628"/>
      <c r="AD49" s="657">
        <f t="shared" si="35"/>
        <v>0</v>
      </c>
      <c r="AE49" s="657">
        <f t="shared" si="36"/>
        <v>0</v>
      </c>
      <c r="AF49" s="657">
        <f t="shared" si="33"/>
        <v>0</v>
      </c>
      <c r="AG49" s="628"/>
      <c r="AH49" s="658" t="str">
        <f t="shared" si="34"/>
        <v>No</v>
      </c>
      <c r="AI49" s="628"/>
    </row>
    <row r="50" spans="1:35" x14ac:dyDescent="0.2">
      <c r="A50" s="645" t="str">
        <f>Input_DI_activity_mapping!B56</f>
        <v>RA18Z,RA18Z</v>
      </c>
      <c r="B50" s="646">
        <f>Input_DI_activity_mapping!C56</f>
        <v>305</v>
      </c>
      <c r="C50" s="628"/>
      <c r="D50" s="645" t="s">
        <v>194</v>
      </c>
      <c r="E50" s="646">
        <f t="shared" si="37"/>
        <v>7853</v>
      </c>
      <c r="F50" s="629"/>
      <c r="G50" s="629"/>
      <c r="H50" s="629"/>
      <c r="I50" s="628"/>
      <c r="J50" s="645" t="str">
        <f t="shared" si="22"/>
        <v>RA18Z</v>
      </c>
      <c r="K50" s="649" t="str">
        <f t="shared" si="23"/>
        <v>RA18Z</v>
      </c>
      <c r="L50" s="649" t="str">
        <f t="shared" si="24"/>
        <v>RA18Z</v>
      </c>
      <c r="M50" s="646">
        <f t="shared" si="25"/>
        <v>305</v>
      </c>
      <c r="N50" s="650">
        <f t="shared" si="38"/>
        <v>1</v>
      </c>
      <c r="O50" s="651" t="b">
        <f t="shared" si="39"/>
        <v>0</v>
      </c>
      <c r="P50" s="652">
        <f>IF(AND($J50&lt;&gt;"N/A",O50),$N50*VLOOKUP($J50,Input_DI!$D$10:$G$58,P$1-5,FALSE),0)</f>
        <v>0</v>
      </c>
      <c r="Q50" s="653">
        <f t="shared" si="26"/>
        <v>0</v>
      </c>
      <c r="R50" s="654">
        <f t="shared" si="27"/>
        <v>0</v>
      </c>
      <c r="S50" s="628"/>
      <c r="T50" s="649" t="s">
        <v>195</v>
      </c>
      <c r="U50" s="655">
        <f>VLOOKUP($T50,Input_DI!$D$10:$F$58,U$1-10,FALSE)</f>
        <v>1371</v>
      </c>
      <c r="V50" s="665">
        <f>VLOOKUP($T50,Input_DI!$D$10:$F$58,V$1-10,FALSE)</f>
        <v>605014.43913946301</v>
      </c>
      <c r="W50" s="665">
        <f t="shared" si="28"/>
        <v>441.29426633075349</v>
      </c>
      <c r="X50" s="628"/>
      <c r="Y50" s="655">
        <f t="shared" si="40"/>
        <v>1371</v>
      </c>
      <c r="Z50" s="652">
        <f t="shared" si="29"/>
        <v>0</v>
      </c>
      <c r="AA50" s="656">
        <f t="shared" si="41"/>
        <v>605014.43913946301</v>
      </c>
      <c r="AB50" s="656">
        <f t="shared" si="30"/>
        <v>441.29426633075349</v>
      </c>
      <c r="AC50" s="628"/>
      <c r="AD50" s="657">
        <f t="shared" si="35"/>
        <v>0</v>
      </c>
      <c r="AE50" s="657">
        <f t="shared" si="36"/>
        <v>0</v>
      </c>
      <c r="AF50" s="657">
        <f t="shared" si="33"/>
        <v>0</v>
      </c>
      <c r="AG50" s="628"/>
      <c r="AH50" s="658" t="str">
        <f t="shared" si="34"/>
        <v>No</v>
      </c>
      <c r="AI50" s="628"/>
    </row>
    <row r="51" spans="1:35" ht="13.5" thickBot="1" x14ac:dyDescent="0.25">
      <c r="A51" s="645" t="str">
        <f>Input_DI_activity_mapping!B57</f>
        <v>RA23Z,RA23Z</v>
      </c>
      <c r="B51" s="646">
        <f>Input_DI_activity_mapping!C57</f>
        <v>1029718</v>
      </c>
      <c r="C51" s="628"/>
      <c r="D51" s="645" t="s">
        <v>195</v>
      </c>
      <c r="E51" s="646">
        <f t="shared" si="37"/>
        <v>679</v>
      </c>
      <c r="F51" s="629"/>
      <c r="G51" s="629"/>
      <c r="H51" s="629"/>
      <c r="I51" s="628"/>
      <c r="J51" s="645" t="str">
        <f t="shared" si="22"/>
        <v>RA23Z</v>
      </c>
      <c r="K51" s="649" t="str">
        <f t="shared" si="23"/>
        <v>RA23Z</v>
      </c>
      <c r="L51" s="649" t="str">
        <f t="shared" si="24"/>
        <v>RA23Z</v>
      </c>
      <c r="M51" s="646">
        <f t="shared" si="25"/>
        <v>1029718</v>
      </c>
      <c r="N51" s="650">
        <f t="shared" si="38"/>
        <v>0.9999990288612719</v>
      </c>
      <c r="O51" s="651" t="b">
        <f t="shared" si="39"/>
        <v>0</v>
      </c>
      <c r="P51" s="652">
        <f>IF(AND($J51&lt;&gt;"N/A",O51),$N51*VLOOKUP($J51,Input_DI!$D$10:$G$58,P$1-5,FALSE),0)</f>
        <v>0</v>
      </c>
      <c r="Q51" s="653">
        <f t="shared" si="26"/>
        <v>0</v>
      </c>
      <c r="R51" s="654">
        <f t="shared" si="27"/>
        <v>0</v>
      </c>
      <c r="S51" s="628"/>
      <c r="T51" s="667" t="s">
        <v>196</v>
      </c>
      <c r="U51" s="668">
        <f>VLOOKUP($T51,Input_DI!$D$10:$F$58,U$1-10,FALSE)</f>
        <v>2020</v>
      </c>
      <c r="V51" s="669">
        <f>VLOOKUP($T51,Input_DI!$D$10:$F$58,V$1-10,FALSE)</f>
        <v>978009.17780492199</v>
      </c>
      <c r="W51" s="669">
        <f t="shared" si="28"/>
        <v>484.1629593093673</v>
      </c>
      <c r="X51" s="628"/>
      <c r="Y51" s="668">
        <f t="shared" si="40"/>
        <v>2020</v>
      </c>
      <c r="Z51" s="670">
        <f t="shared" si="29"/>
        <v>0</v>
      </c>
      <c r="AA51" s="671">
        <f t="shared" si="41"/>
        <v>978009.17780492199</v>
      </c>
      <c r="AB51" s="671">
        <f t="shared" si="30"/>
        <v>484.1629593093673</v>
      </c>
      <c r="AC51" s="628"/>
      <c r="AD51" s="672">
        <f t="shared" si="35"/>
        <v>0</v>
      </c>
      <c r="AE51" s="672">
        <f t="shared" si="36"/>
        <v>0</v>
      </c>
      <c r="AF51" s="672">
        <f t="shared" si="33"/>
        <v>0</v>
      </c>
      <c r="AG51" s="628"/>
      <c r="AH51" s="658" t="str">
        <f t="shared" si="34"/>
        <v>No</v>
      </c>
      <c r="AI51" s="628"/>
    </row>
    <row r="52" spans="1:35" x14ac:dyDescent="0.2">
      <c r="A52" s="645" t="str">
        <f>Input_DI_activity_mapping!B58</f>
        <v>RA23Z,RA69Z</v>
      </c>
      <c r="B52" s="646">
        <f>Input_DI_activity_mapping!C58</f>
        <v>1</v>
      </c>
      <c r="C52" s="628"/>
      <c r="D52" s="645" t="s">
        <v>196</v>
      </c>
      <c r="E52" s="646">
        <f t="shared" si="37"/>
        <v>134</v>
      </c>
      <c r="F52" s="629"/>
      <c r="G52" s="629"/>
      <c r="H52" s="629"/>
      <c r="I52" s="628"/>
      <c r="J52" s="645" t="str">
        <f t="shared" si="22"/>
        <v>RA23Z</v>
      </c>
      <c r="K52" s="649" t="str">
        <f t="shared" si="23"/>
        <v>RA69Z</v>
      </c>
      <c r="L52" s="649" t="str">
        <f t="shared" si="24"/>
        <v>RA69Z</v>
      </c>
      <c r="M52" s="646">
        <f t="shared" si="25"/>
        <v>1</v>
      </c>
      <c r="N52" s="650">
        <f t="shared" si="38"/>
        <v>9.7113872813845324E-7</v>
      </c>
      <c r="O52" s="651" t="b">
        <f t="shared" si="39"/>
        <v>1</v>
      </c>
      <c r="P52" s="652">
        <f>IF(AND($J52&lt;&gt;"N/A",O52),$N52*VLOOKUP($J52,Input_DI!$D$10:$G$58,P$1-5,FALSE),0)</f>
        <v>3.6497850384425261</v>
      </c>
      <c r="Q52" s="653">
        <f t="shared" si="26"/>
        <v>827.09236618395471</v>
      </c>
      <c r="R52" s="654">
        <f t="shared" si="27"/>
        <v>226.61399437839225</v>
      </c>
      <c r="S52" s="628"/>
      <c r="T52" s="673" t="s">
        <v>378</v>
      </c>
      <c r="U52" s="674">
        <f>VLOOKUP($T52,Input_DI!$D$10:$F$58,U$1-10,FALSE)</f>
        <v>16601</v>
      </c>
      <c r="V52" s="675">
        <f>VLOOKUP($T52,Input_DI!$D$10:$F$58,V$1-10,FALSE)</f>
        <v>3762018.9206756898</v>
      </c>
      <c r="W52" s="676">
        <f t="shared" si="28"/>
        <v>226.61399437839225</v>
      </c>
      <c r="X52" s="628"/>
      <c r="Y52" s="677">
        <f t="shared" si="40"/>
        <v>0</v>
      </c>
      <c r="Z52" s="678">
        <f t="shared" si="29"/>
        <v>16601</v>
      </c>
      <c r="AA52" s="679">
        <f t="shared" si="41"/>
        <v>0</v>
      </c>
      <c r="AB52" s="680">
        <f t="shared" si="30"/>
        <v>0</v>
      </c>
      <c r="AC52" s="628"/>
      <c r="AD52" s="681">
        <f t="shared" si="35"/>
        <v>-1</v>
      </c>
      <c r="AE52" s="682">
        <f t="shared" si="36"/>
        <v>-1</v>
      </c>
      <c r="AF52" s="683">
        <f t="shared" si="33"/>
        <v>-1</v>
      </c>
      <c r="AG52" s="628"/>
      <c r="AH52" s="658" t="str">
        <f t="shared" si="34"/>
        <v>Yes</v>
      </c>
      <c r="AI52" s="628"/>
    </row>
    <row r="53" spans="1:35" ht="13.5" thickBot="1" x14ac:dyDescent="0.25">
      <c r="A53" s="645" t="str">
        <f>Input_DI_activity_mapping!B59</f>
        <v>RA24Z,RA24Z</v>
      </c>
      <c r="B53" s="646">
        <f>Input_DI_activity_mapping!C59</f>
        <v>40023</v>
      </c>
      <c r="C53" s="628"/>
      <c r="D53" s="684" t="s">
        <v>378</v>
      </c>
      <c r="E53" s="685">
        <f t="shared" si="37"/>
        <v>9370</v>
      </c>
      <c r="F53" s="629"/>
      <c r="G53" s="629"/>
      <c r="H53" s="629"/>
      <c r="I53" s="628"/>
      <c r="J53" s="645" t="str">
        <f t="shared" si="22"/>
        <v>RA24Z</v>
      </c>
      <c r="K53" s="649" t="str">
        <f t="shared" si="23"/>
        <v>RA24Z</v>
      </c>
      <c r="L53" s="649" t="str">
        <f t="shared" si="24"/>
        <v>RA24Z</v>
      </c>
      <c r="M53" s="646">
        <f t="shared" si="25"/>
        <v>40023</v>
      </c>
      <c r="N53" s="650">
        <f t="shared" si="38"/>
        <v>1</v>
      </c>
      <c r="O53" s="651" t="b">
        <f t="shared" si="39"/>
        <v>0</v>
      </c>
      <c r="P53" s="652">
        <f>IF(AND($J53&lt;&gt;"N/A",O53),$N53*VLOOKUP($J53,Input_DI!$D$10:$G$58,P$1-5,FALSE),0)</f>
        <v>0</v>
      </c>
      <c r="Q53" s="653">
        <f t="shared" si="26"/>
        <v>0</v>
      </c>
      <c r="R53" s="654">
        <f t="shared" si="27"/>
        <v>0</v>
      </c>
      <c r="S53" s="628"/>
      <c r="T53" s="684" t="s">
        <v>442</v>
      </c>
      <c r="U53" s="686">
        <v>0</v>
      </c>
      <c r="V53" s="687">
        <v>0</v>
      </c>
      <c r="W53" s="688">
        <f t="shared" si="28"/>
        <v>0</v>
      </c>
      <c r="X53" s="628"/>
      <c r="Y53" s="689">
        <f>SUMIF($L$4:$L$71,$T53,P$4:P$71)</f>
        <v>66538.464557450934</v>
      </c>
      <c r="Z53" s="690">
        <f t="shared" si="29"/>
        <v>-66538.464557450934</v>
      </c>
      <c r="AA53" s="691">
        <f>SUMIF($L$4:$L$71,$T53,Q$4:Q$71)</f>
        <v>15078547.233169036</v>
      </c>
      <c r="AB53" s="692">
        <f t="shared" si="30"/>
        <v>226.61399437839222</v>
      </c>
      <c r="AC53" s="628"/>
      <c r="AD53" s="693">
        <f>(Y53/U52)-1</f>
        <v>3.0080997866062846</v>
      </c>
      <c r="AE53" s="694">
        <f>(AA53/V52)-1</f>
        <v>3.0080997866062846</v>
      </c>
      <c r="AF53" s="695">
        <f>(AB53/W52)-1</f>
        <v>0</v>
      </c>
      <c r="AG53" s="628"/>
      <c r="AH53" s="658" t="str">
        <f t="shared" si="34"/>
        <v>No</v>
      </c>
      <c r="AI53" s="628"/>
    </row>
    <row r="54" spans="1:35" x14ac:dyDescent="0.2">
      <c r="A54" s="645" t="str">
        <f>Input_DI_activity_mapping!B60</f>
        <v>RA25Z,RA25Z</v>
      </c>
      <c r="B54" s="646">
        <f>Input_DI_activity_mapping!C60</f>
        <v>713</v>
      </c>
      <c r="C54" s="628"/>
      <c r="D54" s="696" t="s">
        <v>257</v>
      </c>
      <c r="E54" s="697">
        <f>SUM(E$4:E53)</f>
        <v>2784986</v>
      </c>
      <c r="F54" s="629"/>
      <c r="G54" s="629"/>
      <c r="H54" s="629"/>
      <c r="I54" s="628"/>
      <c r="J54" s="645" t="str">
        <f t="shared" si="22"/>
        <v>RA25Z</v>
      </c>
      <c r="K54" s="649" t="str">
        <f t="shared" si="23"/>
        <v>RA25Z</v>
      </c>
      <c r="L54" s="649" t="str">
        <f t="shared" si="24"/>
        <v>RA25Z</v>
      </c>
      <c r="M54" s="646">
        <f t="shared" si="25"/>
        <v>713</v>
      </c>
      <c r="N54" s="650">
        <f t="shared" si="38"/>
        <v>1</v>
      </c>
      <c r="O54" s="651" t="b">
        <f t="shared" si="39"/>
        <v>0</v>
      </c>
      <c r="P54" s="652">
        <f>IF(AND($J54&lt;&gt;"N/A",O54),$N54*VLOOKUP($J54,Input_DI!$D$10:$G$58,P$1-5,FALSE),0)</f>
        <v>0</v>
      </c>
      <c r="Q54" s="653">
        <f t="shared" si="26"/>
        <v>0</v>
      </c>
      <c r="R54" s="654">
        <f t="shared" si="27"/>
        <v>0</v>
      </c>
      <c r="S54" s="628"/>
      <c r="T54" s="698" t="s">
        <v>455</v>
      </c>
      <c r="U54" s="699">
        <f>SUM(U$4:U53)</f>
        <v>9568751</v>
      </c>
      <c r="V54" s="700">
        <f>SUM(V$4:V53)</f>
        <v>822480116.46126938</v>
      </c>
      <c r="W54" s="700"/>
      <c r="X54" s="698"/>
      <c r="Y54" s="699">
        <f>SUM(Y$4:Y53)</f>
        <v>9568750.9999999981</v>
      </c>
      <c r="Z54" s="699"/>
      <c r="AA54" s="701">
        <f>SUM(AA$4:AA53)</f>
        <v>822480116.46126938</v>
      </c>
      <c r="AB54" s="701"/>
      <c r="AC54" s="698"/>
      <c r="AD54" s="702">
        <f>(Y54/U54)-1</f>
        <v>0</v>
      </c>
      <c r="AE54" s="702">
        <f>(AA54/V54)-1</f>
        <v>0</v>
      </c>
      <c r="AF54" s="628"/>
      <c r="AG54" s="628"/>
      <c r="AH54" s="628"/>
      <c r="AI54" s="628"/>
    </row>
    <row r="55" spans="1:35" ht="15" x14ac:dyDescent="0.2">
      <c r="A55" s="645" t="str">
        <f>Input_DI_activity_mapping!B61</f>
        <v>RA35Z,RA35Z</v>
      </c>
      <c r="B55" s="646">
        <f>Input_DI_activity_mapping!C61</f>
        <v>465</v>
      </c>
      <c r="C55" s="628"/>
      <c r="D55" s="525"/>
      <c r="E55" s="628"/>
      <c r="F55" s="629"/>
      <c r="G55" s="629"/>
      <c r="H55" s="629"/>
      <c r="I55" s="628"/>
      <c r="J55" s="645" t="str">
        <f t="shared" si="22"/>
        <v>RA35Z</v>
      </c>
      <c r="K55" s="649" t="str">
        <f t="shared" si="23"/>
        <v>RA35Z</v>
      </c>
      <c r="L55" s="649" t="str">
        <f t="shared" si="24"/>
        <v>RA35Z</v>
      </c>
      <c r="M55" s="646">
        <f t="shared" si="25"/>
        <v>465</v>
      </c>
      <c r="N55" s="650">
        <f t="shared" si="38"/>
        <v>1</v>
      </c>
      <c r="O55" s="651" t="b">
        <f t="shared" si="39"/>
        <v>0</v>
      </c>
      <c r="P55" s="652">
        <f>IF(AND($J55&lt;&gt;"N/A",O55),$N55*VLOOKUP($J55,Input_DI!$D$10:$G$58,P$1-5,FALSE),0)</f>
        <v>0</v>
      </c>
      <c r="Q55" s="653">
        <f t="shared" si="26"/>
        <v>0</v>
      </c>
      <c r="R55" s="654">
        <f t="shared" si="27"/>
        <v>0</v>
      </c>
      <c r="S55" s="628"/>
      <c r="T55" s="628" t="s">
        <v>777</v>
      </c>
      <c r="U55" s="629">
        <f>+Input_DI!E8</f>
        <v>9568751</v>
      </c>
      <c r="V55" s="703">
        <f>+Input_DI!F8</f>
        <v>822480116.46126938</v>
      </c>
      <c r="W55" s="704"/>
      <c r="X55" s="628"/>
      <c r="Y55" s="629">
        <f>+Input_DI!E8</f>
        <v>9568751</v>
      </c>
      <c r="Z55" s="629"/>
      <c r="AA55" s="705">
        <f>+Input_DI!F8</f>
        <v>822480116.46126938</v>
      </c>
      <c r="AB55" s="706"/>
      <c r="AC55" s="628"/>
      <c r="AD55" s="628"/>
      <c r="AE55" s="628"/>
      <c r="AF55" s="628"/>
      <c r="AG55" s="628"/>
      <c r="AH55" s="628"/>
      <c r="AI55" s="628"/>
    </row>
    <row r="56" spans="1:35" x14ac:dyDescent="0.2">
      <c r="A56" s="645" t="str">
        <f>Input_DI_activity_mapping!B62</f>
        <v>RA36Z,RA36Z</v>
      </c>
      <c r="B56" s="646">
        <f>Input_DI_activity_mapping!C62</f>
        <v>70758</v>
      </c>
      <c r="C56" s="628"/>
      <c r="D56" s="628"/>
      <c r="E56" s="628"/>
      <c r="F56" s="629"/>
      <c r="G56" s="629"/>
      <c r="H56" s="629"/>
      <c r="I56" s="628"/>
      <c r="J56" s="645" t="str">
        <f t="shared" si="22"/>
        <v>RA36Z</v>
      </c>
      <c r="K56" s="649" t="str">
        <f t="shared" si="23"/>
        <v>RA36Z</v>
      </c>
      <c r="L56" s="649" t="str">
        <f t="shared" si="24"/>
        <v>RA36Z</v>
      </c>
      <c r="M56" s="646">
        <f t="shared" si="25"/>
        <v>70758</v>
      </c>
      <c r="N56" s="650">
        <f t="shared" si="38"/>
        <v>1</v>
      </c>
      <c r="O56" s="651" t="b">
        <f t="shared" si="39"/>
        <v>0</v>
      </c>
      <c r="P56" s="652">
        <f>IF(AND($J56&lt;&gt;"N/A",O56),$N56*VLOOKUP($J56,Input_DI!$D$10:$G$58,P$1-5,FALSE),0)</f>
        <v>0</v>
      </c>
      <c r="Q56" s="653">
        <f t="shared" si="26"/>
        <v>0</v>
      </c>
      <c r="R56" s="654">
        <f t="shared" si="27"/>
        <v>0</v>
      </c>
      <c r="S56" s="628"/>
      <c r="T56" s="628"/>
      <c r="U56" s="628"/>
      <c r="V56" s="628"/>
      <c r="W56" s="707"/>
      <c r="X56" s="628"/>
      <c r="Y56" s="628"/>
      <c r="Z56" s="628"/>
      <c r="AA56" s="628"/>
      <c r="AB56" s="707"/>
      <c r="AC56" s="628"/>
      <c r="AD56" s="628"/>
      <c r="AE56" s="628"/>
      <c r="AF56" s="628"/>
      <c r="AG56" s="628"/>
      <c r="AH56" s="628"/>
      <c r="AI56" s="628"/>
    </row>
    <row r="57" spans="1:35" x14ac:dyDescent="0.2">
      <c r="A57" s="645" t="str">
        <f>Input_DI_activity_mapping!B63</f>
        <v>RA37Z,RA37Z</v>
      </c>
      <c r="B57" s="646">
        <f>Input_DI_activity_mapping!C63</f>
        <v>15391</v>
      </c>
      <c r="C57" s="628"/>
      <c r="D57" s="628"/>
      <c r="E57" s="628"/>
      <c r="F57" s="629"/>
      <c r="G57" s="629"/>
      <c r="H57" s="629"/>
      <c r="I57" s="628"/>
      <c r="J57" s="645" t="str">
        <f t="shared" si="22"/>
        <v>RA37Z</v>
      </c>
      <c r="K57" s="649" t="str">
        <f t="shared" si="23"/>
        <v>RA37Z</v>
      </c>
      <c r="L57" s="649" t="str">
        <f t="shared" si="24"/>
        <v>RA37Z</v>
      </c>
      <c r="M57" s="646">
        <f t="shared" si="25"/>
        <v>15391</v>
      </c>
      <c r="N57" s="650">
        <f t="shared" si="38"/>
        <v>1</v>
      </c>
      <c r="O57" s="651" t="b">
        <f t="shared" si="39"/>
        <v>0</v>
      </c>
      <c r="P57" s="652">
        <f>IF(AND($J57&lt;&gt;"N/A",O57),$N57*VLOOKUP($J57,Input_DI!$D$10:$G$58,P$1-5,FALSE),0)</f>
        <v>0</v>
      </c>
      <c r="Q57" s="653">
        <f t="shared" si="26"/>
        <v>0</v>
      </c>
      <c r="R57" s="654">
        <f t="shared" si="27"/>
        <v>0</v>
      </c>
      <c r="S57" s="628"/>
      <c r="T57" s="628"/>
      <c r="U57" s="628"/>
      <c r="V57" s="628"/>
      <c r="W57" s="707"/>
      <c r="X57" s="628"/>
      <c r="Y57" s="628"/>
      <c r="Z57" s="628"/>
      <c r="AA57" s="628"/>
      <c r="AB57" s="707"/>
      <c r="AC57" s="628"/>
      <c r="AD57" s="628"/>
      <c r="AE57" s="628"/>
      <c r="AF57" s="628"/>
      <c r="AG57" s="628"/>
      <c r="AH57" s="628"/>
      <c r="AI57" s="628"/>
    </row>
    <row r="58" spans="1:35" x14ac:dyDescent="0.2">
      <c r="A58" s="645" t="str">
        <f>Input_DI_activity_mapping!B64</f>
        <v>RA38Z,RA38Z</v>
      </c>
      <c r="B58" s="646">
        <f>Input_DI_activity_mapping!C64</f>
        <v>20468</v>
      </c>
      <c r="C58" s="628"/>
      <c r="D58" s="628"/>
      <c r="E58" s="628"/>
      <c r="F58" s="629"/>
      <c r="G58" s="629"/>
      <c r="H58" s="629"/>
      <c r="I58" s="628"/>
      <c r="J58" s="645" t="str">
        <f t="shared" si="22"/>
        <v>RA38Z</v>
      </c>
      <c r="K58" s="649" t="str">
        <f t="shared" si="23"/>
        <v>RA38Z</v>
      </c>
      <c r="L58" s="649" t="str">
        <f t="shared" si="24"/>
        <v>RA38Z</v>
      </c>
      <c r="M58" s="646">
        <f t="shared" si="25"/>
        <v>20468</v>
      </c>
      <c r="N58" s="650">
        <f t="shared" si="38"/>
        <v>1</v>
      </c>
      <c r="O58" s="651" t="b">
        <f t="shared" si="39"/>
        <v>0</v>
      </c>
      <c r="P58" s="652">
        <f>IF(AND($J58&lt;&gt;"N/A",O58),$N58*VLOOKUP($J58,Input_DI!$D$10:$G$58,P$1-5,FALSE),0)</f>
        <v>0</v>
      </c>
      <c r="Q58" s="653">
        <f t="shared" si="26"/>
        <v>0</v>
      </c>
      <c r="R58" s="654">
        <f t="shared" si="27"/>
        <v>0</v>
      </c>
      <c r="S58" s="628"/>
      <c r="T58" s="628"/>
      <c r="U58" s="628"/>
      <c r="V58" s="628"/>
      <c r="W58" s="628"/>
      <c r="X58" s="628"/>
      <c r="Y58" s="628"/>
      <c r="Z58" s="628"/>
      <c r="AA58" s="628"/>
      <c r="AB58" s="628"/>
      <c r="AC58" s="628"/>
      <c r="AD58" s="628"/>
      <c r="AE58" s="628"/>
      <c r="AF58" s="708"/>
      <c r="AG58" s="628"/>
      <c r="AH58" s="628"/>
      <c r="AI58" s="628"/>
    </row>
    <row r="59" spans="1:35" x14ac:dyDescent="0.2">
      <c r="A59" s="645" t="str">
        <f>Input_DI_activity_mapping!B65</f>
        <v>RA39Z,RA39Z</v>
      </c>
      <c r="B59" s="646">
        <f>Input_DI_activity_mapping!C65</f>
        <v>4670</v>
      </c>
      <c r="C59" s="628"/>
      <c r="D59" s="628"/>
      <c r="E59" s="628"/>
      <c r="F59" s="629"/>
      <c r="G59" s="629"/>
      <c r="H59" s="629"/>
      <c r="I59" s="628"/>
      <c r="J59" s="645" t="str">
        <f t="shared" si="22"/>
        <v>RA39Z</v>
      </c>
      <c r="K59" s="649" t="str">
        <f t="shared" si="23"/>
        <v>RA39Z</v>
      </c>
      <c r="L59" s="649" t="str">
        <f t="shared" si="24"/>
        <v>RA39Z</v>
      </c>
      <c r="M59" s="646">
        <f t="shared" si="25"/>
        <v>4670</v>
      </c>
      <c r="N59" s="650">
        <f t="shared" si="38"/>
        <v>1</v>
      </c>
      <c r="O59" s="651" t="b">
        <f t="shared" si="39"/>
        <v>0</v>
      </c>
      <c r="P59" s="652">
        <f>IF(AND($J59&lt;&gt;"N/A",O59),$N59*VLOOKUP($J59,Input_DI!$D$10:$G$58,P$1-5,FALSE),0)</f>
        <v>0</v>
      </c>
      <c r="Q59" s="653">
        <f t="shared" si="26"/>
        <v>0</v>
      </c>
      <c r="R59" s="654">
        <f t="shared" si="27"/>
        <v>0</v>
      </c>
      <c r="S59" s="628"/>
      <c r="T59" s="628"/>
      <c r="U59" s="628"/>
      <c r="V59" s="628"/>
      <c r="W59" s="628"/>
      <c r="X59" s="628"/>
      <c r="Y59" s="628"/>
      <c r="Z59" s="628"/>
      <c r="AA59" s="628"/>
      <c r="AB59" s="628"/>
      <c r="AC59" s="628"/>
      <c r="AD59" s="628"/>
      <c r="AE59" s="628"/>
      <c r="AF59" s="628"/>
      <c r="AG59" s="628"/>
      <c r="AH59" s="628"/>
      <c r="AI59" s="628"/>
    </row>
    <row r="60" spans="1:35" x14ac:dyDescent="0.2">
      <c r="A60" s="645" t="str">
        <f>Input_DI_activity_mapping!B66</f>
        <v>RA40Z,RA40Z</v>
      </c>
      <c r="B60" s="646">
        <f>Input_DI_activity_mapping!C66</f>
        <v>5121</v>
      </c>
      <c r="C60" s="628"/>
      <c r="D60" s="628"/>
      <c r="E60" s="628"/>
      <c r="F60" s="629"/>
      <c r="G60" s="629"/>
      <c r="H60" s="629"/>
      <c r="I60" s="628"/>
      <c r="J60" s="645" t="str">
        <f t="shared" si="22"/>
        <v>RA40Z</v>
      </c>
      <c r="K60" s="649" t="str">
        <f t="shared" si="23"/>
        <v>RA40Z</v>
      </c>
      <c r="L60" s="649" t="str">
        <f t="shared" si="24"/>
        <v>RA40Z</v>
      </c>
      <c r="M60" s="646">
        <f t="shared" si="25"/>
        <v>5121</v>
      </c>
      <c r="N60" s="650">
        <f t="shared" si="38"/>
        <v>1</v>
      </c>
      <c r="O60" s="651" t="b">
        <f t="shared" si="39"/>
        <v>0</v>
      </c>
      <c r="P60" s="652">
        <f>IF(AND($J60&lt;&gt;"N/A",O60),$N60*VLOOKUP($J60,Input_DI!$D$10:$G$58,P$1-5,FALSE),0)</f>
        <v>0</v>
      </c>
      <c r="Q60" s="653">
        <f t="shared" si="26"/>
        <v>0</v>
      </c>
      <c r="R60" s="654">
        <f t="shared" si="27"/>
        <v>0</v>
      </c>
      <c r="S60" s="628"/>
      <c r="T60" s="628"/>
      <c r="U60" s="628"/>
      <c r="V60" s="628"/>
      <c r="W60" s="628"/>
      <c r="X60" s="628"/>
      <c r="Y60" s="628"/>
      <c r="Z60" s="628"/>
      <c r="AA60" s="628"/>
      <c r="AB60" s="628"/>
      <c r="AC60" s="628"/>
      <c r="AD60" s="628"/>
      <c r="AE60" s="628"/>
      <c r="AF60" s="628"/>
      <c r="AG60" s="628"/>
      <c r="AH60" s="628"/>
      <c r="AI60" s="628"/>
    </row>
    <row r="61" spans="1:35" x14ac:dyDescent="0.2">
      <c r="A61" s="645" t="str">
        <f>Input_DI_activity_mapping!B67</f>
        <v>RA42Z,RA42Z</v>
      </c>
      <c r="B61" s="646">
        <f>Input_DI_activity_mapping!C67</f>
        <v>12801</v>
      </c>
      <c r="C61" s="628"/>
      <c r="D61" s="628"/>
      <c r="E61" s="628"/>
      <c r="F61" s="629"/>
      <c r="G61" s="629"/>
      <c r="H61" s="629"/>
      <c r="I61" s="628"/>
      <c r="J61" s="645" t="str">
        <f t="shared" si="22"/>
        <v>RA42Z</v>
      </c>
      <c r="K61" s="649" t="str">
        <f t="shared" si="23"/>
        <v>RA42Z</v>
      </c>
      <c r="L61" s="649" t="str">
        <f t="shared" si="24"/>
        <v>RA42Z</v>
      </c>
      <c r="M61" s="646">
        <f t="shared" si="25"/>
        <v>12801</v>
      </c>
      <c r="N61" s="650">
        <f t="shared" si="38"/>
        <v>1</v>
      </c>
      <c r="O61" s="651" t="b">
        <f t="shared" si="39"/>
        <v>0</v>
      </c>
      <c r="P61" s="652">
        <f>IF(AND($J61&lt;&gt;"N/A",O61),$N61*VLOOKUP($J61,Input_DI!$D$10:$G$58,P$1-5,FALSE),0)</f>
        <v>0</v>
      </c>
      <c r="Q61" s="653">
        <f t="shared" si="26"/>
        <v>0</v>
      </c>
      <c r="R61" s="654">
        <f t="shared" si="27"/>
        <v>0</v>
      </c>
      <c r="S61" s="628"/>
      <c r="T61" s="628"/>
      <c r="U61" s="628"/>
      <c r="V61" s="628"/>
      <c r="W61" s="628"/>
      <c r="X61" s="628"/>
      <c r="Y61" s="628"/>
      <c r="Z61" s="628"/>
      <c r="AA61" s="628"/>
      <c r="AB61" s="628"/>
      <c r="AC61" s="628"/>
      <c r="AD61" s="628"/>
      <c r="AE61" s="628"/>
      <c r="AF61" s="628"/>
      <c r="AG61" s="628"/>
      <c r="AH61" s="628"/>
      <c r="AI61" s="628"/>
    </row>
    <row r="62" spans="1:35" x14ac:dyDescent="0.2">
      <c r="A62" s="645" t="str">
        <f>Input_DI_activity_mapping!B68</f>
        <v>RA50Z,RA08A</v>
      </c>
      <c r="B62" s="646">
        <f>Input_DI_activity_mapping!C68</f>
        <v>2</v>
      </c>
      <c r="C62" s="628"/>
      <c r="D62" s="628"/>
      <c r="E62" s="628"/>
      <c r="F62" s="629"/>
      <c r="G62" s="629"/>
      <c r="H62" s="629"/>
      <c r="I62" s="628"/>
      <c r="J62" s="645" t="str">
        <f t="shared" si="22"/>
        <v>RA50Z</v>
      </c>
      <c r="K62" s="649" t="str">
        <f t="shared" si="23"/>
        <v>RA08A</v>
      </c>
      <c r="L62" s="649" t="str">
        <f t="shared" si="24"/>
        <v>RA08A</v>
      </c>
      <c r="M62" s="646">
        <f t="shared" si="25"/>
        <v>2</v>
      </c>
      <c r="N62" s="650">
        <f t="shared" si="38"/>
        <v>1.9297568506368199E-4</v>
      </c>
      <c r="O62" s="651" t="b">
        <f t="shared" si="39"/>
        <v>0</v>
      </c>
      <c r="P62" s="652">
        <f>IF(AND($J62&lt;&gt;"N/A",O62),$N62*VLOOKUP($J62,Input_DI!$D$10:$G$58,P$1-5,FALSE),0)</f>
        <v>0</v>
      </c>
      <c r="Q62" s="653">
        <f t="shared" si="26"/>
        <v>0</v>
      </c>
      <c r="R62" s="654">
        <f t="shared" si="27"/>
        <v>0</v>
      </c>
      <c r="S62" s="628"/>
      <c r="T62" s="628"/>
      <c r="U62" s="628"/>
      <c r="V62" s="628"/>
      <c r="W62" s="628"/>
      <c r="X62" s="628"/>
      <c r="Y62" s="628"/>
      <c r="Z62" s="628"/>
      <c r="AA62" s="628"/>
      <c r="AB62" s="628"/>
      <c r="AC62" s="628"/>
      <c r="AD62" s="628"/>
      <c r="AE62" s="628"/>
      <c r="AF62" s="628"/>
      <c r="AG62" s="628"/>
      <c r="AH62" s="628"/>
      <c r="AI62" s="628"/>
    </row>
    <row r="63" spans="1:35" x14ac:dyDescent="0.2">
      <c r="A63" s="645" t="str">
        <f>Input_DI_activity_mapping!B69</f>
        <v>RA50Z,RA50Z</v>
      </c>
      <c r="B63" s="646">
        <f>Input_DI_activity_mapping!C69</f>
        <v>10340</v>
      </c>
      <c r="C63" s="628"/>
      <c r="D63" s="628"/>
      <c r="E63" s="628"/>
      <c r="F63" s="629"/>
      <c r="G63" s="629"/>
      <c r="H63" s="629"/>
      <c r="I63" s="628"/>
      <c r="J63" s="645" t="str">
        <f t="shared" si="22"/>
        <v>RA50Z</v>
      </c>
      <c r="K63" s="649" t="str">
        <f t="shared" si="23"/>
        <v>RA50Z</v>
      </c>
      <c r="L63" s="649" t="str">
        <f t="shared" si="24"/>
        <v>RA50Z</v>
      </c>
      <c r="M63" s="646">
        <f t="shared" si="25"/>
        <v>10340</v>
      </c>
      <c r="N63" s="650">
        <f t="shared" si="38"/>
        <v>0.99768429177923579</v>
      </c>
      <c r="O63" s="651" t="b">
        <f t="shared" si="39"/>
        <v>0</v>
      </c>
      <c r="P63" s="652">
        <f>IF(AND($J63&lt;&gt;"N/A",O63),$N63*VLOOKUP($J63,Input_DI!$D$10:$G$58,P$1-5,FALSE),0)</f>
        <v>0</v>
      </c>
      <c r="Q63" s="653">
        <f t="shared" si="26"/>
        <v>0</v>
      </c>
      <c r="R63" s="654">
        <f t="shared" si="27"/>
        <v>0</v>
      </c>
      <c r="S63" s="628"/>
      <c r="T63" s="628"/>
      <c r="U63" s="628"/>
      <c r="V63" s="628"/>
      <c r="W63" s="628"/>
      <c r="X63" s="628"/>
      <c r="Y63" s="628"/>
      <c r="Z63" s="628"/>
      <c r="AA63" s="628"/>
      <c r="AB63" s="628"/>
      <c r="AC63" s="628"/>
      <c r="AD63" s="628"/>
      <c r="AE63" s="628"/>
      <c r="AF63" s="628"/>
      <c r="AG63" s="628"/>
      <c r="AH63" s="628"/>
      <c r="AI63" s="628"/>
    </row>
    <row r="64" spans="1:35" x14ac:dyDescent="0.2">
      <c r="A64" s="645" t="str">
        <f>Input_DI_activity_mapping!B70</f>
        <v>RA50Z,RA69Z</v>
      </c>
      <c r="B64" s="646">
        <f>Input_DI_activity_mapping!C70</f>
        <v>22</v>
      </c>
      <c r="C64" s="628"/>
      <c r="D64" s="628"/>
      <c r="E64" s="628"/>
      <c r="F64" s="629"/>
      <c r="G64" s="629"/>
      <c r="H64" s="629"/>
      <c r="I64" s="628"/>
      <c r="J64" s="645" t="str">
        <f t="shared" si="22"/>
        <v>RA50Z</v>
      </c>
      <c r="K64" s="649" t="str">
        <f t="shared" si="23"/>
        <v>RA69Z</v>
      </c>
      <c r="L64" s="649" t="str">
        <f t="shared" si="24"/>
        <v>RA69Z</v>
      </c>
      <c r="M64" s="646">
        <f t="shared" si="25"/>
        <v>22</v>
      </c>
      <c r="N64" s="650">
        <f t="shared" si="38"/>
        <v>2.1227325357005018E-3</v>
      </c>
      <c r="O64" s="651" t="b">
        <f t="shared" si="39"/>
        <v>1</v>
      </c>
      <c r="P64" s="652">
        <f>IF(AND($J64&lt;&gt;"N/A",O64),$N64*VLOOKUP($J64,Input_DI!$D$10:$G$58,P$1-5,FALSE),0)</f>
        <v>71.287726746429954</v>
      </c>
      <c r="Q64" s="653">
        <f t="shared" si="26"/>
        <v>16154.796508163839</v>
      </c>
      <c r="R64" s="654">
        <f t="shared" si="27"/>
        <v>226.61399437839225</v>
      </c>
      <c r="S64" s="628"/>
      <c r="T64" s="628"/>
      <c r="U64" s="628"/>
      <c r="V64" s="628"/>
      <c r="W64" s="628"/>
      <c r="X64" s="628"/>
      <c r="Y64" s="628"/>
      <c r="Z64" s="628"/>
      <c r="AA64" s="628"/>
      <c r="AB64" s="628"/>
      <c r="AC64" s="628"/>
      <c r="AD64" s="628"/>
      <c r="AE64" s="628"/>
      <c r="AF64" s="628"/>
      <c r="AG64" s="628"/>
      <c r="AH64" s="628"/>
      <c r="AI64" s="628"/>
    </row>
    <row r="65" spans="1:35" x14ac:dyDescent="0.2">
      <c r="A65" s="645" t="str">
        <f>Input_DI_activity_mapping!B71</f>
        <v>RA60A,RA60A</v>
      </c>
      <c r="B65" s="646">
        <f>Input_DI_activity_mapping!C71</f>
        <v>393396</v>
      </c>
      <c r="C65" s="628"/>
      <c r="D65" s="628"/>
      <c r="E65" s="628"/>
      <c r="F65" s="629"/>
      <c r="G65" s="629"/>
      <c r="H65" s="629"/>
      <c r="I65" s="628"/>
      <c r="J65" s="645" t="str">
        <f t="shared" si="22"/>
        <v>RA60A</v>
      </c>
      <c r="K65" s="649" t="str">
        <f t="shared" si="23"/>
        <v>RA60A</v>
      </c>
      <c r="L65" s="649" t="str">
        <f t="shared" si="24"/>
        <v>RA60A</v>
      </c>
      <c r="M65" s="646">
        <f t="shared" si="25"/>
        <v>393396</v>
      </c>
      <c r="N65" s="650">
        <f t="shared" si="38"/>
        <v>1</v>
      </c>
      <c r="O65" s="651" t="b">
        <f t="shared" si="39"/>
        <v>0</v>
      </c>
      <c r="P65" s="652">
        <f>IF(AND($J65&lt;&gt;"N/A",O65),$N65*VLOOKUP($J65,Input_DI!$D$10:$G$58,P$1-5,FALSE),0)</f>
        <v>0</v>
      </c>
      <c r="Q65" s="653">
        <f t="shared" si="26"/>
        <v>0</v>
      </c>
      <c r="R65" s="654">
        <f t="shared" si="27"/>
        <v>0</v>
      </c>
      <c r="S65" s="628"/>
      <c r="T65" s="628"/>
      <c r="U65" s="628"/>
      <c r="V65" s="628"/>
      <c r="W65" s="628"/>
      <c r="X65" s="628"/>
      <c r="Y65" s="628"/>
      <c r="Z65" s="628"/>
      <c r="AA65" s="628"/>
      <c r="AB65" s="628"/>
      <c r="AC65" s="628"/>
      <c r="AD65" s="628"/>
      <c r="AE65" s="628"/>
      <c r="AF65" s="628"/>
      <c r="AG65" s="628"/>
      <c r="AH65" s="628"/>
      <c r="AI65" s="628"/>
    </row>
    <row r="66" spans="1:35" x14ac:dyDescent="0.2">
      <c r="A66" s="645" t="str">
        <f>Input_DI_activity_mapping!B72</f>
        <v>RA60B,RA60B</v>
      </c>
      <c r="B66" s="646">
        <f>Input_DI_activity_mapping!C72</f>
        <v>24045</v>
      </c>
      <c r="C66" s="628"/>
      <c r="D66" s="628"/>
      <c r="E66" s="628"/>
      <c r="F66" s="629"/>
      <c r="G66" s="629"/>
      <c r="H66" s="629"/>
      <c r="I66" s="628"/>
      <c r="J66" s="645" t="str">
        <f t="shared" si="22"/>
        <v>RA60B</v>
      </c>
      <c r="K66" s="649" t="str">
        <f t="shared" si="23"/>
        <v>RA60B</v>
      </c>
      <c r="L66" s="649" t="str">
        <f t="shared" si="24"/>
        <v>RA60B</v>
      </c>
      <c r="M66" s="646">
        <f t="shared" si="25"/>
        <v>24045</v>
      </c>
      <c r="N66" s="650">
        <f t="shared" si="38"/>
        <v>1</v>
      </c>
      <c r="O66" s="651" t="b">
        <f t="shared" si="39"/>
        <v>0</v>
      </c>
      <c r="P66" s="652">
        <f>IF(AND($J66&lt;&gt;"N/A",O66),$N66*VLOOKUP($J66,Input_DI!$D$10:$G$58,P$1-5,FALSE),0)</f>
        <v>0</v>
      </c>
      <c r="Q66" s="653">
        <f t="shared" si="26"/>
        <v>0</v>
      </c>
      <c r="R66" s="654">
        <f t="shared" si="27"/>
        <v>0</v>
      </c>
      <c r="S66" s="628"/>
      <c r="T66" s="628"/>
      <c r="U66" s="628"/>
      <c r="V66" s="628"/>
      <c r="W66" s="628"/>
      <c r="X66" s="628"/>
      <c r="Y66" s="628"/>
      <c r="Z66" s="628"/>
      <c r="AA66" s="628"/>
      <c r="AB66" s="628"/>
      <c r="AC66" s="628"/>
      <c r="AD66" s="628"/>
      <c r="AE66" s="628"/>
      <c r="AF66" s="628"/>
      <c r="AG66" s="628"/>
      <c r="AH66" s="628"/>
      <c r="AI66" s="628"/>
    </row>
    <row r="67" spans="1:35" x14ac:dyDescent="0.2">
      <c r="A67" s="645" t="str">
        <f>Input_DI_activity_mapping!B73</f>
        <v>RA60C,RA60C</v>
      </c>
      <c r="B67" s="646">
        <f>Input_DI_activity_mapping!C73</f>
        <v>27022</v>
      </c>
      <c r="C67" s="628"/>
      <c r="D67" s="628"/>
      <c r="E67" s="628"/>
      <c r="F67" s="629"/>
      <c r="G67" s="629"/>
      <c r="H67" s="629"/>
      <c r="I67" s="628"/>
      <c r="J67" s="645" t="str">
        <f t="shared" si="22"/>
        <v>RA60C</v>
      </c>
      <c r="K67" s="649" t="str">
        <f t="shared" si="23"/>
        <v>RA60C</v>
      </c>
      <c r="L67" s="649" t="str">
        <f t="shared" si="24"/>
        <v>RA60C</v>
      </c>
      <c r="M67" s="646">
        <f t="shared" si="25"/>
        <v>27022</v>
      </c>
      <c r="N67" s="650">
        <f t="shared" si="38"/>
        <v>1</v>
      </c>
      <c r="O67" s="651" t="b">
        <f t="shared" si="39"/>
        <v>0</v>
      </c>
      <c r="P67" s="652">
        <f>IF(AND($J67&lt;&gt;"N/A",O67),$N67*VLOOKUP($J67,Input_DI!$D$10:$G$58,P$1-5,FALSE),0)</f>
        <v>0</v>
      </c>
      <c r="Q67" s="653">
        <f t="shared" si="26"/>
        <v>0</v>
      </c>
      <c r="R67" s="654">
        <f t="shared" si="27"/>
        <v>0</v>
      </c>
      <c r="S67" s="628"/>
      <c r="T67" s="628"/>
      <c r="U67" s="628"/>
      <c r="V67" s="628"/>
      <c r="W67" s="628"/>
      <c r="X67" s="628"/>
      <c r="Y67" s="628"/>
      <c r="Z67" s="628"/>
      <c r="AA67" s="628"/>
      <c r="AB67" s="628"/>
      <c r="AC67" s="628"/>
      <c r="AD67" s="628"/>
      <c r="AE67" s="628"/>
      <c r="AF67" s="628"/>
      <c r="AG67" s="628"/>
      <c r="AH67" s="628"/>
      <c r="AI67" s="628"/>
    </row>
    <row r="68" spans="1:35" x14ac:dyDescent="0.2">
      <c r="A68" s="645" t="str">
        <f>Input_DI_activity_mapping!B74</f>
        <v>RA65Z,RA65Z</v>
      </c>
      <c r="B68" s="646">
        <f>Input_DI_activity_mapping!C74</f>
        <v>7853</v>
      </c>
      <c r="C68" s="628"/>
      <c r="D68" s="628"/>
      <c r="E68" s="628"/>
      <c r="F68" s="629"/>
      <c r="G68" s="629"/>
      <c r="H68" s="629"/>
      <c r="I68" s="628"/>
      <c r="J68" s="645" t="str">
        <f t="shared" si="22"/>
        <v>RA65Z</v>
      </c>
      <c r="K68" s="649" t="str">
        <f t="shared" si="23"/>
        <v>RA65Z</v>
      </c>
      <c r="L68" s="649" t="str">
        <f t="shared" si="24"/>
        <v>RA65Z</v>
      </c>
      <c r="M68" s="646">
        <f t="shared" si="25"/>
        <v>7853</v>
      </c>
      <c r="N68" s="650">
        <f t="shared" ref="N68:N71" si="42">M68/VLOOKUP($J68,$D$4:$E$53,2,FALSE)</f>
        <v>1</v>
      </c>
      <c r="O68" s="651" t="b">
        <f t="shared" si="39"/>
        <v>0</v>
      </c>
      <c r="P68" s="652">
        <f>IF(AND($J68&lt;&gt;"N/A",O68),$N68*VLOOKUP($J68,Input_DI!$D$10:$G$58,P$1-5,FALSE),0)</f>
        <v>0</v>
      </c>
      <c r="Q68" s="653">
        <f t="shared" si="26"/>
        <v>0</v>
      </c>
      <c r="R68" s="654">
        <f t="shared" si="27"/>
        <v>0</v>
      </c>
      <c r="S68" s="628"/>
      <c r="T68" s="628"/>
      <c r="U68" s="628"/>
      <c r="V68" s="628"/>
      <c r="W68" s="628"/>
      <c r="X68" s="628"/>
      <c r="Y68" s="628"/>
      <c r="Z68" s="628"/>
      <c r="AA68" s="628"/>
      <c r="AB68" s="628"/>
      <c r="AC68" s="628"/>
      <c r="AD68" s="628"/>
      <c r="AE68" s="628"/>
      <c r="AF68" s="628"/>
      <c r="AG68" s="628"/>
      <c r="AH68" s="628"/>
      <c r="AI68" s="628"/>
    </row>
    <row r="69" spans="1:35" x14ac:dyDescent="0.2">
      <c r="A69" s="645" t="str">
        <f>Input_DI_activity_mapping!B75</f>
        <v>RA66Z,RA66Z</v>
      </c>
      <c r="B69" s="646">
        <f>Input_DI_activity_mapping!C75</f>
        <v>679</v>
      </c>
      <c r="C69" s="628"/>
      <c r="D69" s="628"/>
      <c r="E69" s="628"/>
      <c r="F69" s="629"/>
      <c r="G69" s="629"/>
      <c r="H69" s="629"/>
      <c r="I69" s="628"/>
      <c r="J69" s="645" t="str">
        <f t="shared" ref="J69:J71" si="43">LEFT($A69,FIND(",",$A69,1)-1)</f>
        <v>RA66Z</v>
      </c>
      <c r="K69" s="649" t="str">
        <f t="shared" ref="K69:K71" si="44">RIGHT($A69,LEN($A69)-FIND(",",$A69,1))</f>
        <v>RA66Z</v>
      </c>
      <c r="L69" s="649" t="str">
        <f t="shared" ref="L69:L71" si="45">K69</f>
        <v>RA66Z</v>
      </c>
      <c r="M69" s="646">
        <f t="shared" ref="M69:M71" si="46">$B69</f>
        <v>679</v>
      </c>
      <c r="N69" s="650">
        <f t="shared" si="42"/>
        <v>1</v>
      </c>
      <c r="O69" s="651" t="b">
        <f t="shared" ref="O69:O71" si="47">L69=$O$3</f>
        <v>0</v>
      </c>
      <c r="P69" s="652">
        <f>IF(AND($J69&lt;&gt;"N/A",O69),$N69*VLOOKUP($J69,Input_DI!$D$10:$G$58,P$1-5,FALSE),0)</f>
        <v>0</v>
      </c>
      <c r="Q69" s="653">
        <f t="shared" ref="Q69:Q71" si="48">P69*$H$6</f>
        <v>0</v>
      </c>
      <c r="R69" s="654">
        <f t="shared" ref="R69:R71" si="49">IF($P69=0,0,$Q69/$P69)</f>
        <v>0</v>
      </c>
      <c r="S69" s="628"/>
      <c r="T69" s="628"/>
      <c r="U69" s="628"/>
      <c r="V69" s="628"/>
      <c r="W69" s="628"/>
      <c r="X69" s="628"/>
      <c r="Y69" s="628"/>
      <c r="Z69" s="628"/>
      <c r="AA69" s="628"/>
      <c r="AB69" s="628"/>
      <c r="AC69" s="628"/>
      <c r="AD69" s="628"/>
      <c r="AE69" s="628"/>
      <c r="AF69" s="628"/>
      <c r="AG69" s="628"/>
      <c r="AH69" s="628"/>
      <c r="AI69" s="628"/>
    </row>
    <row r="70" spans="1:35" x14ac:dyDescent="0.2">
      <c r="A70" s="645" t="str">
        <f>Input_DI_activity_mapping!B76</f>
        <v>RA67Z,RA67Z</v>
      </c>
      <c r="B70" s="646">
        <f>Input_DI_activity_mapping!C76</f>
        <v>134</v>
      </c>
      <c r="C70" s="628"/>
      <c r="D70" s="628"/>
      <c r="E70" s="628"/>
      <c r="F70" s="629"/>
      <c r="G70" s="629"/>
      <c r="H70" s="629"/>
      <c r="I70" s="628"/>
      <c r="J70" s="645" t="str">
        <f t="shared" si="43"/>
        <v>RA67Z</v>
      </c>
      <c r="K70" s="649" t="str">
        <f t="shared" si="44"/>
        <v>RA67Z</v>
      </c>
      <c r="L70" s="649" t="str">
        <f t="shared" si="45"/>
        <v>RA67Z</v>
      </c>
      <c r="M70" s="646">
        <f t="shared" si="46"/>
        <v>134</v>
      </c>
      <c r="N70" s="650">
        <f t="shared" si="42"/>
        <v>1</v>
      </c>
      <c r="O70" s="651" t="b">
        <f t="shared" si="47"/>
        <v>0</v>
      </c>
      <c r="P70" s="652">
        <f>IF(AND($J70&lt;&gt;"N/A",O70),$N70*VLOOKUP($J70,Input_DI!$D$10:$G$58,P$1-5,FALSE),0)</f>
        <v>0</v>
      </c>
      <c r="Q70" s="653">
        <f t="shared" si="48"/>
        <v>0</v>
      </c>
      <c r="R70" s="654">
        <f t="shared" si="49"/>
        <v>0</v>
      </c>
      <c r="S70" s="628"/>
      <c r="T70" s="628"/>
      <c r="U70" s="628"/>
      <c r="V70" s="628"/>
      <c r="W70" s="628"/>
      <c r="X70" s="628"/>
      <c r="Y70" s="628"/>
      <c r="Z70" s="628"/>
      <c r="AA70" s="628"/>
      <c r="AB70" s="628"/>
      <c r="AC70" s="628"/>
      <c r="AD70" s="628"/>
      <c r="AE70" s="628"/>
      <c r="AF70" s="628"/>
      <c r="AG70" s="628"/>
      <c r="AH70" s="628"/>
      <c r="AI70" s="628"/>
    </row>
    <row r="71" spans="1:35" ht="13.5" thickBot="1" x14ac:dyDescent="0.25">
      <c r="A71" s="684" t="str">
        <f>Input_DI_activity_mapping!B77</f>
        <v>RA68Z,RA69Z</v>
      </c>
      <c r="B71" s="685">
        <f>Input_DI_activity_mapping!C77</f>
        <v>9370</v>
      </c>
      <c r="C71" s="628"/>
      <c r="D71" s="628"/>
      <c r="E71" s="628"/>
      <c r="F71" s="629"/>
      <c r="G71" s="629"/>
      <c r="H71" s="629"/>
      <c r="I71" s="628"/>
      <c r="J71" s="684" t="str">
        <f t="shared" si="43"/>
        <v>RA68Z</v>
      </c>
      <c r="K71" s="709" t="str">
        <f t="shared" si="44"/>
        <v>RA69Z</v>
      </c>
      <c r="L71" s="709" t="str">
        <f t="shared" si="45"/>
        <v>RA69Z</v>
      </c>
      <c r="M71" s="685">
        <f t="shared" si="46"/>
        <v>9370</v>
      </c>
      <c r="N71" s="650">
        <f t="shared" si="42"/>
        <v>1</v>
      </c>
      <c r="O71" s="710" t="b">
        <f t="shared" si="47"/>
        <v>1</v>
      </c>
      <c r="P71" s="711">
        <f>IF(AND($J71&lt;&gt;"N/A",O71),$N71*VLOOKUP($J71,Input_DI!$D$10:$G$58,P$1-5,FALSE),0)</f>
        <v>16601</v>
      </c>
      <c r="Q71" s="712">
        <f t="shared" si="48"/>
        <v>3762018.9206756898</v>
      </c>
      <c r="R71" s="654">
        <f t="shared" si="49"/>
        <v>226.61399437839225</v>
      </c>
      <c r="S71" s="628"/>
      <c r="T71" s="628"/>
      <c r="U71" s="628"/>
      <c r="V71" s="628"/>
      <c r="W71" s="628"/>
      <c r="X71" s="628"/>
      <c r="Y71" s="628"/>
      <c r="Z71" s="628"/>
      <c r="AA71" s="628"/>
      <c r="AB71" s="628"/>
      <c r="AC71" s="628"/>
      <c r="AD71" s="628"/>
      <c r="AE71" s="628"/>
      <c r="AF71" s="628"/>
      <c r="AG71" s="628"/>
      <c r="AH71" s="628"/>
      <c r="AI71" s="628"/>
    </row>
    <row r="72" spans="1:35" x14ac:dyDescent="0.2">
      <c r="A72" s="628"/>
      <c r="B72" s="697">
        <f>SUM(B$4:B71)</f>
        <v>2784986</v>
      </c>
      <c r="C72" s="628"/>
      <c r="D72" s="628"/>
      <c r="E72" s="628"/>
      <c r="F72" s="697"/>
      <c r="G72" s="697"/>
      <c r="H72" s="697"/>
      <c r="I72" s="628"/>
      <c r="J72" s="628"/>
      <c r="K72" s="628"/>
      <c r="L72" s="628"/>
      <c r="M72" s="697">
        <f>SUM(M$4:M71)</f>
        <v>2784986</v>
      </c>
      <c r="N72" s="628"/>
      <c r="O72" s="628"/>
      <c r="P72" s="697">
        <f>SUM(P$4:P71)</f>
        <v>66538.464557450934</v>
      </c>
      <c r="Q72" s="697">
        <f>SUM(Q$4:Q71)</f>
        <v>15078547.233169036</v>
      </c>
      <c r="R72" s="628"/>
    </row>
    <row r="74" spans="1:35" x14ac:dyDescent="0.2">
      <c r="A74" s="124" t="s">
        <v>80</v>
      </c>
    </row>
    <row r="75" spans="1:35" ht="15" x14ac:dyDescent="0.25">
      <c r="A75" s="442" t="s">
        <v>778</v>
      </c>
    </row>
    <row r="76" spans="1:35" ht="15" x14ac:dyDescent="0.25">
      <c r="A76" s="442" t="s">
        <v>779</v>
      </c>
    </row>
  </sheetData>
  <autoFilter ref="AH3:AI53"/>
  <sortState ref="D2:D46">
    <sortCondition ref="D2:D46"/>
  </sortState>
  <mergeCells count="7">
    <mergeCell ref="Y2:AB2"/>
    <mergeCell ref="U2:V2"/>
    <mergeCell ref="D2:E2"/>
    <mergeCell ref="G2:H2"/>
    <mergeCell ref="A2:B2"/>
    <mergeCell ref="O2:Q2"/>
    <mergeCell ref="J2:M2"/>
  </mergeCells>
  <conditionalFormatting sqref="U54:V54">
    <cfRule type="cellIs" dxfId="1" priority="2" operator="notEqual">
      <formula>U55</formula>
    </cfRule>
  </conditionalFormatting>
  <conditionalFormatting sqref="Y54:AA54">
    <cfRule type="cellIs" dxfId="0" priority="1" operator="notEqual">
      <formula>Y55</formula>
    </cfRule>
  </conditionalFormatting>
  <hyperlinks>
    <hyperlink ref="A1" location="Navigation!A1" display="Home"/>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E21"/>
  <sheetViews>
    <sheetView zoomScaleNormal="100" workbookViewId="0"/>
  </sheetViews>
  <sheetFormatPr defaultRowHeight="15" x14ac:dyDescent="0.25"/>
  <cols>
    <col min="1" max="1" width="1.140625" customWidth="1"/>
    <col min="2" max="2" width="18.85546875" bestFit="1" customWidth="1"/>
    <col min="3" max="3" width="38.7109375" bestFit="1" customWidth="1"/>
    <col min="4" max="4" width="98.7109375" bestFit="1" customWidth="1"/>
    <col min="5" max="5" width="62.85546875" customWidth="1"/>
  </cols>
  <sheetData>
    <row r="1" spans="2:5" s="11" customFormat="1" thickBot="1" x14ac:dyDescent="0.35"/>
    <row r="2" spans="2:5" ht="15.75" thickBot="1" x14ac:dyDescent="0.3">
      <c r="B2" s="168" t="s">
        <v>365</v>
      </c>
      <c r="C2" s="169" t="s">
        <v>361</v>
      </c>
      <c r="D2" s="170" t="s">
        <v>366</v>
      </c>
      <c r="E2" s="171" t="s">
        <v>367</v>
      </c>
    </row>
    <row r="3" spans="2:5" s="167" customFormat="1" x14ac:dyDescent="0.25">
      <c r="B3" s="886" t="s">
        <v>490</v>
      </c>
      <c r="C3" s="404" t="s">
        <v>359</v>
      </c>
      <c r="D3" s="405" t="s">
        <v>975</v>
      </c>
      <c r="E3" s="406" t="s">
        <v>368</v>
      </c>
    </row>
    <row r="4" spans="2:5" x14ac:dyDescent="0.25">
      <c r="B4" s="887"/>
      <c r="C4" s="407" t="s">
        <v>360</v>
      </c>
      <c r="D4" s="408" t="s">
        <v>372</v>
      </c>
      <c r="E4" s="409" t="s">
        <v>368</v>
      </c>
    </row>
    <row r="5" spans="2:5" s="167" customFormat="1" x14ac:dyDescent="0.25">
      <c r="B5" s="887"/>
      <c r="C5" s="407" t="s">
        <v>714</v>
      </c>
      <c r="D5" s="408" t="s">
        <v>967</v>
      </c>
      <c r="E5" s="409" t="s">
        <v>368</v>
      </c>
    </row>
    <row r="6" spans="2:5" s="167" customFormat="1" x14ac:dyDescent="0.25">
      <c r="B6" s="887"/>
      <c r="C6" s="407" t="s">
        <v>495</v>
      </c>
      <c r="D6" s="408" t="s">
        <v>496</v>
      </c>
      <c r="E6" s="409" t="s">
        <v>368</v>
      </c>
    </row>
    <row r="7" spans="2:5" x14ac:dyDescent="0.25">
      <c r="B7" s="888" t="s">
        <v>491</v>
      </c>
      <c r="C7" s="410" t="s">
        <v>499</v>
      </c>
      <c r="D7" s="408" t="s">
        <v>371</v>
      </c>
      <c r="E7" s="409" t="s">
        <v>368</v>
      </c>
    </row>
    <row r="8" spans="2:5" x14ac:dyDescent="0.25">
      <c r="B8" s="888"/>
      <c r="C8" s="410" t="s">
        <v>498</v>
      </c>
      <c r="D8" s="408" t="s">
        <v>370</v>
      </c>
      <c r="E8" s="409" t="s">
        <v>368</v>
      </c>
    </row>
    <row r="9" spans="2:5" s="167" customFormat="1" ht="25.5" x14ac:dyDescent="0.25">
      <c r="B9" s="888"/>
      <c r="C9" s="410" t="s">
        <v>915</v>
      </c>
      <c r="D9" s="408" t="s">
        <v>716</v>
      </c>
      <c r="E9" s="409" t="s">
        <v>368</v>
      </c>
    </row>
    <row r="10" spans="2:5" s="167" customFormat="1" x14ac:dyDescent="0.25">
      <c r="B10" s="888"/>
      <c r="C10" s="410" t="s">
        <v>497</v>
      </c>
      <c r="D10" s="408" t="s">
        <v>500</v>
      </c>
      <c r="E10" s="409" t="s">
        <v>368</v>
      </c>
    </row>
    <row r="11" spans="2:5" s="167" customFormat="1" ht="38.25" x14ac:dyDescent="0.25">
      <c r="B11" s="889" t="s">
        <v>492</v>
      </c>
      <c r="C11" s="412" t="s">
        <v>501</v>
      </c>
      <c r="D11" s="408" t="s">
        <v>966</v>
      </c>
      <c r="E11" s="417" t="s">
        <v>965</v>
      </c>
    </row>
    <row r="12" spans="2:5" s="167" customFormat="1" x14ac:dyDescent="0.25">
      <c r="B12" s="890"/>
      <c r="C12" s="414" t="s">
        <v>355</v>
      </c>
      <c r="D12" s="413" t="s">
        <v>968</v>
      </c>
      <c r="E12" s="409" t="s">
        <v>369</v>
      </c>
    </row>
    <row r="13" spans="2:5" s="167" customFormat="1" x14ac:dyDescent="0.25">
      <c r="B13" s="890"/>
      <c r="C13" s="414" t="s">
        <v>916</v>
      </c>
      <c r="D13" s="422" t="s">
        <v>918</v>
      </c>
      <c r="E13" s="409" t="s">
        <v>369</v>
      </c>
    </row>
    <row r="14" spans="2:5" s="167" customFormat="1" x14ac:dyDescent="0.25">
      <c r="B14" s="891"/>
      <c r="C14" s="411" t="s">
        <v>917</v>
      </c>
      <c r="D14" s="413" t="s">
        <v>373</v>
      </c>
      <c r="E14" s="415"/>
    </row>
    <row r="15" spans="2:5" x14ac:dyDescent="0.25">
      <c r="B15" s="888" t="s">
        <v>493</v>
      </c>
      <c r="C15" s="416" t="s">
        <v>356</v>
      </c>
      <c r="D15" s="408" t="s">
        <v>376</v>
      </c>
      <c r="E15" s="409"/>
    </row>
    <row r="16" spans="2:5" x14ac:dyDescent="0.25">
      <c r="B16" s="888"/>
      <c r="C16" s="416" t="s">
        <v>357</v>
      </c>
      <c r="D16" s="408" t="s">
        <v>375</v>
      </c>
      <c r="E16" s="409"/>
    </row>
    <row r="17" spans="2:5" x14ac:dyDescent="0.25">
      <c r="B17" s="888"/>
      <c r="C17" s="416" t="s">
        <v>358</v>
      </c>
      <c r="D17" s="408" t="s">
        <v>374</v>
      </c>
      <c r="E17" s="409"/>
    </row>
    <row r="18" spans="2:5" s="167" customFormat="1" x14ac:dyDescent="0.25">
      <c r="B18" s="888"/>
      <c r="C18" s="416" t="s">
        <v>951</v>
      </c>
      <c r="D18" s="408" t="s">
        <v>715</v>
      </c>
      <c r="E18" s="409"/>
    </row>
    <row r="19" spans="2:5" s="167" customFormat="1" x14ac:dyDescent="0.25">
      <c r="B19" s="888"/>
      <c r="C19" s="416" t="s">
        <v>502</v>
      </c>
      <c r="D19" s="408" t="s">
        <v>503</v>
      </c>
      <c r="E19" s="409"/>
    </row>
    <row r="20" spans="2:5" x14ac:dyDescent="0.25">
      <c r="B20" s="888"/>
      <c r="C20" s="416" t="s">
        <v>353</v>
      </c>
      <c r="D20" s="408" t="s">
        <v>504</v>
      </c>
      <c r="E20" s="417"/>
    </row>
    <row r="21" spans="2:5" s="167" customFormat="1" ht="15.75" thickBot="1" x14ac:dyDescent="0.3">
      <c r="B21" s="418" t="s">
        <v>494</v>
      </c>
      <c r="C21" s="419" t="s">
        <v>354</v>
      </c>
      <c r="D21" s="420" t="s">
        <v>964</v>
      </c>
      <c r="E21" s="421"/>
    </row>
  </sheetData>
  <mergeCells count="4">
    <mergeCell ref="B3:B6"/>
    <mergeCell ref="B7:B10"/>
    <mergeCell ref="B15:B20"/>
    <mergeCell ref="B11:B14"/>
  </mergeCells>
  <hyperlinks>
    <hyperlink ref="C20" location="'Manual adjustments'!A1" display="Manual adjustments"/>
    <hyperlink ref="C3" location="'Radio_&amp;_Chemo_SQL'!A1" display="Radio_&amp;_Chemo_SQL"/>
    <hyperlink ref="C7" location="Input_Rad!A1" display="Input_Rad"/>
    <hyperlink ref="C8" location="Input_DI!A1" display="Input_DI"/>
    <hyperlink ref="C15" location="Rad_Calc!A1" display="Rad_Calc"/>
    <hyperlink ref="C16" location="Chem_Calc!A1" display="Chem_Calc"/>
    <hyperlink ref="C17" location="DI_Calc!A1" display="DI_Calc"/>
    <hyperlink ref="C21" location="'Linked Sheet'!A1" display="Linked Sheet"/>
    <hyperlink ref="C11" location="'2015-16 Tariff'!A1" display="2015-16 Tariff"/>
    <hyperlink ref="C19" location="'AKI_Calc '!A1" display="AKI_Calc "/>
    <hyperlink ref="C4" location="DI_SQL!A1" display="DI_SQL"/>
    <hyperlink ref="C10" location="Input_AKI!A1" display="Input_AKI"/>
    <hyperlink ref="C9" location="Input_DI_activity_mapping!A1" display="Input_DI_activity_mapping"/>
    <hyperlink ref="C6" location="AKI_SQL!A1" display="AKI_SQL"/>
    <hyperlink ref="C5" location="DI_activity_mapping_SQL!A1" display="DI_activity_mapping_SQL"/>
    <hyperlink ref="C18" location="'DI Activity Mapping_Calc'!A1" display="DI Activity Mapping Calc"/>
    <hyperlink ref="C13" location="'Manual adjustment requests'!A1" display="Manual adjustment requests"/>
    <hyperlink ref="C14" location="'DI Cost of reporting'!A1" display="DI Cost of reporting"/>
    <hyperlink ref="C12" location="'Price Adjustments'!A1" display="Price Adjustments"/>
  </hyperlinks>
  <pageMargins left="0.7" right="0.7" top="0.75" bottom="0.75" header="0.3" footer="0.3"/>
  <pageSetup paperSize="2058" orientation="portrait" horizontalDpi="300" vertic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sheetPr>
  <dimension ref="B1:T19"/>
  <sheetViews>
    <sheetView zoomScaleNormal="100" workbookViewId="0"/>
  </sheetViews>
  <sheetFormatPr defaultColWidth="9.140625" defaultRowHeight="15" x14ac:dyDescent="0.25"/>
  <cols>
    <col min="1" max="1" width="1.140625" style="167" customWidth="1"/>
    <col min="2" max="2" width="12.140625" style="167" customWidth="1"/>
    <col min="3" max="3" width="79.85546875" style="167" bestFit="1" customWidth="1"/>
    <col min="4" max="6" width="17" style="167" customWidth="1"/>
    <col min="7" max="7" width="1.140625" style="167" customWidth="1"/>
    <col min="8" max="8" width="17.42578125" style="167" customWidth="1"/>
    <col min="9" max="9" width="11.5703125" style="167" customWidth="1"/>
    <col min="10" max="10" width="10.28515625" style="167" customWidth="1"/>
    <col min="11" max="11" width="1.140625" style="13" customWidth="1"/>
    <col min="12" max="12" width="8.7109375" style="13" bestFit="1" customWidth="1"/>
    <col min="13" max="13" width="1.140625" style="167" customWidth="1"/>
    <col min="14" max="14" width="10.28515625" style="167" bestFit="1" customWidth="1"/>
    <col min="15" max="15" width="1" style="167" customWidth="1"/>
    <col min="16" max="16" width="9.5703125" style="167" customWidth="1"/>
    <col min="17" max="17" width="1.140625" style="167" customWidth="1"/>
    <col min="18" max="18" width="14.42578125" style="167" customWidth="1"/>
    <col min="19" max="19" width="1.140625" style="167" customWidth="1"/>
    <col min="20" max="20" width="14.42578125" style="167" customWidth="1"/>
    <col min="21" max="16384" width="9.140625" style="167"/>
  </cols>
  <sheetData>
    <row r="1" spans="2:20" ht="15" customHeight="1" x14ac:dyDescent="0.25">
      <c r="B1" s="173" t="s">
        <v>377</v>
      </c>
    </row>
    <row r="2" spans="2:20" ht="22.5" customHeight="1" x14ac:dyDescent="0.25">
      <c r="B2" s="30" t="s">
        <v>484</v>
      </c>
      <c r="C2" s="27"/>
      <c r="D2" s="27"/>
      <c r="E2" s="27"/>
      <c r="F2" s="27"/>
      <c r="G2" s="27"/>
      <c r="H2" s="27"/>
      <c r="I2" s="27"/>
      <c r="J2" s="27"/>
      <c r="K2" s="27"/>
      <c r="L2" s="27"/>
      <c r="M2" s="27"/>
      <c r="N2" s="27"/>
      <c r="O2" s="27"/>
      <c r="P2" s="27"/>
      <c r="Q2" s="27"/>
      <c r="R2" s="27"/>
      <c r="S2" s="27"/>
      <c r="T2" s="27"/>
    </row>
    <row r="3" spans="2:20" s="14" customFormat="1" ht="15" customHeight="1" x14ac:dyDescent="0.25"/>
    <row r="4" spans="2:20" ht="15" customHeight="1" x14ac:dyDescent="0.25">
      <c r="B4" s="26" t="s">
        <v>57</v>
      </c>
      <c r="C4" s="24" t="s">
        <v>247</v>
      </c>
      <c r="J4" s="14"/>
      <c r="K4" s="149"/>
      <c r="L4" s="149"/>
      <c r="M4" s="14"/>
    </row>
    <row r="5" spans="2:20" ht="15" customHeight="1" x14ac:dyDescent="0.25">
      <c r="B5" s="26" t="s">
        <v>232</v>
      </c>
      <c r="C5" s="24" t="s">
        <v>485</v>
      </c>
      <c r="J5" s="14"/>
      <c r="K5" s="149"/>
      <c r="L5" s="149"/>
      <c r="M5" s="14"/>
    </row>
    <row r="6" spans="2:20" s="14" customFormat="1" ht="15" customHeight="1" thickBot="1" x14ac:dyDescent="0.3">
      <c r="K6" s="149"/>
      <c r="L6" s="149"/>
    </row>
    <row r="7" spans="2:20" ht="51.75" customHeight="1" thickBot="1" x14ac:dyDescent="0.3">
      <c r="B7" s="854" t="s">
        <v>178</v>
      </c>
      <c r="C7" s="128" t="str">
        <f>'Price Adjustments'!D3</f>
        <v>2014/15</v>
      </c>
      <c r="D7" s="128" t="str">
        <f>'Price Adjustments'!E3</f>
        <v>2015/16</v>
      </c>
      <c r="E7" s="128" t="str">
        <f>'Price Adjustments'!F3</f>
        <v>2016/17</v>
      </c>
      <c r="J7" s="14"/>
      <c r="K7" s="149"/>
      <c r="L7" s="14"/>
      <c r="M7" s="14"/>
    </row>
    <row r="8" spans="2:20" ht="15" customHeight="1" x14ac:dyDescent="0.25">
      <c r="B8" s="849" t="s">
        <v>258</v>
      </c>
      <c r="C8" s="314">
        <f>'Price Adjustments'!D4</f>
        <v>2.5000000000000001E-2</v>
      </c>
      <c r="D8" s="131">
        <f>'Price Adjustments'!E4</f>
        <v>1.92529689878824E-2</v>
      </c>
      <c r="E8" s="309">
        <f>'Price Adjustments'!F4</f>
        <v>0</v>
      </c>
      <c r="J8" s="14"/>
      <c r="K8" s="149"/>
      <c r="L8" s="14"/>
      <c r="M8" s="14"/>
    </row>
    <row r="9" spans="2:20" ht="15" customHeight="1" x14ac:dyDescent="0.25">
      <c r="B9" s="850" t="s">
        <v>259</v>
      </c>
      <c r="C9" s="314">
        <f>'Price Adjustments'!D5</f>
        <v>-0.04</v>
      </c>
      <c r="D9" s="131">
        <f>'Price Adjustments'!E5</f>
        <v>-3.5000000000000003E-2</v>
      </c>
      <c r="E9" s="309">
        <f>'Price Adjustments'!F5</f>
        <v>0</v>
      </c>
      <c r="J9" s="14"/>
      <c r="K9" s="149"/>
      <c r="L9" s="14"/>
      <c r="M9" s="14"/>
    </row>
    <row r="10" spans="2:20" ht="15" customHeight="1" x14ac:dyDescent="0.25">
      <c r="B10" s="851" t="s">
        <v>273</v>
      </c>
      <c r="C10" s="314">
        <f>'Price Adjustments'!D6</f>
        <v>-1.4999999999999999E-2</v>
      </c>
      <c r="D10" s="131">
        <f>'Price Adjustments'!E6</f>
        <v>-1.6420884926693469E-2</v>
      </c>
      <c r="E10" s="309">
        <f>'Price Adjustments'!F6</f>
        <v>0</v>
      </c>
      <c r="J10" s="14"/>
      <c r="K10" s="149"/>
      <c r="L10" s="14"/>
      <c r="M10" s="14"/>
    </row>
    <row r="11" spans="2:20" ht="15" customHeight="1" thickBot="1" x14ac:dyDescent="0.3">
      <c r="B11" s="852"/>
      <c r="C11" s="315"/>
      <c r="D11" s="133"/>
      <c r="E11" s="853"/>
      <c r="J11" s="14"/>
      <c r="K11" s="149"/>
      <c r="L11" s="14"/>
      <c r="M11" s="14"/>
    </row>
    <row r="12" spans="2:20" s="14" customFormat="1" ht="15" customHeight="1" thickBot="1" x14ac:dyDescent="0.3">
      <c r="B12" s="329">
        <v>1</v>
      </c>
      <c r="C12" s="329">
        <v>2</v>
      </c>
      <c r="D12" s="329">
        <v>3</v>
      </c>
      <c r="E12" s="329">
        <v>4</v>
      </c>
      <c r="F12" s="329">
        <v>5</v>
      </c>
      <c r="G12" s="329">
        <v>6</v>
      </c>
      <c r="H12" s="329">
        <v>7</v>
      </c>
      <c r="I12" s="329">
        <v>8</v>
      </c>
      <c r="J12" s="329">
        <v>9</v>
      </c>
      <c r="K12" s="329">
        <v>10</v>
      </c>
      <c r="L12" s="329">
        <v>11</v>
      </c>
      <c r="M12" s="329">
        <v>12</v>
      </c>
      <c r="N12" s="329">
        <v>13</v>
      </c>
      <c r="O12" s="329">
        <v>14</v>
      </c>
      <c r="P12" s="329">
        <v>15</v>
      </c>
      <c r="Q12" s="329">
        <v>16</v>
      </c>
      <c r="R12" s="329">
        <v>17</v>
      </c>
    </row>
    <row r="13" spans="2:20" ht="18" customHeight="1" thickBot="1" x14ac:dyDescent="0.35">
      <c r="B13" s="126" t="s">
        <v>270</v>
      </c>
      <c r="D13" s="105" t="s">
        <v>244</v>
      </c>
      <c r="E13" s="106"/>
      <c r="F13" s="104" t="s">
        <v>245</v>
      </c>
      <c r="H13" s="915" t="s">
        <v>266</v>
      </c>
      <c r="I13" s="916"/>
      <c r="J13" s="917"/>
      <c r="K13" s="6"/>
    </row>
    <row r="14" spans="2:20" ht="87" customHeight="1" thickBot="1" x14ac:dyDescent="0.3">
      <c r="B14" s="80" t="s">
        <v>467</v>
      </c>
      <c r="C14" s="86" t="s">
        <v>58</v>
      </c>
      <c r="D14" s="33" t="s">
        <v>251</v>
      </c>
      <c r="E14" s="94" t="s">
        <v>920</v>
      </c>
      <c r="F14" s="81" t="s">
        <v>926</v>
      </c>
      <c r="G14" s="525"/>
      <c r="H14" s="96" t="str">
        <f>$B$10&amp; " "&amp;$C$7&amp;" &amp; "&amp;$D$7</f>
        <v>Inflation and Efficiency (total adjustment) 2014/15 &amp; 2015/16</v>
      </c>
      <c r="I14" s="97" t="s">
        <v>461</v>
      </c>
      <c r="J14" s="98" t="s">
        <v>265</v>
      </c>
      <c r="K14" s="599"/>
      <c r="L14" s="70" t="s">
        <v>922</v>
      </c>
      <c r="M14" s="525"/>
      <c r="N14" s="331" t="s">
        <v>474</v>
      </c>
      <c r="O14" s="525"/>
      <c r="P14" s="70" t="s">
        <v>921</v>
      </c>
    </row>
    <row r="15" spans="2:20" ht="15" customHeight="1" x14ac:dyDescent="0.25">
      <c r="B15" s="185" t="s">
        <v>379</v>
      </c>
      <c r="C15" s="186" t="s">
        <v>383</v>
      </c>
      <c r="D15" s="600">
        <f>VLOOKUP($B15,Input_AKI!$C$8:$G$11,2,FALSE)</f>
        <v>2329</v>
      </c>
      <c r="E15" s="581">
        <f>VLOOKUP($B15,Input_AKI!$C$8:$G$11,3,FALSE)</f>
        <v>1524217.5378350499</v>
      </c>
      <c r="F15" s="602">
        <f t="shared" ref="F15:F16" si="0">E15/D15</f>
        <v>654.45149756764704</v>
      </c>
      <c r="G15" s="525"/>
      <c r="H15" s="603">
        <f>(1+$C$10)*(1+$D$10)-1</f>
        <v>-3.1174571652793026E-2</v>
      </c>
      <c r="I15" s="604">
        <v>0</v>
      </c>
      <c r="J15" s="605">
        <f>(1+H15)*(1+I15)-1</f>
        <v>-3.1174571652793026E-2</v>
      </c>
      <c r="K15" s="599"/>
      <c r="L15" s="586">
        <f t="shared" ref="L15:L16" si="1">F15*(1+J15)</f>
        <v>634.04925246344669</v>
      </c>
      <c r="M15" s="525"/>
      <c r="N15" s="560">
        <f>QR1_Unbundled</f>
        <v>3.6740734670521746E-3</v>
      </c>
      <c r="O15" s="525"/>
      <c r="P15" s="494">
        <f>L15*(1+N15)</f>
        <v>636.3787959987269</v>
      </c>
    </row>
    <row r="16" spans="2:20" ht="15" customHeight="1" thickBot="1" x14ac:dyDescent="0.3">
      <c r="B16" s="387" t="s">
        <v>381</v>
      </c>
      <c r="C16" s="388" t="s">
        <v>385</v>
      </c>
      <c r="D16" s="618">
        <f>VLOOKUP($B16,Input_AKI!$C$8:$G$11,2,FALSE)</f>
        <v>79</v>
      </c>
      <c r="E16" s="594">
        <f>VLOOKUP($B16,Input_AKI!$C$8:$G$11,3,FALSE)</f>
        <v>29596.7921953439</v>
      </c>
      <c r="F16" s="619">
        <f t="shared" si="0"/>
        <v>374.64293918156835</v>
      </c>
      <c r="G16" s="713"/>
      <c r="H16" s="714">
        <f>(1+$C$10)*(1+$D$10)-1</f>
        <v>-3.1174571652793026E-2</v>
      </c>
      <c r="I16" s="715">
        <v>0</v>
      </c>
      <c r="J16" s="716">
        <f t="shared" ref="J16" si="2">(1+H16)*(1+I16)-1</f>
        <v>-3.1174571652793026E-2</v>
      </c>
      <c r="K16" s="717"/>
      <c r="L16" s="598">
        <f t="shared" si="1"/>
        <v>362.96360602983958</v>
      </c>
      <c r="M16" s="718"/>
      <c r="N16" s="555">
        <f>QR1_Unbundled</f>
        <v>3.6740734670521746E-3</v>
      </c>
      <c r="O16" s="719"/>
      <c r="P16" s="496">
        <f t="shared" ref="P16" si="3">L16*(1+N16)</f>
        <v>364.29716098425939</v>
      </c>
    </row>
    <row r="17" spans="2:16" customFormat="1" ht="5.25" customHeight="1" thickBot="1" x14ac:dyDescent="0.3">
      <c r="B17" s="525"/>
      <c r="C17" s="525"/>
      <c r="D17" s="525"/>
      <c r="E17" s="601"/>
      <c r="F17" s="601"/>
      <c r="G17" s="525"/>
      <c r="H17" s="525"/>
      <c r="I17" s="525"/>
      <c r="J17" s="525"/>
      <c r="K17" s="525"/>
      <c r="L17" s="525"/>
      <c r="M17" s="525"/>
      <c r="N17" s="525"/>
      <c r="O17" s="525"/>
      <c r="P17" s="525"/>
    </row>
    <row r="18" spans="2:16" ht="15" customHeight="1" x14ac:dyDescent="0.25">
      <c r="B18" s="103" t="s">
        <v>380</v>
      </c>
      <c r="C18" s="389" t="s">
        <v>384</v>
      </c>
      <c r="D18" s="720">
        <f>VLOOKUP($B18,Input_AKI!$C$8:$G$11,2,FALSE)</f>
        <v>188</v>
      </c>
      <c r="E18" s="721">
        <f>VLOOKUP($B18,Input_AKI!$C$8:$G$11,3,FALSE)</f>
        <v>35847.556741833803</v>
      </c>
      <c r="F18" s="601"/>
      <c r="G18" s="525"/>
      <c r="H18" s="525"/>
      <c r="I18" s="525"/>
      <c r="J18" s="525"/>
      <c r="K18" s="525"/>
      <c r="L18" s="525"/>
      <c r="M18" s="525"/>
      <c r="N18" s="525"/>
      <c r="O18" s="525"/>
      <c r="P18" s="525"/>
    </row>
    <row r="19" spans="2:16" ht="15" customHeight="1" thickBot="1" x14ac:dyDescent="0.3">
      <c r="B19" s="387" t="s">
        <v>382</v>
      </c>
      <c r="C19" s="388" t="s">
        <v>386</v>
      </c>
      <c r="D19" s="618">
        <f>VLOOKUP($B19,Input_AKI!$C$8:$G$11,2,FALSE)</f>
        <v>46</v>
      </c>
      <c r="E19" s="594">
        <f>VLOOKUP($B19,Input_AKI!$C$8:$G$11,3,FALSE)</f>
        <v>4591.5978989691803</v>
      </c>
      <c r="F19" s="601"/>
      <c r="G19" s="525"/>
      <c r="H19" s="525"/>
      <c r="I19" s="525"/>
      <c r="J19" s="525"/>
      <c r="K19" s="525"/>
      <c r="L19" s="525"/>
      <c r="M19" s="525"/>
      <c r="N19" s="525"/>
      <c r="O19" s="525"/>
      <c r="P19" s="525"/>
    </row>
  </sheetData>
  <mergeCells count="1">
    <mergeCell ref="H13:J13"/>
  </mergeCells>
  <hyperlinks>
    <hyperlink ref="B1" location="Navigation!A1" display="Home"/>
  </hyperlink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sheetPr>
  <dimension ref="B1:Y109"/>
  <sheetViews>
    <sheetView zoomScaleNormal="100" workbookViewId="0"/>
  </sheetViews>
  <sheetFormatPr defaultRowHeight="15" x14ac:dyDescent="0.25"/>
  <cols>
    <col min="1" max="1" width="1.140625" customWidth="1"/>
    <col min="2" max="2" width="6.85546875" customWidth="1"/>
    <col min="3" max="3" width="69.140625" bestFit="1" customWidth="1"/>
    <col min="4" max="4" width="14.28515625" style="167" customWidth="1"/>
    <col min="5" max="6" width="15.7109375" bestFit="1" customWidth="1"/>
    <col min="7" max="7" width="14.85546875" bestFit="1" customWidth="1"/>
    <col min="8" max="8" width="1.140625" customWidth="1"/>
    <col min="9" max="9" width="9" bestFit="1" customWidth="1"/>
    <col min="10" max="10" width="30.85546875" customWidth="1"/>
    <col min="11" max="11" width="8" style="167" bestFit="1" customWidth="1"/>
    <col min="12" max="12" width="8" bestFit="1" customWidth="1"/>
    <col min="13" max="13" width="1.140625" style="167" customWidth="1"/>
    <col min="14" max="14" width="9" style="167" bestFit="1" customWidth="1"/>
    <col min="16" max="16" width="9.140625" style="167"/>
    <col min="17" max="17" width="13.85546875" bestFit="1" customWidth="1"/>
    <col min="18" max="18" width="13.85546875" style="167" bestFit="1" customWidth="1"/>
    <col min="19" max="20" width="13.85546875" style="167" customWidth="1"/>
    <col min="21" max="21" width="11.7109375" customWidth="1"/>
    <col min="23" max="23" width="12.5703125" bestFit="1" customWidth="1"/>
    <col min="24" max="24" width="11.5703125" customWidth="1"/>
  </cols>
  <sheetData>
    <row r="1" spans="2:24" x14ac:dyDescent="0.25">
      <c r="B1" s="173" t="s">
        <v>377</v>
      </c>
      <c r="C1" s="167"/>
      <c r="D1" s="451"/>
      <c r="F1" s="451"/>
      <c r="J1" s="167"/>
    </row>
    <row r="2" spans="2:24" s="167" customFormat="1" ht="15.75" thickBot="1" x14ac:dyDescent="0.3">
      <c r="B2" s="173"/>
      <c r="E2" s="452" t="s">
        <v>900</v>
      </c>
      <c r="F2" s="451"/>
    </row>
    <row r="3" spans="2:24" s="167" customFormat="1" x14ac:dyDescent="0.25">
      <c r="B3" s="173"/>
      <c r="C3" s="847"/>
      <c r="D3" s="454" t="s">
        <v>351</v>
      </c>
      <c r="E3" s="455" t="s">
        <v>260</v>
      </c>
      <c r="F3" s="455" t="s">
        <v>261</v>
      </c>
      <c r="G3" s="456" t="s">
        <v>477</v>
      </c>
    </row>
    <row r="4" spans="2:24" s="167" customFormat="1" x14ac:dyDescent="0.25">
      <c r="B4" s="173"/>
      <c r="C4" s="767" t="s">
        <v>955</v>
      </c>
      <c r="D4" s="848">
        <f>SUMPRODUCT($D$15:$D$55,$I$15:$I$55)</f>
        <v>781781555</v>
      </c>
      <c r="E4" s="514">
        <f>SUMPRODUCT($D$65:$D$70,$I$65:$I$70)</f>
        <v>253522405</v>
      </c>
      <c r="F4" s="514">
        <f>SUMPRODUCT($D$78:$D$98,$I$78:$I$98)</f>
        <v>288659911</v>
      </c>
      <c r="G4" s="515">
        <f>SUMPRODUCT($D$106:$D$106,$I$106:$I$106)</f>
        <v>1525495</v>
      </c>
    </row>
    <row r="5" spans="2:24" s="167" customFormat="1" x14ac:dyDescent="0.25">
      <c r="B5" s="173"/>
      <c r="C5" s="767" t="s">
        <v>956</v>
      </c>
      <c r="D5" s="516">
        <f>SUMPRODUCT($R$15:$R$55,$I$15:$I$55)</f>
        <v>778505665.67175543</v>
      </c>
      <c r="E5" s="517">
        <f>SUMPRODUCT($R$65:$R$70,$I$65:$I$70)</f>
        <v>255700961.02906871</v>
      </c>
      <c r="F5" s="517">
        <f>SUMPRODUCT($R$78:$R$98,$I$78:$I$98)</f>
        <v>314877848.51654685</v>
      </c>
      <c r="G5" s="518">
        <f>SUMPRODUCT($R$106:$R$106,$I$106:$I$106)</f>
        <v>1482126.215881035</v>
      </c>
    </row>
    <row r="6" spans="2:24" s="167" customFormat="1" ht="15.75" thickBot="1" x14ac:dyDescent="0.3">
      <c r="B6" s="173"/>
      <c r="C6" s="847" t="s">
        <v>901</v>
      </c>
      <c r="D6" s="457">
        <v>-7.9304478192572025E-2</v>
      </c>
      <c r="E6" s="458">
        <v>-7.9304478192572025E-2</v>
      </c>
      <c r="F6" s="458">
        <v>-7.9304478192572025E-2</v>
      </c>
      <c r="G6" s="459">
        <v>-7.9304478192572025E-2</v>
      </c>
    </row>
    <row r="7" spans="2:24" s="167" customFormat="1" x14ac:dyDescent="0.25">
      <c r="B7" s="173"/>
      <c r="C7" s="453"/>
      <c r="D7" s="460"/>
      <c r="E7" s="460"/>
      <c r="F7" s="460"/>
    </row>
    <row r="8" spans="2:24" s="167" customFormat="1" x14ac:dyDescent="0.25">
      <c r="B8" s="173"/>
      <c r="C8" s="453"/>
      <c r="D8" s="460"/>
      <c r="E8" s="460"/>
      <c r="F8" s="460"/>
    </row>
    <row r="9" spans="2:24" ht="18.75" x14ac:dyDescent="0.25">
      <c r="B9" s="30" t="s">
        <v>468</v>
      </c>
      <c r="C9" s="30"/>
      <c r="D9" s="30"/>
      <c r="E9" s="30"/>
      <c r="F9" s="30"/>
      <c r="G9" s="30"/>
      <c r="H9" s="30"/>
      <c r="I9" s="30"/>
      <c r="J9" s="30"/>
      <c r="K9" s="30"/>
      <c r="L9" s="30"/>
      <c r="M9" s="30"/>
      <c r="N9" s="30"/>
      <c r="O9" s="30"/>
      <c r="P9" s="30"/>
      <c r="Q9" s="30"/>
      <c r="R9" s="30"/>
      <c r="S9" s="30"/>
      <c r="T9" s="30"/>
      <c r="U9" s="30"/>
      <c r="V9" s="30"/>
      <c r="W9" s="30"/>
      <c r="X9" s="30"/>
    </row>
    <row r="10" spans="2:24" ht="15.75" thickBot="1" x14ac:dyDescent="0.3"/>
    <row r="11" spans="2:24" x14ac:dyDescent="0.25">
      <c r="B11" s="109"/>
      <c r="C11" s="110"/>
      <c r="D11" s="110"/>
      <c r="E11" s="111"/>
      <c r="F11" s="112"/>
      <c r="G11" s="341"/>
      <c r="H11" s="343"/>
      <c r="I11" s="343"/>
      <c r="J11" s="343"/>
      <c r="K11" s="343"/>
      <c r="L11" s="343"/>
      <c r="M11" s="343"/>
      <c r="N11" s="343"/>
      <c r="O11" s="343"/>
      <c r="P11" s="343"/>
      <c r="Q11" s="343"/>
      <c r="R11" s="343"/>
      <c r="S11" s="343"/>
      <c r="T11" s="343"/>
      <c r="U11" s="343"/>
      <c r="V11" s="343"/>
      <c r="W11" s="343"/>
      <c r="X11" s="344"/>
    </row>
    <row r="12" spans="2:24" ht="16.5" thickBot="1" x14ac:dyDescent="0.3">
      <c r="B12" s="373">
        <v>1</v>
      </c>
      <c r="C12" s="779" t="s">
        <v>169</v>
      </c>
      <c r="D12" s="361"/>
      <c r="E12" s="361"/>
      <c r="F12" s="361"/>
      <c r="G12" s="56"/>
      <c r="H12" s="345"/>
      <c r="I12" s="345"/>
      <c r="J12" s="345"/>
      <c r="K12" s="345"/>
      <c r="L12" s="345"/>
      <c r="M12" s="345"/>
      <c r="N12" s="345"/>
      <c r="O12" s="345"/>
      <c r="P12" s="345"/>
      <c r="Q12" s="345"/>
      <c r="R12" s="345"/>
      <c r="S12" s="345"/>
      <c r="T12" s="345"/>
      <c r="U12" s="345"/>
      <c r="V12" s="345"/>
      <c r="W12" s="345"/>
      <c r="X12" s="346"/>
    </row>
    <row r="13" spans="2:24" ht="15.75" thickBot="1" x14ac:dyDescent="0.3">
      <c r="B13" s="114"/>
      <c r="C13" s="117"/>
      <c r="D13" s="117"/>
      <c r="E13" s="7"/>
      <c r="F13" s="7"/>
      <c r="G13" s="56"/>
      <c r="H13" s="347"/>
      <c r="I13" s="347"/>
      <c r="J13" s="928" t="s">
        <v>475</v>
      </c>
      <c r="K13" s="929"/>
      <c r="L13" s="929"/>
      <c r="M13" s="929"/>
      <c r="N13" s="930"/>
      <c r="O13" s="928" t="s">
        <v>476</v>
      </c>
      <c r="P13" s="929"/>
      <c r="Q13" s="929"/>
      <c r="R13" s="929"/>
      <c r="S13" s="929"/>
      <c r="T13" s="929"/>
      <c r="U13" s="929"/>
      <c r="V13" s="929"/>
      <c r="W13" s="929"/>
      <c r="X13" s="930"/>
    </row>
    <row r="14" spans="2:24" ht="45.75" thickBot="1" x14ac:dyDescent="0.3">
      <c r="B14" s="336" t="s">
        <v>93</v>
      </c>
      <c r="C14" s="337" t="s">
        <v>94</v>
      </c>
      <c r="D14" s="353" t="s">
        <v>969</v>
      </c>
      <c r="E14" s="338" t="s">
        <v>970</v>
      </c>
      <c r="F14" s="338" t="s">
        <v>946</v>
      </c>
      <c r="G14" s="354" t="s">
        <v>947</v>
      </c>
      <c r="H14" s="59"/>
      <c r="I14" s="349" t="s">
        <v>469</v>
      </c>
      <c r="J14" s="348" t="s">
        <v>470</v>
      </c>
      <c r="K14" s="338" t="s">
        <v>942</v>
      </c>
      <c r="L14" s="354" t="s">
        <v>948</v>
      </c>
      <c r="M14" s="59"/>
      <c r="N14" s="349" t="s">
        <v>913</v>
      </c>
      <c r="O14" s="348" t="s">
        <v>471</v>
      </c>
      <c r="P14" s="342" t="s">
        <v>902</v>
      </c>
      <c r="Q14" s="342" t="s">
        <v>943</v>
      </c>
      <c r="R14" s="342" t="s">
        <v>944</v>
      </c>
      <c r="S14" s="342" t="s">
        <v>949</v>
      </c>
      <c r="T14" s="338" t="s">
        <v>901</v>
      </c>
      <c r="U14" s="338" t="s">
        <v>462</v>
      </c>
      <c r="V14" s="338" t="s">
        <v>460</v>
      </c>
      <c r="W14" s="365" t="s">
        <v>945</v>
      </c>
      <c r="X14" s="366" t="s">
        <v>950</v>
      </c>
    </row>
    <row r="15" spans="2:24" x14ac:dyDescent="0.25">
      <c r="B15" s="339" t="s">
        <v>179</v>
      </c>
      <c r="C15" s="350" t="s">
        <v>316</v>
      </c>
      <c r="D15" s="505">
        <f t="shared" ref="D15:D57" si="0">IFERROR(VLOOKUP(B15,Unbundled_2015_16_Tariff,3,FALSE),"Not found in 2015/16 s118")</f>
        <v>123</v>
      </c>
      <c r="E15" s="502">
        <f t="shared" ref="E15:E57" si="1">IFERROR(VLOOKUP(B15,Unbundled_2015_16_Tariff,4,FALSE),"Not found in 2015/16 s118")</f>
        <v>22</v>
      </c>
      <c r="F15" s="506">
        <f t="shared" ref="F15:F57" si="2">VLOOKUP(B15,DI_Tariff_Calc,16,FALSE)</f>
        <v>127.92982797425593</v>
      </c>
      <c r="G15" s="507">
        <f t="shared" ref="G15:G57" si="3">VLOOKUP(B15,DI_Cost_of_Rep_Calc,3,FALSE)</f>
        <v>22</v>
      </c>
      <c r="H15" s="722"/>
      <c r="I15" s="723">
        <f t="shared" ref="I15:I57" si="4">VLOOKUP($B15,DI_Tariff_Calc,3,FALSE)</f>
        <v>1251944</v>
      </c>
      <c r="J15" s="724"/>
      <c r="K15" s="725"/>
      <c r="L15" s="726"/>
      <c r="M15" s="722"/>
      <c r="N15" s="723">
        <f>IF(VLOOKUP($B15,'DI Activity Mapping_Calc'!$T$4:$AH$53,15,FALSE)="Yes",VLOOKUP($B15,'DI Activity Mapping_Calc'!$T$4:$Y$53,6,FALSE),$I15)</f>
        <v>1251944</v>
      </c>
      <c r="O15" s="727" t="s">
        <v>472</v>
      </c>
      <c r="P15" s="728" t="s">
        <v>472</v>
      </c>
      <c r="Q15" s="725">
        <f>IF(O15="Modelled",F15,IF(O15="Adjusted",K15,"Error"))</f>
        <v>127.92982797425593</v>
      </c>
      <c r="R15" s="729">
        <f t="shared" ref="R15:R57" si="5">+Q15*$Q$59</f>
        <v>128.28816858663228</v>
      </c>
      <c r="S15" s="725">
        <f>IF(P15="Modelled",G15,IF(P15="Adjusted",L15,"Error"))</f>
        <v>22</v>
      </c>
      <c r="T15" s="730">
        <f t="shared" ref="T15:T55" si="6">Scaling_DI</f>
        <v>-7.9304478192572025E-2</v>
      </c>
      <c r="U15" s="731">
        <f t="shared" ref="U15:U57" si="7">Inflation_Efficiency_2016_17</f>
        <v>0</v>
      </c>
      <c r="V15" s="732">
        <v>0</v>
      </c>
      <c r="W15" s="733">
        <f t="shared" ref="W15:W57" si="8">R15*(1+T15)*(1+U15)*(1+V15)</f>
        <v>118.1143423185887</v>
      </c>
      <c r="X15" s="734">
        <f>S15*(1+U15)*(1+V15)</f>
        <v>22</v>
      </c>
    </row>
    <row r="16" spans="2:24" x14ac:dyDescent="0.25">
      <c r="B16" s="340" t="s">
        <v>180</v>
      </c>
      <c r="C16" s="351" t="s">
        <v>317</v>
      </c>
      <c r="D16" s="508">
        <f t="shared" si="0"/>
        <v>131</v>
      </c>
      <c r="E16" s="504">
        <f t="shared" si="1"/>
        <v>22</v>
      </c>
      <c r="F16" s="509">
        <f t="shared" si="2"/>
        <v>133.1965558116465</v>
      </c>
      <c r="G16" s="510">
        <f t="shared" si="3"/>
        <v>22</v>
      </c>
      <c r="H16" s="735"/>
      <c r="I16" s="736">
        <f t="shared" si="4"/>
        <v>49671</v>
      </c>
      <c r="J16" s="737" t="str">
        <f>VLOOKUP($B16,'Manual adjustment requests'!$A$3:$G$78,7,FALSE)</f>
        <v>Should be 5% higher than RA01A</v>
      </c>
      <c r="K16" s="738">
        <f>$F$15*(1+0.05)</f>
        <v>134.32631937296873</v>
      </c>
      <c r="L16" s="739"/>
      <c r="M16" s="735"/>
      <c r="N16" s="736">
        <f>IF(VLOOKUP($B16,'DI Activity Mapping_Calc'!$T$4:$AH$53,15,FALSE)="Yes",VLOOKUP($B16,'DI Activity Mapping_Calc'!$T$4:$Y$53,6,FALSE),$I16)</f>
        <v>49671</v>
      </c>
      <c r="O16" s="740" t="s">
        <v>783</v>
      </c>
      <c r="P16" s="741" t="s">
        <v>472</v>
      </c>
      <c r="Q16" s="738">
        <f t="shared" ref="Q16:Q57" si="9">IF(O16="Modelled",F16,IF(O16="Adjusted",K16,"Error"))</f>
        <v>134.32631937296873</v>
      </c>
      <c r="R16" s="742">
        <f t="shared" si="5"/>
        <v>134.7025770159639</v>
      </c>
      <c r="S16" s="742">
        <f t="shared" ref="S16:S57" si="10">IF(P16="Modelled",G16,IF(P16="Adjusted",L16,"Error"))</f>
        <v>22</v>
      </c>
      <c r="T16" s="743">
        <f t="shared" si="6"/>
        <v>-7.9304478192572025E-2</v>
      </c>
      <c r="U16" s="744">
        <f t="shared" si="7"/>
        <v>0</v>
      </c>
      <c r="V16" s="745">
        <v>0</v>
      </c>
      <c r="W16" s="746">
        <f t="shared" si="8"/>
        <v>124.02005943451813</v>
      </c>
      <c r="X16" s="747">
        <f t="shared" ref="X16:X57" si="11">S16*(1+U16)*(1+V16)</f>
        <v>22</v>
      </c>
    </row>
    <row r="17" spans="2:24" x14ac:dyDescent="0.25">
      <c r="B17" s="340" t="s">
        <v>181</v>
      </c>
      <c r="C17" s="351" t="s">
        <v>318</v>
      </c>
      <c r="D17" s="508">
        <f t="shared" si="0"/>
        <v>151</v>
      </c>
      <c r="E17" s="504">
        <f t="shared" si="1"/>
        <v>22</v>
      </c>
      <c r="F17" s="509">
        <f t="shared" si="2"/>
        <v>124.17990940957155</v>
      </c>
      <c r="G17" s="510">
        <f t="shared" si="3"/>
        <v>22</v>
      </c>
      <c r="H17" s="735"/>
      <c r="I17" s="736">
        <f t="shared" si="4"/>
        <v>7171</v>
      </c>
      <c r="J17" s="737" t="str">
        <f>VLOOKUP($B17,'Manual adjustment requests'!$A$3:$G$78,7,FALSE)</f>
        <v>Should be 15% higher than RA01A</v>
      </c>
      <c r="K17" s="738">
        <f>$F$15*(1+0.15)</f>
        <v>147.11930217039432</v>
      </c>
      <c r="L17" s="739"/>
      <c r="M17" s="735"/>
      <c r="N17" s="736">
        <f>IF(VLOOKUP($B17,'DI Activity Mapping_Calc'!$T$4:$AH$53,15,FALSE)="Yes",VLOOKUP($B17,'DI Activity Mapping_Calc'!$T$4:$Y$53,6,FALSE),$I17)</f>
        <v>7171</v>
      </c>
      <c r="O17" s="740" t="s">
        <v>783</v>
      </c>
      <c r="P17" s="741" t="s">
        <v>472</v>
      </c>
      <c r="Q17" s="738">
        <f t="shared" si="9"/>
        <v>147.11930217039432</v>
      </c>
      <c r="R17" s="742">
        <f t="shared" si="5"/>
        <v>147.53139387462713</v>
      </c>
      <c r="S17" s="742">
        <f t="shared" si="10"/>
        <v>22</v>
      </c>
      <c r="T17" s="743">
        <f t="shared" si="6"/>
        <v>-7.9304478192572025E-2</v>
      </c>
      <c r="U17" s="744">
        <f t="shared" si="7"/>
        <v>0</v>
      </c>
      <c r="V17" s="745">
        <v>0</v>
      </c>
      <c r="W17" s="746">
        <f t="shared" si="8"/>
        <v>135.83149366637701</v>
      </c>
      <c r="X17" s="747">
        <f t="shared" si="11"/>
        <v>22</v>
      </c>
    </row>
    <row r="18" spans="2:24" ht="22.5" x14ac:dyDescent="0.25">
      <c r="B18" s="340" t="s">
        <v>182</v>
      </c>
      <c r="C18" s="351" t="s">
        <v>319</v>
      </c>
      <c r="D18" s="508">
        <f t="shared" si="0"/>
        <v>143</v>
      </c>
      <c r="E18" s="504">
        <f t="shared" si="1"/>
        <v>22</v>
      </c>
      <c r="F18" s="509">
        <f t="shared" si="2"/>
        <v>147.38847384918876</v>
      </c>
      <c r="G18" s="510">
        <f t="shared" si="3"/>
        <v>22</v>
      </c>
      <c r="H18" s="735"/>
      <c r="I18" s="736">
        <f t="shared" si="4"/>
        <v>164277</v>
      </c>
      <c r="J18" s="737" t="str">
        <f>VLOOKUP($B18,'Manual adjustment requests'!$A$3:$G$78,7,FALSE)</f>
        <v>(20 + 100x27/(RC derived price))% higher than RA01A</v>
      </c>
      <c r="K18" s="738">
        <f>$F15*(1+0.2+27/$F15)</f>
        <v>180.5157935691071</v>
      </c>
      <c r="L18" s="739"/>
      <c r="M18" s="735"/>
      <c r="N18" s="736">
        <f>IF(VLOOKUP($B18,'DI Activity Mapping_Calc'!$T$4:$AH$53,15,FALSE)="Yes",VLOOKUP($B18,'DI Activity Mapping_Calc'!$T$4:$Y$53,6,FALSE),$I18)</f>
        <v>164277</v>
      </c>
      <c r="O18" s="740" t="s">
        <v>783</v>
      </c>
      <c r="P18" s="741" t="s">
        <v>472</v>
      </c>
      <c r="Q18" s="738">
        <f t="shared" si="9"/>
        <v>180.5157935691071</v>
      </c>
      <c r="R18" s="742">
        <f t="shared" si="5"/>
        <v>181.02143123809682</v>
      </c>
      <c r="S18" s="742">
        <f t="shared" si="10"/>
        <v>22</v>
      </c>
      <c r="T18" s="743">
        <f t="shared" si="6"/>
        <v>-7.9304478192572025E-2</v>
      </c>
      <c r="U18" s="744">
        <f t="shared" si="7"/>
        <v>0</v>
      </c>
      <c r="V18" s="745">
        <v>0</v>
      </c>
      <c r="W18" s="746">
        <f t="shared" si="8"/>
        <v>166.66562109208701</v>
      </c>
      <c r="X18" s="747">
        <f t="shared" si="11"/>
        <v>22</v>
      </c>
    </row>
    <row r="19" spans="2:24" ht="22.5" x14ac:dyDescent="0.25">
      <c r="B19" s="340" t="s">
        <v>183</v>
      </c>
      <c r="C19" s="351" t="s">
        <v>320</v>
      </c>
      <c r="D19" s="508">
        <f t="shared" si="0"/>
        <v>162</v>
      </c>
      <c r="E19" s="504">
        <f t="shared" si="1"/>
        <v>22</v>
      </c>
      <c r="F19" s="509">
        <f t="shared" si="2"/>
        <v>146.0419409684593</v>
      </c>
      <c r="G19" s="510">
        <f t="shared" si="3"/>
        <v>22</v>
      </c>
      <c r="H19" s="735"/>
      <c r="I19" s="736">
        <f t="shared" si="4"/>
        <v>6236</v>
      </c>
      <c r="J19" s="737" t="str">
        <f>VLOOKUP($B19,'Manual adjustment requests'!$A$3:$G$78,7,FALSE)</f>
        <v>(20 + 100x27/(RC derived price))% higher than RA01B</v>
      </c>
      <c r="K19" s="738">
        <f>$F16*(1+0.2+27/$F16)</f>
        <v>186.83586697397581</v>
      </c>
      <c r="L19" s="739"/>
      <c r="M19" s="735"/>
      <c r="N19" s="736">
        <f>IF(VLOOKUP($B19,'DI Activity Mapping_Calc'!$T$4:$AH$53,15,FALSE)="Yes",VLOOKUP($B19,'DI Activity Mapping_Calc'!$T$4:$Y$53,6,FALSE),$I19)</f>
        <v>6236</v>
      </c>
      <c r="O19" s="740" t="s">
        <v>783</v>
      </c>
      <c r="P19" s="741" t="s">
        <v>472</v>
      </c>
      <c r="Q19" s="738">
        <f t="shared" si="9"/>
        <v>186.83586697397581</v>
      </c>
      <c r="R19" s="742">
        <f t="shared" si="5"/>
        <v>187.35920762130942</v>
      </c>
      <c r="S19" s="742">
        <f t="shared" si="10"/>
        <v>22</v>
      </c>
      <c r="T19" s="743">
        <f t="shared" si="6"/>
        <v>-7.9304478192572025E-2</v>
      </c>
      <c r="U19" s="744">
        <f t="shared" si="7"/>
        <v>0</v>
      </c>
      <c r="V19" s="745">
        <v>0</v>
      </c>
      <c r="W19" s="746">
        <f t="shared" si="8"/>
        <v>172.50078342632773</v>
      </c>
      <c r="X19" s="747">
        <f t="shared" si="11"/>
        <v>22</v>
      </c>
    </row>
    <row r="20" spans="2:24" ht="22.5" x14ac:dyDescent="0.25">
      <c r="B20" s="340" t="s">
        <v>184</v>
      </c>
      <c r="C20" s="351" t="s">
        <v>321</v>
      </c>
      <c r="D20" s="508">
        <f t="shared" si="0"/>
        <v>176</v>
      </c>
      <c r="E20" s="504">
        <f t="shared" si="1"/>
        <v>22</v>
      </c>
      <c r="F20" s="509">
        <f t="shared" si="2"/>
        <v>187.40785626789022</v>
      </c>
      <c r="G20" s="510">
        <f t="shared" si="3"/>
        <v>22</v>
      </c>
      <c r="H20" s="735"/>
      <c r="I20" s="736">
        <f t="shared" si="4"/>
        <v>6526</v>
      </c>
      <c r="J20" s="737" t="str">
        <f>VLOOKUP($B20,'Manual adjustment requests'!$A$3:$G$78,7,FALSE)</f>
        <v>(20 + 100x27/(RC derived price))% higher than RA01C</v>
      </c>
      <c r="K20" s="738">
        <f>$F17*(1+0.2+27/$F17)</f>
        <v>176.01589129148587</v>
      </c>
      <c r="L20" s="739"/>
      <c r="M20" s="735"/>
      <c r="N20" s="736">
        <f>IF(VLOOKUP($B20,'DI Activity Mapping_Calc'!$T$4:$AH$53,15,FALSE)="Yes",VLOOKUP($B20,'DI Activity Mapping_Calc'!$T$4:$Y$53,6,FALSE),$I20)</f>
        <v>6526</v>
      </c>
      <c r="O20" s="740" t="s">
        <v>783</v>
      </c>
      <c r="P20" s="741" t="s">
        <v>472</v>
      </c>
      <c r="Q20" s="738">
        <f t="shared" si="9"/>
        <v>176.01589129148587</v>
      </c>
      <c r="R20" s="742">
        <f t="shared" si="5"/>
        <v>176.50892441184664</v>
      </c>
      <c r="S20" s="742">
        <f t="shared" si="10"/>
        <v>22</v>
      </c>
      <c r="T20" s="743">
        <f t="shared" si="6"/>
        <v>-7.9304478192572025E-2</v>
      </c>
      <c r="U20" s="744">
        <f t="shared" si="7"/>
        <v>0</v>
      </c>
      <c r="V20" s="745">
        <v>0</v>
      </c>
      <c r="W20" s="746">
        <f t="shared" si="8"/>
        <v>162.51097626503301</v>
      </c>
      <c r="X20" s="747">
        <f t="shared" si="11"/>
        <v>22</v>
      </c>
    </row>
    <row r="21" spans="2:24" x14ac:dyDescent="0.25">
      <c r="B21" s="340" t="s">
        <v>97</v>
      </c>
      <c r="C21" s="351" t="s">
        <v>98</v>
      </c>
      <c r="D21" s="508">
        <f t="shared" si="0"/>
        <v>181</v>
      </c>
      <c r="E21" s="504">
        <f t="shared" si="1"/>
        <v>22</v>
      </c>
      <c r="F21" s="509">
        <f t="shared" si="2"/>
        <v>177.35283266868834</v>
      </c>
      <c r="G21" s="510">
        <f t="shared" si="3"/>
        <v>22</v>
      </c>
      <c r="H21" s="735"/>
      <c r="I21" s="736">
        <f t="shared" si="4"/>
        <v>92964</v>
      </c>
      <c r="J21" s="737" t="str">
        <f>VLOOKUP($B21,'Manual adjustment requests'!$A$3:$G$78,7,FALSE)</f>
        <v>Should be equal to RA02A</v>
      </c>
      <c r="K21" s="738">
        <f>$F$18</f>
        <v>147.38847384918876</v>
      </c>
      <c r="L21" s="739"/>
      <c r="M21" s="735"/>
      <c r="N21" s="736">
        <f>IF(VLOOKUP($B21,'DI Activity Mapping_Calc'!$T$4:$AH$53,15,FALSE)="Yes",VLOOKUP($B21,'DI Activity Mapping_Calc'!$T$4:$Y$53,6,FALSE),$I21)</f>
        <v>92964</v>
      </c>
      <c r="O21" s="740" t="s">
        <v>783</v>
      </c>
      <c r="P21" s="741" t="s">
        <v>472</v>
      </c>
      <c r="Q21" s="738">
        <f t="shared" si="9"/>
        <v>147.38847384918876</v>
      </c>
      <c r="R21" s="742">
        <f t="shared" si="5"/>
        <v>147.80131952257591</v>
      </c>
      <c r="S21" s="742">
        <f t="shared" si="10"/>
        <v>22</v>
      </c>
      <c r="T21" s="743">
        <f t="shared" si="6"/>
        <v>-7.9304478192572025E-2</v>
      </c>
      <c r="U21" s="744">
        <f t="shared" si="7"/>
        <v>0</v>
      </c>
      <c r="V21" s="745">
        <v>0</v>
      </c>
      <c r="W21" s="746">
        <f t="shared" si="8"/>
        <v>136.08001300166441</v>
      </c>
      <c r="X21" s="747">
        <f t="shared" si="11"/>
        <v>22</v>
      </c>
    </row>
    <row r="22" spans="2:24" x14ac:dyDescent="0.25">
      <c r="B22" s="340" t="s">
        <v>99</v>
      </c>
      <c r="C22" s="351" t="s">
        <v>322</v>
      </c>
      <c r="D22" s="508">
        <f t="shared" si="0"/>
        <v>156</v>
      </c>
      <c r="E22" s="504">
        <f t="shared" si="1"/>
        <v>22</v>
      </c>
      <c r="F22" s="509">
        <f t="shared" si="2"/>
        <v>147.52538686913485</v>
      </c>
      <c r="G22" s="510">
        <f t="shared" si="3"/>
        <v>22</v>
      </c>
      <c r="H22" s="735"/>
      <c r="I22" s="736">
        <f t="shared" si="4"/>
        <v>133228</v>
      </c>
      <c r="J22" s="737" t="str">
        <f>VLOOKUP($B22,'Manual adjustment requests'!$A$3:$G$78,7,FALSE)</f>
        <v>Should be 20% higher than RA01A</v>
      </c>
      <c r="K22" s="738">
        <f>$F$15*(1+0.2)</f>
        <v>153.5157935691071</v>
      </c>
      <c r="L22" s="739"/>
      <c r="M22" s="735"/>
      <c r="N22" s="736">
        <f>IF(VLOOKUP($B22,'DI Activity Mapping_Calc'!$T$4:$AH$53,15,FALSE)="Yes",VLOOKUP($B22,'DI Activity Mapping_Calc'!$T$4:$Y$53,6,FALSE),$I22)</f>
        <v>133228</v>
      </c>
      <c r="O22" s="740" t="s">
        <v>783</v>
      </c>
      <c r="P22" s="741" t="s">
        <v>472</v>
      </c>
      <c r="Q22" s="738">
        <f t="shared" si="9"/>
        <v>153.5157935691071</v>
      </c>
      <c r="R22" s="742">
        <f t="shared" si="5"/>
        <v>153.94580230395874</v>
      </c>
      <c r="S22" s="742">
        <f t="shared" si="10"/>
        <v>22</v>
      </c>
      <c r="T22" s="743">
        <f t="shared" si="6"/>
        <v>-7.9304478192572025E-2</v>
      </c>
      <c r="U22" s="744">
        <f t="shared" si="7"/>
        <v>0</v>
      </c>
      <c r="V22" s="745">
        <v>0</v>
      </c>
      <c r="W22" s="746">
        <f t="shared" si="8"/>
        <v>141.73721078230645</v>
      </c>
      <c r="X22" s="747">
        <f t="shared" si="11"/>
        <v>22</v>
      </c>
    </row>
    <row r="23" spans="2:24" ht="22.5" x14ac:dyDescent="0.25">
      <c r="B23" s="340" t="s">
        <v>101</v>
      </c>
      <c r="C23" s="351" t="s">
        <v>323</v>
      </c>
      <c r="D23" s="508">
        <f t="shared" si="0"/>
        <v>209</v>
      </c>
      <c r="E23" s="504">
        <f t="shared" si="1"/>
        <v>28</v>
      </c>
      <c r="F23" s="509">
        <f t="shared" si="2"/>
        <v>148.30885485721527</v>
      </c>
      <c r="G23" s="510">
        <f t="shared" si="3"/>
        <v>28</v>
      </c>
      <c r="H23" s="735"/>
      <c r="I23" s="736">
        <f t="shared" si="4"/>
        <v>68322</v>
      </c>
      <c r="J23" s="737" t="str">
        <f>VLOOKUP($B23,'Manual adjustment requests'!$A$3:$G$78,7,FALSE)</f>
        <v>(20 + 100x27/(RC derived price))% higher than RA01A</v>
      </c>
      <c r="K23" s="738">
        <f>$F$15*(1+0.2+27/$F$15)</f>
        <v>180.5157935691071</v>
      </c>
      <c r="L23" s="739"/>
      <c r="M23" s="735"/>
      <c r="N23" s="736">
        <f>IF(VLOOKUP($B23,'DI Activity Mapping_Calc'!$T$4:$AH$53,15,FALSE)="Yes",VLOOKUP($B23,'DI Activity Mapping_Calc'!$T$4:$Y$53,6,FALSE),$I23)</f>
        <v>68322</v>
      </c>
      <c r="O23" s="740" t="s">
        <v>783</v>
      </c>
      <c r="P23" s="741" t="s">
        <v>472</v>
      </c>
      <c r="Q23" s="738">
        <f t="shared" si="9"/>
        <v>180.5157935691071</v>
      </c>
      <c r="R23" s="742">
        <f t="shared" si="5"/>
        <v>181.02143123809682</v>
      </c>
      <c r="S23" s="742">
        <f t="shared" si="10"/>
        <v>28</v>
      </c>
      <c r="T23" s="743">
        <f t="shared" si="6"/>
        <v>-7.9304478192572025E-2</v>
      </c>
      <c r="U23" s="744">
        <f t="shared" si="7"/>
        <v>0</v>
      </c>
      <c r="V23" s="745">
        <v>0</v>
      </c>
      <c r="W23" s="746">
        <f t="shared" si="8"/>
        <v>166.66562109208701</v>
      </c>
      <c r="X23" s="747">
        <f t="shared" si="11"/>
        <v>28</v>
      </c>
    </row>
    <row r="24" spans="2:24" ht="22.5" x14ac:dyDescent="0.25">
      <c r="B24" s="340" t="s">
        <v>103</v>
      </c>
      <c r="C24" s="351" t="s">
        <v>104</v>
      </c>
      <c r="D24" s="508">
        <f t="shared" si="0"/>
        <v>194</v>
      </c>
      <c r="E24" s="504">
        <f t="shared" si="1"/>
        <v>28</v>
      </c>
      <c r="F24" s="509">
        <f t="shared" si="2"/>
        <v>181.27746322634056</v>
      </c>
      <c r="G24" s="510">
        <f t="shared" si="3"/>
        <v>28</v>
      </c>
      <c r="H24" s="735"/>
      <c r="I24" s="736">
        <f t="shared" si="4"/>
        <v>12684</v>
      </c>
      <c r="J24" s="737" t="str">
        <f>VLOOKUP($B24,'Manual adjustment requests'!$A$3:$G$78,7,FALSE)</f>
        <v>(40 + 100x27/(RC derived price))% higher than RA01A</v>
      </c>
      <c r="K24" s="738">
        <f>$F$15*(1+0.4+27/$F$15)</f>
        <v>206.10175916395829</v>
      </c>
      <c r="L24" s="739"/>
      <c r="M24" s="735"/>
      <c r="N24" s="736">
        <f>IF(VLOOKUP($B24,'DI Activity Mapping_Calc'!$T$4:$AH$53,15,FALSE)="Yes",VLOOKUP($B24,'DI Activity Mapping_Calc'!$T$4:$Y$53,6,FALSE),$I24)</f>
        <v>12684</v>
      </c>
      <c r="O24" s="740" t="s">
        <v>783</v>
      </c>
      <c r="P24" s="741" t="s">
        <v>472</v>
      </c>
      <c r="Q24" s="738">
        <f t="shared" si="9"/>
        <v>206.10175916395829</v>
      </c>
      <c r="R24" s="742">
        <f t="shared" si="5"/>
        <v>206.67906495542329</v>
      </c>
      <c r="S24" s="742">
        <f t="shared" si="10"/>
        <v>28</v>
      </c>
      <c r="T24" s="743">
        <f t="shared" si="6"/>
        <v>-7.9304478192572025E-2</v>
      </c>
      <c r="U24" s="744">
        <f t="shared" si="7"/>
        <v>0</v>
      </c>
      <c r="V24" s="745">
        <v>0</v>
      </c>
      <c r="W24" s="746">
        <f t="shared" si="8"/>
        <v>190.28848955580474</v>
      </c>
      <c r="X24" s="747">
        <f t="shared" si="11"/>
        <v>28</v>
      </c>
    </row>
    <row r="25" spans="2:24" ht="22.5" x14ac:dyDescent="0.25">
      <c r="B25" s="340" t="s">
        <v>105</v>
      </c>
      <c r="C25" s="352" t="s">
        <v>106</v>
      </c>
      <c r="D25" s="508">
        <f t="shared" si="0"/>
        <v>288</v>
      </c>
      <c r="E25" s="504">
        <f t="shared" si="1"/>
        <v>28</v>
      </c>
      <c r="F25" s="509">
        <f t="shared" si="2"/>
        <v>230.34306347114727</v>
      </c>
      <c r="G25" s="510">
        <f t="shared" si="3"/>
        <v>28</v>
      </c>
      <c r="H25" s="735"/>
      <c r="I25" s="736">
        <f t="shared" si="4"/>
        <v>9610</v>
      </c>
      <c r="J25" s="737"/>
      <c r="K25" s="738"/>
      <c r="L25" s="739"/>
      <c r="M25" s="735"/>
      <c r="N25" s="736">
        <f>IF(VLOOKUP($B25,'DI Activity Mapping_Calc'!$T$4:$AH$53,15,FALSE)="Yes",VLOOKUP($B25,'DI Activity Mapping_Calc'!$T$4:$Y$53,6,FALSE),$I25)</f>
        <v>9610</v>
      </c>
      <c r="O25" s="740" t="s">
        <v>472</v>
      </c>
      <c r="P25" s="741" t="s">
        <v>472</v>
      </c>
      <c r="Q25" s="738">
        <f t="shared" si="9"/>
        <v>230.34306347114727</v>
      </c>
      <c r="R25" s="742">
        <f t="shared" si="5"/>
        <v>230.98827089249633</v>
      </c>
      <c r="S25" s="742">
        <f t="shared" si="10"/>
        <v>28</v>
      </c>
      <c r="T25" s="743">
        <f t="shared" si="6"/>
        <v>-7.9304478192572025E-2</v>
      </c>
      <c r="U25" s="744">
        <f t="shared" si="7"/>
        <v>0</v>
      </c>
      <c r="V25" s="745">
        <v>0</v>
      </c>
      <c r="W25" s="746">
        <f t="shared" si="8"/>
        <v>212.66986660076245</v>
      </c>
      <c r="X25" s="747">
        <f t="shared" si="11"/>
        <v>28</v>
      </c>
    </row>
    <row r="26" spans="2:24" ht="22.5" x14ac:dyDescent="0.25">
      <c r="B26" s="340" t="s">
        <v>185</v>
      </c>
      <c r="C26" s="351" t="s">
        <v>324</v>
      </c>
      <c r="D26" s="508">
        <f t="shared" si="0"/>
        <v>77</v>
      </c>
      <c r="E26" s="504">
        <f t="shared" si="1"/>
        <v>20</v>
      </c>
      <c r="F26" s="509">
        <f t="shared" si="2"/>
        <v>80.676377186325638</v>
      </c>
      <c r="G26" s="510">
        <f t="shared" si="3"/>
        <v>20</v>
      </c>
      <c r="H26" s="735"/>
      <c r="I26" s="736">
        <f t="shared" si="4"/>
        <v>615032</v>
      </c>
      <c r="J26" s="737" t="s">
        <v>782</v>
      </c>
      <c r="K26" s="738">
        <f>+$F$26*(1+'DI Activity Mapping_Calc'!$AF$15)</f>
        <v>73.565520571312206</v>
      </c>
      <c r="L26" s="739"/>
      <c r="M26" s="735"/>
      <c r="N26" s="736">
        <f>IF(VLOOKUP($B26,'DI Activity Mapping_Calc'!$T$4:$AH$53,15,FALSE)="Yes",VLOOKUP($B26,'DI Activity Mapping_Calc'!$T$4:$Y$53,6,FALSE),$I26)</f>
        <v>585238.49317911465</v>
      </c>
      <c r="O26" s="740" t="s">
        <v>783</v>
      </c>
      <c r="P26" s="741" t="s">
        <v>472</v>
      </c>
      <c r="Q26" s="738">
        <f t="shared" si="9"/>
        <v>73.565520571312206</v>
      </c>
      <c r="R26" s="742">
        <f t="shared" si="5"/>
        <v>73.771582864279679</v>
      </c>
      <c r="S26" s="742">
        <f t="shared" si="10"/>
        <v>20</v>
      </c>
      <c r="T26" s="743">
        <f t="shared" si="6"/>
        <v>-7.9304478192572025E-2</v>
      </c>
      <c r="U26" s="744">
        <f t="shared" si="7"/>
        <v>0</v>
      </c>
      <c r="V26" s="745">
        <v>0</v>
      </c>
      <c r="W26" s="746">
        <f t="shared" si="8"/>
        <v>67.921165979787887</v>
      </c>
      <c r="X26" s="747">
        <f t="shared" si="11"/>
        <v>20</v>
      </c>
    </row>
    <row r="27" spans="2:24" x14ac:dyDescent="0.25">
      <c r="B27" s="340" t="s">
        <v>186</v>
      </c>
      <c r="C27" s="351" t="s">
        <v>325</v>
      </c>
      <c r="D27" s="508">
        <f t="shared" si="0"/>
        <v>80</v>
      </c>
      <c r="E27" s="504">
        <f t="shared" si="1"/>
        <v>20</v>
      </c>
      <c r="F27" s="509">
        <f t="shared" si="2"/>
        <v>90.617377604368585</v>
      </c>
      <c r="G27" s="510">
        <f t="shared" si="3"/>
        <v>20</v>
      </c>
      <c r="H27" s="735"/>
      <c r="I27" s="736">
        <f t="shared" si="4"/>
        <v>13582</v>
      </c>
      <c r="J27" s="737" t="str">
        <f>VLOOKUP($B27,'Manual adjustment requests'!$A$3:$G$78,7,FALSE)</f>
        <v>Should be 5% higher than RA08A</v>
      </c>
      <c r="K27" s="738">
        <f>$F$26*(1+'DI Activity Mapping_Calc'!$AF$15)*(1+0.05)</f>
        <v>77.243796599877825</v>
      </c>
      <c r="L27" s="739"/>
      <c r="M27" s="735"/>
      <c r="N27" s="736">
        <f>IF(VLOOKUP($B27,'DI Activity Mapping_Calc'!$T$4:$AH$53,15,FALSE)="Yes",VLOOKUP($B27,'DI Activity Mapping_Calc'!$T$4:$Y$53,6,FALSE),$I27)</f>
        <v>13582</v>
      </c>
      <c r="O27" s="740" t="s">
        <v>783</v>
      </c>
      <c r="P27" s="741" t="s">
        <v>472</v>
      </c>
      <c r="Q27" s="738">
        <f t="shared" si="9"/>
        <v>77.243796599877825</v>
      </c>
      <c r="R27" s="742">
        <f t="shared" si="5"/>
        <v>77.460162007493679</v>
      </c>
      <c r="S27" s="742">
        <f t="shared" si="10"/>
        <v>20</v>
      </c>
      <c r="T27" s="743">
        <f t="shared" si="6"/>
        <v>-7.9304478192572025E-2</v>
      </c>
      <c r="U27" s="744">
        <f t="shared" si="7"/>
        <v>0</v>
      </c>
      <c r="V27" s="745">
        <v>0</v>
      </c>
      <c r="W27" s="746">
        <f t="shared" si="8"/>
        <v>71.317224278777303</v>
      </c>
      <c r="X27" s="747">
        <f t="shared" si="11"/>
        <v>20</v>
      </c>
    </row>
    <row r="28" spans="2:24" x14ac:dyDescent="0.25">
      <c r="B28" s="340" t="s">
        <v>187</v>
      </c>
      <c r="C28" s="351" t="s">
        <v>326</v>
      </c>
      <c r="D28" s="508">
        <f t="shared" si="0"/>
        <v>101</v>
      </c>
      <c r="E28" s="504">
        <f t="shared" si="1"/>
        <v>20</v>
      </c>
      <c r="F28" s="509">
        <f t="shared" si="2"/>
        <v>63.863677836901132</v>
      </c>
      <c r="G28" s="510">
        <f t="shared" si="3"/>
        <v>20</v>
      </c>
      <c r="H28" s="735"/>
      <c r="I28" s="736">
        <f t="shared" si="4"/>
        <v>2279</v>
      </c>
      <c r="J28" s="737" t="str">
        <f>VLOOKUP($B28,'Manual adjustment requests'!$A$3:$G$78,7,FALSE)</f>
        <v>Should be 15% higher than RA08A</v>
      </c>
      <c r="K28" s="738">
        <f>$F$26*(1+'DI Activity Mapping_Calc'!$AF$15)*(1+0.15)</f>
        <v>84.600348657009036</v>
      </c>
      <c r="L28" s="739"/>
      <c r="M28" s="735"/>
      <c r="N28" s="736">
        <f>IF(VLOOKUP($B28,'DI Activity Mapping_Calc'!$T$4:$AH$53,15,FALSE)="Yes",VLOOKUP($B28,'DI Activity Mapping_Calc'!$T$4:$Y$53,6,FALSE),$I28)</f>
        <v>2279</v>
      </c>
      <c r="O28" s="740" t="s">
        <v>783</v>
      </c>
      <c r="P28" s="741" t="s">
        <v>472</v>
      </c>
      <c r="Q28" s="738">
        <f t="shared" si="9"/>
        <v>84.600348657009036</v>
      </c>
      <c r="R28" s="742">
        <f t="shared" si="5"/>
        <v>84.837320293921636</v>
      </c>
      <c r="S28" s="742">
        <f t="shared" si="10"/>
        <v>20</v>
      </c>
      <c r="T28" s="743">
        <f t="shared" si="6"/>
        <v>-7.9304478192572025E-2</v>
      </c>
      <c r="U28" s="744">
        <f t="shared" si="7"/>
        <v>0</v>
      </c>
      <c r="V28" s="745">
        <v>0</v>
      </c>
      <c r="W28" s="746">
        <f t="shared" si="8"/>
        <v>78.109340876756079</v>
      </c>
      <c r="X28" s="747">
        <f t="shared" si="11"/>
        <v>20</v>
      </c>
    </row>
    <row r="29" spans="2:24" ht="22.5" x14ac:dyDescent="0.25">
      <c r="B29" s="340" t="s">
        <v>188</v>
      </c>
      <c r="C29" s="351" t="s">
        <v>327</v>
      </c>
      <c r="D29" s="508">
        <f t="shared" si="0"/>
        <v>89</v>
      </c>
      <c r="E29" s="504">
        <f t="shared" si="1"/>
        <v>20</v>
      </c>
      <c r="F29" s="509">
        <f t="shared" si="2"/>
        <v>89.863188954329502</v>
      </c>
      <c r="G29" s="510">
        <f t="shared" si="3"/>
        <v>20</v>
      </c>
      <c r="H29" s="735"/>
      <c r="I29" s="736">
        <f t="shared" si="4"/>
        <v>242287</v>
      </c>
      <c r="J29" s="737" t="str">
        <f>VLOOKUP($B29,'Manual adjustment requests'!$A$3:$G$78,7,FALSE)</f>
        <v>(100x15/(RC derived price))% higher than RA08A.    Check formula prior to S118</v>
      </c>
      <c r="K29" s="738">
        <f>$F$26*(1+'DI Activity Mapping_Calc'!$AF$15+15/$F$26)</f>
        <v>88.565520571312206</v>
      </c>
      <c r="L29" s="739"/>
      <c r="M29" s="735"/>
      <c r="N29" s="736">
        <f>IF(VLOOKUP($B29,'DI Activity Mapping_Calc'!$T$4:$AH$53,15,FALSE)="Yes",VLOOKUP($B29,'DI Activity Mapping_Calc'!$T$4:$Y$53,6,FALSE),$I29)</f>
        <v>233851.62724665779</v>
      </c>
      <c r="O29" s="740" t="s">
        <v>783</v>
      </c>
      <c r="P29" s="741" t="s">
        <v>472</v>
      </c>
      <c r="Q29" s="738">
        <f t="shared" si="9"/>
        <v>88.565520571312206</v>
      </c>
      <c r="R29" s="742">
        <f t="shared" si="5"/>
        <v>88.813598938800837</v>
      </c>
      <c r="S29" s="742">
        <f t="shared" si="10"/>
        <v>20</v>
      </c>
      <c r="T29" s="743">
        <f t="shared" si="6"/>
        <v>-7.9304478192572025E-2</v>
      </c>
      <c r="U29" s="744">
        <f t="shared" si="7"/>
        <v>0</v>
      </c>
      <c r="V29" s="745">
        <v>0</v>
      </c>
      <c r="W29" s="746">
        <f t="shared" si="8"/>
        <v>81.770282818554861</v>
      </c>
      <c r="X29" s="747">
        <f t="shared" si="11"/>
        <v>20</v>
      </c>
    </row>
    <row r="30" spans="2:24" ht="22.5" x14ac:dyDescent="0.25">
      <c r="B30" s="340" t="s">
        <v>189</v>
      </c>
      <c r="C30" s="351" t="s">
        <v>328</v>
      </c>
      <c r="D30" s="508">
        <f t="shared" si="0"/>
        <v>90</v>
      </c>
      <c r="E30" s="504">
        <f t="shared" si="1"/>
        <v>20</v>
      </c>
      <c r="F30" s="509">
        <f t="shared" si="2"/>
        <v>69.847843389957106</v>
      </c>
      <c r="G30" s="510">
        <f t="shared" si="3"/>
        <v>20</v>
      </c>
      <c r="H30" s="735"/>
      <c r="I30" s="736">
        <f t="shared" si="4"/>
        <v>1917</v>
      </c>
      <c r="J30" s="737" t="str">
        <f>VLOOKUP($B30,'Manual adjustment requests'!$A$3:$G$78,7,FALSE)</f>
        <v>(5 + 100x15/(RC derived price))% higher than RA08A</v>
      </c>
      <c r="K30" s="738">
        <f>$F$26*((1+'DI Activity Mapping_Calc'!$AF$15)*(1+0.05)+15/$F$26)</f>
        <v>92.243796599877825</v>
      </c>
      <c r="L30" s="739"/>
      <c r="M30" s="735"/>
      <c r="N30" s="736">
        <f>IF(VLOOKUP($B30,'DI Activity Mapping_Calc'!$T$4:$AH$53,15,FALSE)="Yes",VLOOKUP($B30,'DI Activity Mapping_Calc'!$T$4:$Y$53,6,FALSE),$I30)</f>
        <v>1917</v>
      </c>
      <c r="O30" s="740" t="s">
        <v>783</v>
      </c>
      <c r="P30" s="741" t="s">
        <v>472</v>
      </c>
      <c r="Q30" s="738">
        <f t="shared" si="9"/>
        <v>92.243796599877825</v>
      </c>
      <c r="R30" s="742">
        <f t="shared" si="5"/>
        <v>92.502178082014836</v>
      </c>
      <c r="S30" s="742">
        <f t="shared" si="10"/>
        <v>20</v>
      </c>
      <c r="T30" s="743">
        <f t="shared" si="6"/>
        <v>-7.9304478192572025E-2</v>
      </c>
      <c r="U30" s="744">
        <f t="shared" si="7"/>
        <v>0</v>
      </c>
      <c r="V30" s="745">
        <v>0</v>
      </c>
      <c r="W30" s="746">
        <f t="shared" si="8"/>
        <v>85.166341117544277</v>
      </c>
      <c r="X30" s="747">
        <f t="shared" si="11"/>
        <v>20</v>
      </c>
    </row>
    <row r="31" spans="2:24" ht="22.5" x14ac:dyDescent="0.25">
      <c r="B31" s="340" t="s">
        <v>190</v>
      </c>
      <c r="C31" s="351" t="s">
        <v>329</v>
      </c>
      <c r="D31" s="508">
        <f t="shared" si="0"/>
        <v>111</v>
      </c>
      <c r="E31" s="504">
        <f t="shared" si="1"/>
        <v>20</v>
      </c>
      <c r="F31" s="509">
        <f t="shared" si="2"/>
        <v>92.580011831980869</v>
      </c>
      <c r="G31" s="510">
        <f t="shared" si="3"/>
        <v>20</v>
      </c>
      <c r="H31" s="735"/>
      <c r="I31" s="736">
        <f t="shared" si="4"/>
        <v>2337</v>
      </c>
      <c r="J31" s="737" t="str">
        <f>VLOOKUP($B31,'Manual adjustment requests'!$A$3:$G$78,7,FALSE)</f>
        <v>(15 + 100x15/(RC derived price))% higher than RA08A</v>
      </c>
      <c r="K31" s="738">
        <f>$F$26*((1+'DI Activity Mapping_Calc'!$AF$15)*(1+0.15)+15/$F$26)</f>
        <v>99.600348657009022</v>
      </c>
      <c r="L31" s="739"/>
      <c r="M31" s="735"/>
      <c r="N31" s="736">
        <f>IF(VLOOKUP($B31,'DI Activity Mapping_Calc'!$T$4:$AH$53,15,FALSE)="Yes",VLOOKUP($B31,'DI Activity Mapping_Calc'!$T$4:$Y$53,6,FALSE),$I31)</f>
        <v>2337</v>
      </c>
      <c r="O31" s="740" t="s">
        <v>783</v>
      </c>
      <c r="P31" s="741" t="s">
        <v>472</v>
      </c>
      <c r="Q31" s="738">
        <f t="shared" si="9"/>
        <v>99.600348657009022</v>
      </c>
      <c r="R31" s="742">
        <f t="shared" si="5"/>
        <v>99.879336368442779</v>
      </c>
      <c r="S31" s="742">
        <f t="shared" si="10"/>
        <v>20</v>
      </c>
      <c r="T31" s="743">
        <f t="shared" si="6"/>
        <v>-7.9304478192572025E-2</v>
      </c>
      <c r="U31" s="744">
        <f t="shared" si="7"/>
        <v>0</v>
      </c>
      <c r="V31" s="745">
        <v>0</v>
      </c>
      <c r="W31" s="746">
        <f t="shared" si="8"/>
        <v>91.958457715523039</v>
      </c>
      <c r="X31" s="747">
        <f t="shared" si="11"/>
        <v>20</v>
      </c>
    </row>
    <row r="32" spans="2:24" ht="22.5" x14ac:dyDescent="0.25">
      <c r="B32" s="340" t="s">
        <v>107</v>
      </c>
      <c r="C32" s="351" t="s">
        <v>108</v>
      </c>
      <c r="D32" s="508">
        <f t="shared" si="0"/>
        <v>82</v>
      </c>
      <c r="E32" s="504">
        <f t="shared" si="1"/>
        <v>20</v>
      </c>
      <c r="F32" s="509">
        <f t="shared" si="2"/>
        <v>104.84551818340707</v>
      </c>
      <c r="G32" s="510">
        <f t="shared" si="3"/>
        <v>20</v>
      </c>
      <c r="H32" s="735"/>
      <c r="I32" s="736">
        <f t="shared" si="4"/>
        <v>95449</v>
      </c>
      <c r="J32" s="737" t="str">
        <f>VLOOKUP($B32,'Manual adjustment requests'!$A$3:$G$78,7,FALSE)</f>
        <v>(20 + 100x15/(RC derived price))% higher than RA08A</v>
      </c>
      <c r="K32" s="738">
        <f>$F$26*((1+'DI Activity Mapping_Calc'!$AF$15)*(1+0.2)+15/$F$26)</f>
        <v>103.27862468557464</v>
      </c>
      <c r="L32" s="739"/>
      <c r="M32" s="735"/>
      <c r="N32" s="736">
        <f>IF(VLOOKUP($B32,'DI Activity Mapping_Calc'!$T$4:$AH$53,15,FALSE)="Yes",VLOOKUP($B32,'DI Activity Mapping_Calc'!$T$4:$Y$53,6,FALSE),$I32)</f>
        <v>95449</v>
      </c>
      <c r="O32" s="740" t="s">
        <v>783</v>
      </c>
      <c r="P32" s="741" t="s">
        <v>472</v>
      </c>
      <c r="Q32" s="738">
        <f t="shared" si="9"/>
        <v>103.27862468557464</v>
      </c>
      <c r="R32" s="742">
        <f t="shared" si="5"/>
        <v>103.56791551165678</v>
      </c>
      <c r="S32" s="742">
        <f t="shared" si="10"/>
        <v>20</v>
      </c>
      <c r="T32" s="743">
        <f t="shared" si="6"/>
        <v>-7.9304478192572025E-2</v>
      </c>
      <c r="U32" s="744">
        <f t="shared" si="7"/>
        <v>0</v>
      </c>
      <c r="V32" s="745">
        <v>0</v>
      </c>
      <c r="W32" s="746">
        <f t="shared" si="8"/>
        <v>95.354516014512456</v>
      </c>
      <c r="X32" s="747">
        <f t="shared" si="11"/>
        <v>20</v>
      </c>
    </row>
    <row r="33" spans="2:24" x14ac:dyDescent="0.25">
      <c r="B33" s="340" t="s">
        <v>109</v>
      </c>
      <c r="C33" s="351" t="s">
        <v>110</v>
      </c>
      <c r="D33" s="508">
        <f t="shared" si="0"/>
        <v>82</v>
      </c>
      <c r="E33" s="504">
        <f t="shared" si="1"/>
        <v>20</v>
      </c>
      <c r="F33" s="509">
        <f t="shared" si="2"/>
        <v>91.363006529486341</v>
      </c>
      <c r="G33" s="510">
        <f t="shared" si="3"/>
        <v>20</v>
      </c>
      <c r="H33" s="735"/>
      <c r="I33" s="736">
        <f t="shared" si="4"/>
        <v>77127</v>
      </c>
      <c r="J33" s="737" t="str">
        <f>VLOOKUP($B33,'Manual adjustment requests'!$A$3:$G$78,7,FALSE)</f>
        <v>Should be 10% higher than RA08A</v>
      </c>
      <c r="K33" s="738">
        <f>$F$26*(1+'DI Activity Mapping_Calc'!$AF$15)*(1+0.1)</f>
        <v>80.922072628443431</v>
      </c>
      <c r="L33" s="739"/>
      <c r="M33" s="735"/>
      <c r="N33" s="736">
        <f>IF(VLOOKUP($B33,'DI Activity Mapping_Calc'!$T$4:$AH$53,15,FALSE)="Yes",VLOOKUP($B33,'DI Activity Mapping_Calc'!$T$4:$Y$53,6,FALSE),$I33)</f>
        <v>76182.408430646537</v>
      </c>
      <c r="O33" s="740" t="s">
        <v>783</v>
      </c>
      <c r="P33" s="741" t="s">
        <v>472</v>
      </c>
      <c r="Q33" s="738">
        <f t="shared" si="9"/>
        <v>80.922072628443431</v>
      </c>
      <c r="R33" s="742">
        <f t="shared" si="5"/>
        <v>81.14874115070765</v>
      </c>
      <c r="S33" s="742">
        <f t="shared" si="10"/>
        <v>20</v>
      </c>
      <c r="T33" s="743">
        <f t="shared" si="6"/>
        <v>-7.9304478192572025E-2</v>
      </c>
      <c r="U33" s="744">
        <f t="shared" si="7"/>
        <v>0</v>
      </c>
      <c r="V33" s="745">
        <v>0</v>
      </c>
      <c r="W33" s="746">
        <f t="shared" si="8"/>
        <v>74.713282577766677</v>
      </c>
      <c r="X33" s="747">
        <f t="shared" si="11"/>
        <v>20</v>
      </c>
    </row>
    <row r="34" spans="2:24" ht="22.5" x14ac:dyDescent="0.25">
      <c r="B34" s="340" t="s">
        <v>111</v>
      </c>
      <c r="C34" s="351" t="s">
        <v>112</v>
      </c>
      <c r="D34" s="508">
        <f t="shared" si="0"/>
        <v>106</v>
      </c>
      <c r="E34" s="504">
        <f t="shared" si="1"/>
        <v>27</v>
      </c>
      <c r="F34" s="509">
        <f t="shared" si="2"/>
        <v>107.55556714376034</v>
      </c>
      <c r="G34" s="510">
        <f t="shared" si="3"/>
        <v>27</v>
      </c>
      <c r="H34" s="735"/>
      <c r="I34" s="736">
        <f t="shared" si="4"/>
        <v>256650</v>
      </c>
      <c r="J34" s="737" t="str">
        <f>VLOOKUP($B34,'Manual adjustment requests'!$A$3:$G$78,7,FALSE)</f>
        <v>(10 + 100x15/(RC derived price))% higher than RA08A</v>
      </c>
      <c r="K34" s="738">
        <f>$F$26*((1+'DI Activity Mapping_Calc'!$AF$15)*(1+0.1)+15/$F$26)</f>
        <v>95.922072628443431</v>
      </c>
      <c r="L34" s="739"/>
      <c r="M34" s="735"/>
      <c r="N34" s="736">
        <f>IF(VLOOKUP($B34,'DI Activity Mapping_Calc'!$T$4:$AH$53,15,FALSE)="Yes",VLOOKUP($B34,'DI Activity Mapping_Calc'!$T$4:$Y$53,6,FALSE),$I34)</f>
        <v>247629.14013549997</v>
      </c>
      <c r="O34" s="740" t="s">
        <v>783</v>
      </c>
      <c r="P34" s="741" t="s">
        <v>472</v>
      </c>
      <c r="Q34" s="738">
        <f t="shared" si="9"/>
        <v>95.922072628443431</v>
      </c>
      <c r="R34" s="742">
        <f t="shared" si="5"/>
        <v>96.190757225228808</v>
      </c>
      <c r="S34" s="742">
        <f t="shared" si="10"/>
        <v>27</v>
      </c>
      <c r="T34" s="743">
        <f t="shared" si="6"/>
        <v>-7.9304478192572025E-2</v>
      </c>
      <c r="U34" s="744">
        <f t="shared" si="7"/>
        <v>0</v>
      </c>
      <c r="V34" s="745">
        <v>0</v>
      </c>
      <c r="W34" s="746">
        <f t="shared" si="8"/>
        <v>88.562399416533665</v>
      </c>
      <c r="X34" s="747">
        <f t="shared" si="11"/>
        <v>27</v>
      </c>
    </row>
    <row r="35" spans="2:24" ht="22.5" x14ac:dyDescent="0.25">
      <c r="B35" s="340" t="s">
        <v>115</v>
      </c>
      <c r="C35" s="351" t="s">
        <v>116</v>
      </c>
      <c r="D35" s="508">
        <f t="shared" si="0"/>
        <v>119</v>
      </c>
      <c r="E35" s="504">
        <f t="shared" si="1"/>
        <v>27</v>
      </c>
      <c r="F35" s="509">
        <f t="shared" si="2"/>
        <v>118.3573262432958</v>
      </c>
      <c r="G35" s="510">
        <f t="shared" si="3"/>
        <v>27</v>
      </c>
      <c r="H35" s="735"/>
      <c r="I35" s="736">
        <f t="shared" si="4"/>
        <v>322104</v>
      </c>
      <c r="J35" s="737" t="str">
        <f>VLOOKUP($B35,'Manual adjustment requests'!$A$3:$G$78,7,FALSE)</f>
        <v>(20 + 100x15/(RC derived price))% higher than RA08A</v>
      </c>
      <c r="K35" s="738">
        <f>$F$26*((1+'DI Activity Mapping_Calc'!$AF$15)*(1+0.2)+15/$F$26)</f>
        <v>103.27862468557464</v>
      </c>
      <c r="L35" s="739"/>
      <c r="M35" s="735"/>
      <c r="N35" s="736">
        <f>IF(VLOOKUP($B35,'DI Activity Mapping_Calc'!$T$4:$AH$53,15,FALSE)="Yes",VLOOKUP($B35,'DI Activity Mapping_Calc'!$T$4:$Y$53,6,FALSE),$I35)</f>
        <v>322104</v>
      </c>
      <c r="O35" s="740" t="s">
        <v>783</v>
      </c>
      <c r="P35" s="741" t="s">
        <v>472</v>
      </c>
      <c r="Q35" s="738">
        <f t="shared" si="9"/>
        <v>103.27862468557464</v>
      </c>
      <c r="R35" s="742">
        <f t="shared" si="5"/>
        <v>103.56791551165678</v>
      </c>
      <c r="S35" s="742">
        <f t="shared" si="10"/>
        <v>27</v>
      </c>
      <c r="T35" s="743">
        <f t="shared" si="6"/>
        <v>-7.9304478192572025E-2</v>
      </c>
      <c r="U35" s="744">
        <f t="shared" si="7"/>
        <v>0</v>
      </c>
      <c r="V35" s="745">
        <v>0</v>
      </c>
      <c r="W35" s="746">
        <f t="shared" si="8"/>
        <v>95.354516014512456</v>
      </c>
      <c r="X35" s="747">
        <f t="shared" si="11"/>
        <v>27</v>
      </c>
    </row>
    <row r="36" spans="2:24" ht="22.5" x14ac:dyDescent="0.25">
      <c r="B36" s="340" t="s">
        <v>117</v>
      </c>
      <c r="C36" s="351" t="s">
        <v>118</v>
      </c>
      <c r="D36" s="508">
        <f t="shared" si="0"/>
        <v>127</v>
      </c>
      <c r="E36" s="504">
        <f t="shared" si="1"/>
        <v>27</v>
      </c>
      <c r="F36" s="509">
        <f t="shared" si="2"/>
        <v>131.62952886950524</v>
      </c>
      <c r="G36" s="510">
        <f t="shared" si="3"/>
        <v>27</v>
      </c>
      <c r="H36" s="735"/>
      <c r="I36" s="736">
        <f t="shared" si="4"/>
        <v>46988</v>
      </c>
      <c r="J36" s="737" t="str">
        <f>VLOOKUP($B36,'Manual adjustment requests'!$A$3:$G$78,7,FALSE)</f>
        <v>(30 + 100x15/(RC derived price))% higher than RA08A</v>
      </c>
      <c r="K36" s="738">
        <f>$F$26*((1+'DI Activity Mapping_Calc'!$AF$15)*(1+0.3)+15/$F$26)</f>
        <v>110.63517674270587</v>
      </c>
      <c r="L36" s="739"/>
      <c r="M36" s="735"/>
      <c r="N36" s="736">
        <f>IF(VLOOKUP($B36,'DI Activity Mapping_Calc'!$T$4:$AH$53,15,FALSE)="Yes",VLOOKUP($B36,'DI Activity Mapping_Calc'!$T$4:$Y$53,6,FALSE),$I36)</f>
        <v>46988</v>
      </c>
      <c r="O36" s="740" t="s">
        <v>783</v>
      </c>
      <c r="P36" s="741" t="s">
        <v>472</v>
      </c>
      <c r="Q36" s="738">
        <f t="shared" si="9"/>
        <v>110.63517674270587</v>
      </c>
      <c r="R36" s="742">
        <f t="shared" si="5"/>
        <v>110.94507379808475</v>
      </c>
      <c r="S36" s="742">
        <f t="shared" si="10"/>
        <v>27</v>
      </c>
      <c r="T36" s="743">
        <f t="shared" si="6"/>
        <v>-7.9304478192572025E-2</v>
      </c>
      <c r="U36" s="744">
        <f t="shared" si="7"/>
        <v>0</v>
      </c>
      <c r="V36" s="745">
        <v>0</v>
      </c>
      <c r="W36" s="746">
        <f t="shared" si="8"/>
        <v>102.14663261249125</v>
      </c>
      <c r="X36" s="747">
        <f t="shared" si="11"/>
        <v>27</v>
      </c>
    </row>
    <row r="37" spans="2:24" ht="22.5" x14ac:dyDescent="0.25">
      <c r="B37" s="340" t="s">
        <v>119</v>
      </c>
      <c r="C37" s="351" t="s">
        <v>120</v>
      </c>
      <c r="D37" s="508">
        <f t="shared" si="0"/>
        <v>60</v>
      </c>
      <c r="E37" s="504">
        <f t="shared" si="1"/>
        <v>11</v>
      </c>
      <c r="F37" s="509">
        <f t="shared" si="2"/>
        <v>63.18488709913742</v>
      </c>
      <c r="G37" s="510">
        <f t="shared" si="3"/>
        <v>11</v>
      </c>
      <c r="H37" s="735"/>
      <c r="I37" s="736">
        <f t="shared" si="4"/>
        <v>250053</v>
      </c>
      <c r="J37" s="737" t="str">
        <f>VLOOKUP($B37,'Manual adjustment requests'!$A$3:$G$78,7,FALSE)</f>
        <v>Reduce HRG price by 5%, reduce cost of reporting by 9%</v>
      </c>
      <c r="K37" s="738">
        <f>$F$37*(1-0.05)</f>
        <v>60.025642744180544</v>
      </c>
      <c r="L37" s="739">
        <f>$G$37*(1-0.09)</f>
        <v>10.01</v>
      </c>
      <c r="M37" s="735"/>
      <c r="N37" s="736">
        <f>IF(VLOOKUP($B37,'DI Activity Mapping_Calc'!$T$4:$AH$53,15,FALSE)="Yes",VLOOKUP($B37,'DI Activity Mapping_Calc'!$T$4:$Y$53,6,FALSE),$I37)</f>
        <v>250053</v>
      </c>
      <c r="O37" s="741" t="s">
        <v>783</v>
      </c>
      <c r="P37" s="741" t="s">
        <v>783</v>
      </c>
      <c r="Q37" s="738">
        <f t="shared" si="9"/>
        <v>60.025642744180544</v>
      </c>
      <c r="R37" s="742">
        <f t="shared" si="5"/>
        <v>60.193778869428542</v>
      </c>
      <c r="S37" s="742">
        <f t="shared" si="10"/>
        <v>10.01</v>
      </c>
      <c r="T37" s="743">
        <f t="shared" si="6"/>
        <v>-7.9304478192572025E-2</v>
      </c>
      <c r="U37" s="744">
        <f t="shared" si="7"/>
        <v>0</v>
      </c>
      <c r="V37" s="745">
        <v>0</v>
      </c>
      <c r="W37" s="746">
        <f t="shared" si="8"/>
        <v>55.420142645749443</v>
      </c>
      <c r="X37" s="747">
        <f t="shared" si="11"/>
        <v>10.01</v>
      </c>
    </row>
    <row r="38" spans="2:24" x14ac:dyDescent="0.25">
      <c r="B38" s="340" t="s">
        <v>121</v>
      </c>
      <c r="C38" s="351" t="s">
        <v>330</v>
      </c>
      <c r="D38" s="508">
        <f t="shared" si="0"/>
        <v>75</v>
      </c>
      <c r="E38" s="504">
        <f t="shared" si="1"/>
        <v>0</v>
      </c>
      <c r="F38" s="509">
        <f t="shared" si="2"/>
        <v>87.905466799036716</v>
      </c>
      <c r="G38" s="510">
        <f t="shared" si="3"/>
        <v>0</v>
      </c>
      <c r="H38" s="735"/>
      <c r="I38" s="736">
        <f t="shared" si="4"/>
        <v>151215</v>
      </c>
      <c r="J38" s="737"/>
      <c r="K38" s="738"/>
      <c r="L38" s="739"/>
      <c r="M38" s="735"/>
      <c r="N38" s="736">
        <f>IF(VLOOKUP($B38,'DI Activity Mapping_Calc'!$T$4:$AH$53,15,FALSE)="Yes",VLOOKUP($B38,'DI Activity Mapping_Calc'!$T$4:$Y$53,6,FALSE),$I38)</f>
        <v>151215</v>
      </c>
      <c r="O38" s="740" t="s">
        <v>472</v>
      </c>
      <c r="P38" s="741" t="s">
        <v>472</v>
      </c>
      <c r="Q38" s="738">
        <f t="shared" si="9"/>
        <v>87.905466799036716</v>
      </c>
      <c r="R38" s="742">
        <f t="shared" si="5"/>
        <v>88.151696308626427</v>
      </c>
      <c r="S38" s="742">
        <f t="shared" si="10"/>
        <v>0</v>
      </c>
      <c r="T38" s="743">
        <f t="shared" si="6"/>
        <v>-7.9304478192572025E-2</v>
      </c>
      <c r="U38" s="744">
        <f t="shared" si="7"/>
        <v>0</v>
      </c>
      <c r="V38" s="745">
        <v>0</v>
      </c>
      <c r="W38" s="746">
        <f t="shared" si="8"/>
        <v>81.160872031080729</v>
      </c>
      <c r="X38" s="747">
        <f t="shared" si="11"/>
        <v>0</v>
      </c>
    </row>
    <row r="39" spans="2:24" x14ac:dyDescent="0.25">
      <c r="B39" s="340" t="s">
        <v>123</v>
      </c>
      <c r="C39" s="351" t="s">
        <v>331</v>
      </c>
      <c r="D39" s="508">
        <f t="shared" si="0"/>
        <v>113</v>
      </c>
      <c r="E39" s="504">
        <f t="shared" si="1"/>
        <v>0</v>
      </c>
      <c r="F39" s="509">
        <f t="shared" si="2"/>
        <v>131.65156306043752</v>
      </c>
      <c r="G39" s="510">
        <f t="shared" si="3"/>
        <v>0</v>
      </c>
      <c r="H39" s="735"/>
      <c r="I39" s="736">
        <f t="shared" si="4"/>
        <v>75452</v>
      </c>
      <c r="J39" s="737" t="str">
        <f>VLOOKUP($B39,'Manual adjustment requests'!$A$3:$G$78,7,FALSE)</f>
        <v>Should be 50% higher than RA16Z</v>
      </c>
      <c r="K39" s="738">
        <f>$F$38*(1+0.5)</f>
        <v>131.85820019855507</v>
      </c>
      <c r="L39" s="739"/>
      <c r="M39" s="735"/>
      <c r="N39" s="736">
        <f>IF(VLOOKUP($B39,'DI Activity Mapping_Calc'!$T$4:$AH$53,15,FALSE)="Yes",VLOOKUP($B39,'DI Activity Mapping_Calc'!$T$4:$Y$53,6,FALSE),$I39)</f>
        <v>75452</v>
      </c>
      <c r="O39" s="740" t="s">
        <v>783</v>
      </c>
      <c r="P39" s="741" t="s">
        <v>472</v>
      </c>
      <c r="Q39" s="738">
        <f t="shared" si="9"/>
        <v>131.85820019855507</v>
      </c>
      <c r="R39" s="742">
        <f t="shared" si="5"/>
        <v>132.22754446293962</v>
      </c>
      <c r="S39" s="742">
        <f t="shared" si="10"/>
        <v>0</v>
      </c>
      <c r="T39" s="743">
        <f t="shared" si="6"/>
        <v>-7.9304478192572025E-2</v>
      </c>
      <c r="U39" s="744">
        <f t="shared" si="7"/>
        <v>0</v>
      </c>
      <c r="V39" s="745">
        <v>0</v>
      </c>
      <c r="W39" s="746">
        <f t="shared" si="8"/>
        <v>121.74130804662107</v>
      </c>
      <c r="X39" s="747">
        <f t="shared" si="11"/>
        <v>0</v>
      </c>
    </row>
    <row r="40" spans="2:24" x14ac:dyDescent="0.25">
      <c r="B40" s="340" t="s">
        <v>125</v>
      </c>
      <c r="C40" s="351" t="s">
        <v>332</v>
      </c>
      <c r="D40" s="508">
        <f t="shared" si="0"/>
        <v>135</v>
      </c>
      <c r="E40" s="504">
        <f t="shared" si="1"/>
        <v>0</v>
      </c>
      <c r="F40" s="509">
        <f t="shared" si="2"/>
        <v>178.00324651427451</v>
      </c>
      <c r="G40" s="510">
        <f t="shared" si="3"/>
        <v>0</v>
      </c>
      <c r="H40" s="735"/>
      <c r="I40" s="736">
        <f t="shared" si="4"/>
        <v>33057</v>
      </c>
      <c r="J40" s="737" t="str">
        <f>VLOOKUP($B40,'Manual adjustment requests'!$A$3:$G$78,7,FALSE)</f>
        <v>Should be 35% higher than RA17Z</v>
      </c>
      <c r="K40" s="738">
        <f>$F$39*(1+0.35)</f>
        <v>177.72961013159068</v>
      </c>
      <c r="L40" s="739"/>
      <c r="M40" s="735"/>
      <c r="N40" s="736">
        <f>IF(VLOOKUP($B40,'DI Activity Mapping_Calc'!$T$4:$AH$53,15,FALSE)="Yes",VLOOKUP($B40,'DI Activity Mapping_Calc'!$T$4:$Y$53,6,FALSE),$I40)</f>
        <v>33057</v>
      </c>
      <c r="O40" s="740" t="s">
        <v>783</v>
      </c>
      <c r="P40" s="741" t="s">
        <v>472</v>
      </c>
      <c r="Q40" s="738">
        <f t="shared" si="9"/>
        <v>177.72961013159068</v>
      </c>
      <c r="R40" s="742">
        <f t="shared" si="5"/>
        <v>178.22744350118438</v>
      </c>
      <c r="S40" s="742">
        <f t="shared" si="10"/>
        <v>0</v>
      </c>
      <c r="T40" s="743">
        <f t="shared" si="6"/>
        <v>-7.9304478192572025E-2</v>
      </c>
      <c r="U40" s="744">
        <f t="shared" si="7"/>
        <v>0</v>
      </c>
      <c r="V40" s="745">
        <v>0</v>
      </c>
      <c r="W40" s="746">
        <f t="shared" si="8"/>
        <v>164.09320909472683</v>
      </c>
      <c r="X40" s="747">
        <f t="shared" si="11"/>
        <v>0</v>
      </c>
    </row>
    <row r="41" spans="2:24" x14ac:dyDescent="0.25">
      <c r="B41" s="340" t="s">
        <v>127</v>
      </c>
      <c r="C41" s="351" t="s">
        <v>333</v>
      </c>
      <c r="D41" s="508">
        <f t="shared" si="0"/>
        <v>43</v>
      </c>
      <c r="E41" s="504">
        <f t="shared" si="1"/>
        <v>0</v>
      </c>
      <c r="F41" s="509">
        <f t="shared" si="2"/>
        <v>44.065083313984715</v>
      </c>
      <c r="G41" s="510">
        <f t="shared" si="3"/>
        <v>0</v>
      </c>
      <c r="H41" s="735"/>
      <c r="I41" s="736">
        <f t="shared" si="4"/>
        <v>3758253</v>
      </c>
      <c r="J41" s="737"/>
      <c r="K41" s="738"/>
      <c r="L41" s="739"/>
      <c r="M41" s="735"/>
      <c r="N41" s="736">
        <f>IF(VLOOKUP($B41,'DI Activity Mapping_Calc'!$T$4:$AH$53,15,FALSE)="Yes",VLOOKUP($B41,'DI Activity Mapping_Calc'!$T$4:$Y$53,6,FALSE),$I41)</f>
        <v>3758253</v>
      </c>
      <c r="O41" s="740" t="s">
        <v>472</v>
      </c>
      <c r="P41" s="741" t="s">
        <v>472</v>
      </c>
      <c r="Q41" s="738">
        <f t="shared" si="9"/>
        <v>44.065083313984715</v>
      </c>
      <c r="R41" s="742">
        <f t="shared" si="5"/>
        <v>44.188512768938146</v>
      </c>
      <c r="S41" s="742">
        <f t="shared" si="10"/>
        <v>0</v>
      </c>
      <c r="T41" s="743">
        <f t="shared" si="6"/>
        <v>-7.9304478192572025E-2</v>
      </c>
      <c r="U41" s="744">
        <f t="shared" si="7"/>
        <v>0</v>
      </c>
      <c r="V41" s="745">
        <v>0</v>
      </c>
      <c r="W41" s="746">
        <f t="shared" si="8"/>
        <v>40.6841658216917</v>
      </c>
      <c r="X41" s="747">
        <f t="shared" si="11"/>
        <v>0</v>
      </c>
    </row>
    <row r="42" spans="2:24" x14ac:dyDescent="0.25">
      <c r="B42" s="340" t="s">
        <v>129</v>
      </c>
      <c r="C42" s="351" t="s">
        <v>334</v>
      </c>
      <c r="D42" s="508">
        <f t="shared" si="0"/>
        <v>55</v>
      </c>
      <c r="E42" s="504">
        <f t="shared" si="1"/>
        <v>0</v>
      </c>
      <c r="F42" s="509">
        <f t="shared" si="2"/>
        <v>53.977474159985057</v>
      </c>
      <c r="G42" s="510">
        <f t="shared" si="3"/>
        <v>0</v>
      </c>
      <c r="H42" s="735"/>
      <c r="I42" s="736">
        <f t="shared" si="4"/>
        <v>1099632</v>
      </c>
      <c r="J42" s="737"/>
      <c r="K42" s="738"/>
      <c r="L42" s="739"/>
      <c r="M42" s="735"/>
      <c r="N42" s="736">
        <f>IF(VLOOKUP($B42,'DI Activity Mapping_Calc'!$T$4:$AH$53,15,FALSE)="Yes",VLOOKUP($B42,'DI Activity Mapping_Calc'!$T$4:$Y$53,6,FALSE),$I42)</f>
        <v>1099632</v>
      </c>
      <c r="O42" s="740" t="s">
        <v>472</v>
      </c>
      <c r="P42" s="741" t="s">
        <v>472</v>
      </c>
      <c r="Q42" s="738">
        <f t="shared" si="9"/>
        <v>53.977474159985057</v>
      </c>
      <c r="R42" s="742">
        <f t="shared" si="5"/>
        <v>54.128668931769717</v>
      </c>
      <c r="S42" s="742">
        <f t="shared" si="10"/>
        <v>0</v>
      </c>
      <c r="T42" s="743">
        <f t="shared" si="6"/>
        <v>-7.9304478192572025E-2</v>
      </c>
      <c r="U42" s="744">
        <f t="shared" si="7"/>
        <v>0</v>
      </c>
      <c r="V42" s="745">
        <v>0</v>
      </c>
      <c r="W42" s="746">
        <f t="shared" si="8"/>
        <v>49.836023086877233</v>
      </c>
      <c r="X42" s="747">
        <f t="shared" si="11"/>
        <v>0</v>
      </c>
    </row>
    <row r="43" spans="2:24" x14ac:dyDescent="0.25">
      <c r="B43" s="340" t="s">
        <v>131</v>
      </c>
      <c r="C43" s="351" t="s">
        <v>335</v>
      </c>
      <c r="D43" s="508">
        <f t="shared" si="0"/>
        <v>138</v>
      </c>
      <c r="E43" s="504">
        <f t="shared" si="1"/>
        <v>19</v>
      </c>
      <c r="F43" s="509">
        <f t="shared" si="2"/>
        <v>154.25403137979072</v>
      </c>
      <c r="G43" s="510">
        <f t="shared" si="3"/>
        <v>19</v>
      </c>
      <c r="H43" s="735"/>
      <c r="I43" s="736">
        <f t="shared" si="4"/>
        <v>37609</v>
      </c>
      <c r="J43" s="737"/>
      <c r="K43" s="738"/>
      <c r="L43" s="739"/>
      <c r="M43" s="735"/>
      <c r="N43" s="736">
        <f>IF(VLOOKUP($B43,'DI Activity Mapping_Calc'!$T$4:$AH$53,15,FALSE)="Yes",VLOOKUP($B43,'DI Activity Mapping_Calc'!$T$4:$Y$53,6,FALSE),$I43)</f>
        <v>37609</v>
      </c>
      <c r="O43" s="740" t="s">
        <v>472</v>
      </c>
      <c r="P43" s="741" t="s">
        <v>472</v>
      </c>
      <c r="Q43" s="738">
        <f t="shared" si="9"/>
        <v>154.25403137979072</v>
      </c>
      <c r="R43" s="742">
        <f t="shared" si="5"/>
        <v>154.68610797163356</v>
      </c>
      <c r="S43" s="742">
        <f t="shared" si="10"/>
        <v>19</v>
      </c>
      <c r="T43" s="743">
        <f t="shared" si="6"/>
        <v>-7.9304478192572025E-2</v>
      </c>
      <c r="U43" s="744">
        <f t="shared" si="7"/>
        <v>0</v>
      </c>
      <c r="V43" s="745">
        <v>0</v>
      </c>
      <c r="W43" s="746">
        <f t="shared" si="8"/>
        <v>142.41880689530331</v>
      </c>
      <c r="X43" s="747">
        <f t="shared" si="11"/>
        <v>19</v>
      </c>
    </row>
    <row r="44" spans="2:24" x14ac:dyDescent="0.25">
      <c r="B44" s="340" t="s">
        <v>133</v>
      </c>
      <c r="C44" s="351" t="s">
        <v>336</v>
      </c>
      <c r="D44" s="508">
        <f t="shared" si="0"/>
        <v>182</v>
      </c>
      <c r="E44" s="504">
        <f t="shared" si="1"/>
        <v>19</v>
      </c>
      <c r="F44" s="509">
        <f t="shared" si="2"/>
        <v>184.87856125138316</v>
      </c>
      <c r="G44" s="510">
        <f t="shared" si="3"/>
        <v>19</v>
      </c>
      <c r="H44" s="735"/>
      <c r="I44" s="736">
        <f t="shared" si="4"/>
        <v>185239</v>
      </c>
      <c r="J44" s="737"/>
      <c r="K44" s="738"/>
      <c r="L44" s="739"/>
      <c r="M44" s="735"/>
      <c r="N44" s="736">
        <f>IF(VLOOKUP($B44,'DI Activity Mapping_Calc'!$T$4:$AH$53,15,FALSE)="Yes",VLOOKUP($B44,'DI Activity Mapping_Calc'!$T$4:$Y$53,6,FALSE),$I44)</f>
        <v>185239</v>
      </c>
      <c r="O44" s="740" t="s">
        <v>472</v>
      </c>
      <c r="P44" s="741" t="s">
        <v>472</v>
      </c>
      <c r="Q44" s="738">
        <f t="shared" si="9"/>
        <v>184.87856125138316</v>
      </c>
      <c r="R44" s="742">
        <f t="shared" si="5"/>
        <v>185.3964193451767</v>
      </c>
      <c r="S44" s="742">
        <f t="shared" si="10"/>
        <v>19</v>
      </c>
      <c r="T44" s="743">
        <f t="shared" si="6"/>
        <v>-7.9304478192572025E-2</v>
      </c>
      <c r="U44" s="744">
        <f t="shared" si="7"/>
        <v>0</v>
      </c>
      <c r="V44" s="745">
        <v>0</v>
      </c>
      <c r="W44" s="746">
        <f t="shared" si="8"/>
        <v>170.69365305023618</v>
      </c>
      <c r="X44" s="747">
        <f t="shared" si="11"/>
        <v>19</v>
      </c>
    </row>
    <row r="45" spans="2:24" x14ac:dyDescent="0.25">
      <c r="B45" s="340" t="s">
        <v>135</v>
      </c>
      <c r="C45" s="351" t="s">
        <v>337</v>
      </c>
      <c r="D45" s="508">
        <f t="shared" si="0"/>
        <v>212</v>
      </c>
      <c r="E45" s="504">
        <f t="shared" si="1"/>
        <v>25</v>
      </c>
      <c r="F45" s="509">
        <f t="shared" si="2"/>
        <v>210.03383010745537</v>
      </c>
      <c r="G45" s="510">
        <f t="shared" si="3"/>
        <v>25</v>
      </c>
      <c r="H45" s="735"/>
      <c r="I45" s="736">
        <f t="shared" si="4"/>
        <v>76791</v>
      </c>
      <c r="J45" s="737"/>
      <c r="K45" s="738"/>
      <c r="L45" s="739"/>
      <c r="M45" s="735"/>
      <c r="N45" s="736">
        <f>IF(VLOOKUP($B45,'DI Activity Mapping_Calc'!$T$4:$AH$53,15,FALSE)="Yes",VLOOKUP($B45,'DI Activity Mapping_Calc'!$T$4:$Y$53,6,FALSE),$I45)</f>
        <v>76791</v>
      </c>
      <c r="O45" s="740" t="s">
        <v>472</v>
      </c>
      <c r="P45" s="741" t="s">
        <v>472</v>
      </c>
      <c r="Q45" s="738">
        <f t="shared" si="9"/>
        <v>210.03383010745537</v>
      </c>
      <c r="R45" s="742">
        <f t="shared" si="5"/>
        <v>210.622149911306</v>
      </c>
      <c r="S45" s="742">
        <f t="shared" si="10"/>
        <v>25</v>
      </c>
      <c r="T45" s="743">
        <f t="shared" si="6"/>
        <v>-7.9304478192572025E-2</v>
      </c>
      <c r="U45" s="744">
        <f t="shared" si="7"/>
        <v>0</v>
      </c>
      <c r="V45" s="745">
        <v>0</v>
      </c>
      <c r="W45" s="746">
        <f t="shared" si="8"/>
        <v>193.91887021679219</v>
      </c>
      <c r="X45" s="747">
        <f t="shared" si="11"/>
        <v>25</v>
      </c>
    </row>
    <row r="46" spans="2:24" x14ac:dyDescent="0.25">
      <c r="B46" s="340" t="s">
        <v>137</v>
      </c>
      <c r="C46" s="351" t="s">
        <v>338</v>
      </c>
      <c r="D46" s="508">
        <f t="shared" si="0"/>
        <v>408</v>
      </c>
      <c r="E46" s="504">
        <f t="shared" si="1"/>
        <v>25</v>
      </c>
      <c r="F46" s="509">
        <f t="shared" si="2"/>
        <v>275.72312336150208</v>
      </c>
      <c r="G46" s="510">
        <f t="shared" si="3"/>
        <v>25</v>
      </c>
      <c r="H46" s="735"/>
      <c r="I46" s="736">
        <f t="shared" si="4"/>
        <v>51973</v>
      </c>
      <c r="J46" s="737"/>
      <c r="K46" s="738"/>
      <c r="L46" s="739"/>
      <c r="M46" s="735"/>
      <c r="N46" s="736">
        <f>IF(VLOOKUP($B46,'DI Activity Mapping_Calc'!$T$4:$AH$53,15,FALSE)="Yes",VLOOKUP($B46,'DI Activity Mapping_Calc'!$T$4:$Y$53,6,FALSE),$I46)</f>
        <v>51973</v>
      </c>
      <c r="O46" s="740" t="s">
        <v>472</v>
      </c>
      <c r="P46" s="741" t="s">
        <v>472</v>
      </c>
      <c r="Q46" s="738">
        <f t="shared" si="9"/>
        <v>275.72312336150208</v>
      </c>
      <c r="R46" s="742">
        <f t="shared" si="5"/>
        <v>276.49544358139298</v>
      </c>
      <c r="S46" s="742">
        <f t="shared" si="10"/>
        <v>25</v>
      </c>
      <c r="T46" s="743">
        <f t="shared" si="6"/>
        <v>-7.9304478192572025E-2</v>
      </c>
      <c r="U46" s="744">
        <f t="shared" si="7"/>
        <v>0</v>
      </c>
      <c r="V46" s="745">
        <v>0</v>
      </c>
      <c r="W46" s="746">
        <f t="shared" si="8"/>
        <v>254.56811670554686</v>
      </c>
      <c r="X46" s="747">
        <f t="shared" si="11"/>
        <v>25</v>
      </c>
    </row>
    <row r="47" spans="2:24" x14ac:dyDescent="0.25">
      <c r="B47" s="340" t="s">
        <v>139</v>
      </c>
      <c r="C47" s="351" t="s">
        <v>339</v>
      </c>
      <c r="D47" s="508">
        <f t="shared" si="0"/>
        <v>385</v>
      </c>
      <c r="E47" s="504">
        <f t="shared" si="1"/>
        <v>52</v>
      </c>
      <c r="F47" s="509">
        <f t="shared" si="2"/>
        <v>310.97651768170539</v>
      </c>
      <c r="G47" s="510">
        <f t="shared" si="3"/>
        <v>52</v>
      </c>
      <c r="H47" s="735"/>
      <c r="I47" s="736">
        <f t="shared" si="4"/>
        <v>41982</v>
      </c>
      <c r="J47" s="737"/>
      <c r="K47" s="738"/>
      <c r="L47" s="739"/>
      <c r="M47" s="735"/>
      <c r="N47" s="736">
        <f>IF(VLOOKUP($B47,'DI Activity Mapping_Calc'!$T$4:$AH$53,15,FALSE)="Yes",VLOOKUP($B47,'DI Activity Mapping_Calc'!$T$4:$Y$53,6,FALSE),$I47)</f>
        <v>41982</v>
      </c>
      <c r="O47" s="740" t="s">
        <v>472</v>
      </c>
      <c r="P47" s="741" t="s">
        <v>472</v>
      </c>
      <c r="Q47" s="738">
        <f t="shared" si="9"/>
        <v>310.97651768170539</v>
      </c>
      <c r="R47" s="742">
        <f t="shared" si="5"/>
        <v>311.84758518445506</v>
      </c>
      <c r="S47" s="742">
        <f t="shared" si="10"/>
        <v>52</v>
      </c>
      <c r="T47" s="743">
        <f t="shared" si="6"/>
        <v>-7.9304478192572025E-2</v>
      </c>
      <c r="U47" s="744">
        <f t="shared" si="7"/>
        <v>0</v>
      </c>
      <c r="V47" s="745">
        <v>0</v>
      </c>
      <c r="W47" s="746">
        <f t="shared" si="8"/>
        <v>287.11667516578819</v>
      </c>
      <c r="X47" s="747">
        <f t="shared" si="11"/>
        <v>52</v>
      </c>
    </row>
    <row r="48" spans="2:24" x14ac:dyDescent="0.25">
      <c r="B48" s="340" t="s">
        <v>141</v>
      </c>
      <c r="C48" s="351" t="s">
        <v>340</v>
      </c>
      <c r="D48" s="508">
        <f t="shared" si="0"/>
        <v>405</v>
      </c>
      <c r="E48" s="504">
        <f t="shared" si="1"/>
        <v>52</v>
      </c>
      <c r="F48" s="509">
        <f t="shared" si="2"/>
        <v>401.67573122712639</v>
      </c>
      <c r="G48" s="510">
        <f t="shared" si="3"/>
        <v>52</v>
      </c>
      <c r="H48" s="735"/>
      <c r="I48" s="736">
        <f t="shared" si="4"/>
        <v>11356</v>
      </c>
      <c r="J48" s="737"/>
      <c r="K48" s="738"/>
      <c r="L48" s="739"/>
      <c r="M48" s="735"/>
      <c r="N48" s="736">
        <f>IF(VLOOKUP($B48,'DI Activity Mapping_Calc'!$T$4:$AH$53,15,FALSE)="Yes",VLOOKUP($B48,'DI Activity Mapping_Calc'!$T$4:$Y$53,6,FALSE),$I48)</f>
        <v>11356</v>
      </c>
      <c r="O48" s="740" t="s">
        <v>472</v>
      </c>
      <c r="P48" s="741" t="s">
        <v>472</v>
      </c>
      <c r="Q48" s="738">
        <f t="shared" si="9"/>
        <v>401.67573122712639</v>
      </c>
      <c r="R48" s="742">
        <f t="shared" si="5"/>
        <v>402.80085372423173</v>
      </c>
      <c r="S48" s="742">
        <f t="shared" si="10"/>
        <v>52</v>
      </c>
      <c r="T48" s="743">
        <f t="shared" si="6"/>
        <v>-7.9304478192572025E-2</v>
      </c>
      <c r="U48" s="744">
        <f t="shared" si="7"/>
        <v>0</v>
      </c>
      <c r="V48" s="745">
        <v>0</v>
      </c>
      <c r="W48" s="746">
        <f t="shared" si="8"/>
        <v>370.85694220410898</v>
      </c>
      <c r="X48" s="747">
        <f t="shared" si="11"/>
        <v>52</v>
      </c>
    </row>
    <row r="49" spans="2:24" ht="22.5" x14ac:dyDescent="0.25">
      <c r="B49" s="340" t="s">
        <v>113</v>
      </c>
      <c r="C49" s="351" t="s">
        <v>114</v>
      </c>
      <c r="D49" s="508">
        <f t="shared" si="0"/>
        <v>103</v>
      </c>
      <c r="E49" s="504">
        <f t="shared" si="1"/>
        <v>27</v>
      </c>
      <c r="F49" s="509">
        <f t="shared" si="2"/>
        <v>87.439556632401761</v>
      </c>
      <c r="G49" s="510">
        <f t="shared" si="3"/>
        <v>27</v>
      </c>
      <c r="H49" s="735"/>
      <c r="I49" s="736">
        <f t="shared" si="4"/>
        <v>33583</v>
      </c>
      <c r="J49" s="737" t="str">
        <f>VLOOKUP($B49,'Manual adjustment requests'!$A$3:$G$78,7,FALSE)</f>
        <v>Should be 20% higher than RA08A.  Check prior to S118</v>
      </c>
      <c r="K49" s="738">
        <f>$F$26*(1+'DI Activity Mapping_Calc'!$AF$15)*(1+0.2)</f>
        <v>88.278624685574641</v>
      </c>
      <c r="L49" s="739"/>
      <c r="M49" s="735"/>
      <c r="N49" s="736">
        <f>IF(VLOOKUP($B49,'DI Activity Mapping_Calc'!$T$4:$AH$53,15,FALSE)="Yes",VLOOKUP($B49,'DI Activity Mapping_Calc'!$T$4:$Y$53,6,FALSE),$I49)</f>
        <v>33583</v>
      </c>
      <c r="O49" s="740" t="s">
        <v>783</v>
      </c>
      <c r="P49" s="741" t="s">
        <v>472</v>
      </c>
      <c r="Q49" s="738">
        <f t="shared" si="9"/>
        <v>88.278624685574641</v>
      </c>
      <c r="R49" s="742">
        <f t="shared" si="5"/>
        <v>88.525899437135607</v>
      </c>
      <c r="S49" s="742">
        <f t="shared" si="10"/>
        <v>27</v>
      </c>
      <c r="T49" s="743">
        <f t="shared" si="6"/>
        <v>-7.9304478192572025E-2</v>
      </c>
      <c r="U49" s="744">
        <f t="shared" si="7"/>
        <v>0</v>
      </c>
      <c r="V49" s="745">
        <v>0</v>
      </c>
      <c r="W49" s="746">
        <f t="shared" si="8"/>
        <v>81.505399175745467</v>
      </c>
      <c r="X49" s="747">
        <f t="shared" si="11"/>
        <v>27</v>
      </c>
    </row>
    <row r="50" spans="2:24" x14ac:dyDescent="0.25">
      <c r="B50" s="340" t="s">
        <v>191</v>
      </c>
      <c r="C50" s="351" t="s">
        <v>341</v>
      </c>
      <c r="D50" s="508">
        <f t="shared" si="0"/>
        <v>65</v>
      </c>
      <c r="E50" s="504">
        <f t="shared" si="1"/>
        <v>0</v>
      </c>
      <c r="F50" s="509">
        <f t="shared" si="2"/>
        <v>55.892740702887828</v>
      </c>
      <c r="G50" s="510">
        <f t="shared" si="3"/>
        <v>0</v>
      </c>
      <c r="H50" s="735"/>
      <c r="I50" s="736">
        <f t="shared" si="4"/>
        <v>191705</v>
      </c>
      <c r="J50" s="737"/>
      <c r="K50" s="738"/>
      <c r="L50" s="739"/>
      <c r="M50" s="735"/>
      <c r="N50" s="736">
        <f>IF(VLOOKUP($B50,'DI Activity Mapping_Calc'!$T$4:$AH$53,15,FALSE)="Yes",VLOOKUP($B50,'DI Activity Mapping_Calc'!$T$4:$Y$53,6,FALSE),$I50)</f>
        <v>191705</v>
      </c>
      <c r="O50" s="740" t="s">
        <v>472</v>
      </c>
      <c r="P50" s="741" t="s">
        <v>472</v>
      </c>
      <c r="Q50" s="738">
        <f t="shared" si="9"/>
        <v>55.892740702887828</v>
      </c>
      <c r="R50" s="742">
        <f t="shared" si="5"/>
        <v>56.049300273458783</v>
      </c>
      <c r="S50" s="742">
        <f t="shared" si="10"/>
        <v>0</v>
      </c>
      <c r="T50" s="743">
        <f t="shared" si="6"/>
        <v>-7.9304478192572025E-2</v>
      </c>
      <c r="U50" s="744">
        <f t="shared" si="7"/>
        <v>0</v>
      </c>
      <c r="V50" s="745">
        <v>0</v>
      </c>
      <c r="W50" s="746">
        <f t="shared" si="8"/>
        <v>51.60433976221335</v>
      </c>
      <c r="X50" s="747">
        <f t="shared" si="11"/>
        <v>0</v>
      </c>
    </row>
    <row r="51" spans="2:24" x14ac:dyDescent="0.25">
      <c r="B51" s="340" t="s">
        <v>192</v>
      </c>
      <c r="C51" s="351" t="s">
        <v>342</v>
      </c>
      <c r="D51" s="508">
        <f t="shared" si="0"/>
        <v>77</v>
      </c>
      <c r="E51" s="504">
        <f t="shared" si="1"/>
        <v>0</v>
      </c>
      <c r="F51" s="509">
        <f t="shared" si="2"/>
        <v>56.730343150487151</v>
      </c>
      <c r="G51" s="510">
        <f t="shared" si="3"/>
        <v>0</v>
      </c>
      <c r="H51" s="735"/>
      <c r="I51" s="736">
        <f t="shared" si="4"/>
        <v>4243</v>
      </c>
      <c r="J51" s="737"/>
      <c r="K51" s="738"/>
      <c r="L51" s="739"/>
      <c r="M51" s="735"/>
      <c r="N51" s="736">
        <f>IF(VLOOKUP($B51,'DI Activity Mapping_Calc'!$T$4:$AH$53,15,FALSE)="Yes",VLOOKUP($B51,'DI Activity Mapping_Calc'!$T$4:$Y$53,6,FALSE),$I51)</f>
        <v>4243</v>
      </c>
      <c r="O51" s="740" t="s">
        <v>472</v>
      </c>
      <c r="P51" s="741" t="s">
        <v>472</v>
      </c>
      <c r="Q51" s="738">
        <f t="shared" si="9"/>
        <v>56.730343150487151</v>
      </c>
      <c r="R51" s="742">
        <f t="shared" si="5"/>
        <v>56.889248905515274</v>
      </c>
      <c r="S51" s="742">
        <f t="shared" si="10"/>
        <v>0</v>
      </c>
      <c r="T51" s="743">
        <f t="shared" si="6"/>
        <v>-7.9304478192572025E-2</v>
      </c>
      <c r="U51" s="744">
        <f t="shared" si="7"/>
        <v>0</v>
      </c>
      <c r="V51" s="745">
        <v>0</v>
      </c>
      <c r="W51" s="746">
        <f t="shared" si="8"/>
        <v>52.377676706296036</v>
      </c>
      <c r="X51" s="747">
        <f t="shared" si="11"/>
        <v>0</v>
      </c>
    </row>
    <row r="52" spans="2:24" x14ac:dyDescent="0.25">
      <c r="B52" s="340" t="s">
        <v>193</v>
      </c>
      <c r="C52" s="351" t="s">
        <v>343</v>
      </c>
      <c r="D52" s="508">
        <f t="shared" si="0"/>
        <v>91</v>
      </c>
      <c r="E52" s="504">
        <f t="shared" si="1"/>
        <v>0</v>
      </c>
      <c r="F52" s="509">
        <f t="shared" si="2"/>
        <v>80.50939735588868</v>
      </c>
      <c r="G52" s="510">
        <f t="shared" si="3"/>
        <v>0</v>
      </c>
      <c r="H52" s="735"/>
      <c r="I52" s="736">
        <f t="shared" si="4"/>
        <v>1945</v>
      </c>
      <c r="J52" s="737" t="str">
        <f>VLOOKUP($B52,'Manual adjustment requests'!$A$3:$G$78,7,FALSE)</f>
        <v>Should be 15% higher than RA60B</v>
      </c>
      <c r="K52" s="738">
        <f>$F$51*(1+0.15)</f>
        <v>65.239894623060223</v>
      </c>
      <c r="L52" s="739"/>
      <c r="M52" s="735"/>
      <c r="N52" s="736">
        <f>IF(VLOOKUP($B52,'DI Activity Mapping_Calc'!$T$4:$AH$53,15,FALSE)="Yes",VLOOKUP($B52,'DI Activity Mapping_Calc'!$T$4:$Y$53,6,FALSE),$I52)</f>
        <v>1945</v>
      </c>
      <c r="O52" s="740" t="s">
        <v>783</v>
      </c>
      <c r="P52" s="741" t="s">
        <v>472</v>
      </c>
      <c r="Q52" s="738">
        <f t="shared" si="9"/>
        <v>65.239894623060223</v>
      </c>
      <c r="R52" s="742">
        <f t="shared" si="5"/>
        <v>65.422636241342559</v>
      </c>
      <c r="S52" s="742">
        <f t="shared" si="10"/>
        <v>0</v>
      </c>
      <c r="T52" s="743">
        <f t="shared" si="6"/>
        <v>-7.9304478192572025E-2</v>
      </c>
      <c r="U52" s="744">
        <f t="shared" si="7"/>
        <v>0</v>
      </c>
      <c r="V52" s="745">
        <v>0</v>
      </c>
      <c r="W52" s="746">
        <f t="shared" si="8"/>
        <v>60.234328212240435</v>
      </c>
      <c r="X52" s="747">
        <f t="shared" si="11"/>
        <v>0</v>
      </c>
    </row>
    <row r="53" spans="2:24" x14ac:dyDescent="0.25">
      <c r="B53" s="340" t="s">
        <v>194</v>
      </c>
      <c r="C53" s="351" t="s">
        <v>344</v>
      </c>
      <c r="D53" s="508">
        <f t="shared" si="0"/>
        <v>327</v>
      </c>
      <c r="E53" s="504">
        <f t="shared" si="1"/>
        <v>22</v>
      </c>
      <c r="F53" s="509">
        <f t="shared" si="2"/>
        <v>338.93791456328239</v>
      </c>
      <c r="G53" s="510">
        <f t="shared" si="3"/>
        <v>22</v>
      </c>
      <c r="H53" s="735"/>
      <c r="I53" s="736">
        <f t="shared" si="4"/>
        <v>14173</v>
      </c>
      <c r="J53" s="737" t="str">
        <f>VLOOKUP($B53,'Manual adjustment requests'!$A$3:$G$78,7,FALSE)</f>
        <v/>
      </c>
      <c r="K53" s="738"/>
      <c r="L53" s="739">
        <f>$G$23</f>
        <v>28</v>
      </c>
      <c r="M53" s="735"/>
      <c r="N53" s="736">
        <f>IF(VLOOKUP($B53,'DI Activity Mapping_Calc'!$T$4:$AH$53,15,FALSE)="Yes",VLOOKUP($B53,'DI Activity Mapping_Calc'!$T$4:$Y$53,6,FALSE),$I53)</f>
        <v>14173</v>
      </c>
      <c r="O53" s="740" t="s">
        <v>472</v>
      </c>
      <c r="P53" s="741" t="s">
        <v>783</v>
      </c>
      <c r="Q53" s="738">
        <f t="shared" si="9"/>
        <v>338.93791456328239</v>
      </c>
      <c r="R53" s="742">
        <f t="shared" si="5"/>
        <v>339.88730394170489</v>
      </c>
      <c r="S53" s="742">
        <f t="shared" si="10"/>
        <v>28</v>
      </c>
      <c r="T53" s="743">
        <f t="shared" si="6"/>
        <v>-7.9304478192572025E-2</v>
      </c>
      <c r="U53" s="744">
        <f t="shared" si="7"/>
        <v>0</v>
      </c>
      <c r="V53" s="745">
        <v>0</v>
      </c>
      <c r="W53" s="746">
        <f t="shared" si="8"/>
        <v>312.93271865832787</v>
      </c>
      <c r="X53" s="747">
        <f t="shared" si="11"/>
        <v>28</v>
      </c>
    </row>
    <row r="54" spans="2:24" x14ac:dyDescent="0.25">
      <c r="B54" s="340" t="s">
        <v>195</v>
      </c>
      <c r="C54" s="351" t="s">
        <v>345</v>
      </c>
      <c r="D54" s="508">
        <f t="shared" si="0"/>
        <v>327</v>
      </c>
      <c r="E54" s="504">
        <f t="shared" si="1"/>
        <v>22</v>
      </c>
      <c r="F54" s="509">
        <f t="shared" si="2"/>
        <v>429.10790934461659</v>
      </c>
      <c r="G54" s="510">
        <f t="shared" si="3"/>
        <v>22</v>
      </c>
      <c r="H54" s="735"/>
      <c r="I54" s="736">
        <f t="shared" si="4"/>
        <v>1371</v>
      </c>
      <c r="J54" s="737" t="str">
        <f>VLOOKUP($B54,'Manual adjustment requests'!$A$3:$G$78,7,FALSE)</f>
        <v>Should be 30% higher than RA65Z</v>
      </c>
      <c r="K54" s="738">
        <f>$F$53*(1+0.3)</f>
        <v>440.61928893226712</v>
      </c>
      <c r="L54" s="739"/>
      <c r="M54" s="735"/>
      <c r="N54" s="736">
        <f>IF(VLOOKUP($B54,'DI Activity Mapping_Calc'!$T$4:$AH$53,15,FALSE)="Yes",VLOOKUP($B54,'DI Activity Mapping_Calc'!$T$4:$Y$53,6,FALSE),$I54)</f>
        <v>1371</v>
      </c>
      <c r="O54" s="740" t="s">
        <v>783</v>
      </c>
      <c r="P54" s="741" t="s">
        <v>472</v>
      </c>
      <c r="Q54" s="738">
        <f t="shared" si="9"/>
        <v>440.61928893226712</v>
      </c>
      <c r="R54" s="742">
        <f t="shared" si="5"/>
        <v>441.85349512421635</v>
      </c>
      <c r="S54" s="742">
        <f t="shared" si="10"/>
        <v>22</v>
      </c>
      <c r="T54" s="743">
        <f t="shared" si="6"/>
        <v>-7.9304478192572025E-2</v>
      </c>
      <c r="U54" s="744">
        <f t="shared" si="7"/>
        <v>0</v>
      </c>
      <c r="V54" s="745">
        <v>0</v>
      </c>
      <c r="W54" s="746">
        <f t="shared" si="8"/>
        <v>406.81253425582622</v>
      </c>
      <c r="X54" s="747">
        <f t="shared" si="11"/>
        <v>22</v>
      </c>
    </row>
    <row r="55" spans="2:24" x14ac:dyDescent="0.25">
      <c r="B55" s="340" t="s">
        <v>196</v>
      </c>
      <c r="C55" s="351" t="s">
        <v>346</v>
      </c>
      <c r="D55" s="508">
        <f t="shared" si="0"/>
        <v>513</v>
      </c>
      <c r="E55" s="504">
        <f t="shared" si="1"/>
        <v>22</v>
      </c>
      <c r="F55" s="509">
        <f t="shared" si="2"/>
        <v>470.79278182968488</v>
      </c>
      <c r="G55" s="510">
        <f t="shared" si="3"/>
        <v>22</v>
      </c>
      <c r="H55" s="735"/>
      <c r="I55" s="736">
        <f t="shared" si="4"/>
        <v>2020</v>
      </c>
      <c r="J55" s="737" t="str">
        <f>VLOOKUP($B55,'Manual adjustment requests'!$A$3:$G$78,7,FALSE)</f>
        <v>Should be 10% higher than RA66Z</v>
      </c>
      <c r="K55" s="738">
        <f>$F$54*(1+0.1)</f>
        <v>472.0187002790783</v>
      </c>
      <c r="L55" s="739"/>
      <c r="M55" s="735"/>
      <c r="N55" s="736">
        <f>IF(VLOOKUP($B55,'DI Activity Mapping_Calc'!$T$4:$AH$53,15,FALSE)="Yes",VLOOKUP($B55,'DI Activity Mapping_Calc'!$T$4:$Y$53,6,FALSE),$I55)</f>
        <v>2020</v>
      </c>
      <c r="O55" s="740" t="s">
        <v>783</v>
      </c>
      <c r="P55" s="741" t="s">
        <v>472</v>
      </c>
      <c r="Q55" s="738">
        <f t="shared" si="9"/>
        <v>472.0187002790783</v>
      </c>
      <c r="R55" s="742">
        <f t="shared" si="5"/>
        <v>473.34085847149873</v>
      </c>
      <c r="S55" s="742">
        <f t="shared" si="10"/>
        <v>22</v>
      </c>
      <c r="T55" s="743">
        <f t="shared" si="6"/>
        <v>-7.9304478192572025E-2</v>
      </c>
      <c r="U55" s="744">
        <f t="shared" si="7"/>
        <v>0</v>
      </c>
      <c r="V55" s="745">
        <v>0</v>
      </c>
      <c r="W55" s="746">
        <f t="shared" si="8"/>
        <v>435.80280868319244</v>
      </c>
      <c r="X55" s="747">
        <f t="shared" si="11"/>
        <v>22</v>
      </c>
    </row>
    <row r="56" spans="2:24" s="167" customFormat="1" ht="22.5" x14ac:dyDescent="0.25">
      <c r="B56" s="443" t="s">
        <v>378</v>
      </c>
      <c r="C56" s="351" t="s">
        <v>387</v>
      </c>
      <c r="D56" s="508" t="str">
        <f t="shared" si="0"/>
        <v>Not found in 2015/16 s118</v>
      </c>
      <c r="E56" s="504" t="str">
        <f t="shared" si="1"/>
        <v>Not found in 2015/16 s118</v>
      </c>
      <c r="F56" s="509">
        <f t="shared" si="2"/>
        <v>220.35604079900068</v>
      </c>
      <c r="G56" s="510" t="e">
        <f t="shared" si="3"/>
        <v>#N/A</v>
      </c>
      <c r="H56" s="748"/>
      <c r="I56" s="736">
        <f t="shared" si="4"/>
        <v>16601</v>
      </c>
      <c r="J56" s="749" t="s">
        <v>780</v>
      </c>
      <c r="K56" s="738">
        <f>+$F56*(1+'DI Activity Mapping_Calc'!$AF$52)</f>
        <v>0</v>
      </c>
      <c r="L56" s="750"/>
      <c r="M56" s="748"/>
      <c r="N56" s="736">
        <f>IF(VLOOKUP($B56,'DI Activity Mapping_Calc'!$T$4:$AH$53,15,FALSE)="Yes",VLOOKUP($B56,'DI Activity Mapping_Calc'!$T$4:$Y$53,6,FALSE),$I56)</f>
        <v>0</v>
      </c>
      <c r="O56" s="751" t="s">
        <v>783</v>
      </c>
      <c r="P56" s="752" t="s">
        <v>472</v>
      </c>
      <c r="Q56" s="738">
        <f t="shared" si="9"/>
        <v>0</v>
      </c>
      <c r="R56" s="742">
        <f t="shared" si="5"/>
        <v>0</v>
      </c>
      <c r="S56" s="742" t="e">
        <f t="shared" si="10"/>
        <v>#N/A</v>
      </c>
      <c r="T56" s="753">
        <v>0</v>
      </c>
      <c r="U56" s="744">
        <f t="shared" si="7"/>
        <v>0</v>
      </c>
      <c r="V56" s="745">
        <v>0</v>
      </c>
      <c r="W56" s="746">
        <f t="shared" si="8"/>
        <v>0</v>
      </c>
      <c r="X56" s="747" t="e">
        <f t="shared" si="11"/>
        <v>#N/A</v>
      </c>
    </row>
    <row r="57" spans="2:24" ht="23.25" thickBot="1" x14ac:dyDescent="0.3">
      <c r="B57" s="445" t="s">
        <v>442</v>
      </c>
      <c r="C57" s="446" t="s">
        <v>443</v>
      </c>
      <c r="D57" s="511" t="str">
        <f t="shared" si="0"/>
        <v>Not found in 2015/16 s118</v>
      </c>
      <c r="E57" s="503" t="str">
        <f t="shared" si="1"/>
        <v>Not found in 2015/16 s118</v>
      </c>
      <c r="F57" s="512">
        <f t="shared" si="2"/>
        <v>0</v>
      </c>
      <c r="G57" s="513">
        <f t="shared" si="3"/>
        <v>20</v>
      </c>
      <c r="H57" s="754"/>
      <c r="I57" s="755">
        <f t="shared" si="4"/>
        <v>0</v>
      </c>
      <c r="J57" s="756" t="s">
        <v>781</v>
      </c>
      <c r="K57" s="757">
        <f>+$F56</f>
        <v>220.35604079900068</v>
      </c>
      <c r="L57" s="758"/>
      <c r="M57" s="754"/>
      <c r="N57" s="755">
        <f>VLOOKUP($B57,'DI Activity Mapping_Calc'!$T$4:$Y$53,6,FALSE)-SUMIF('DI Activity Mapping_Calc'!$AH$4:$AH$51,"No",'DI Activity Mapping_Calc'!$Z$4:$Z$51)</f>
        <v>64795.331008080902</v>
      </c>
      <c r="O57" s="759" t="s">
        <v>783</v>
      </c>
      <c r="P57" s="760" t="s">
        <v>472</v>
      </c>
      <c r="Q57" s="757">
        <f t="shared" si="9"/>
        <v>220.35604079900068</v>
      </c>
      <c r="R57" s="761">
        <f t="shared" si="5"/>
        <v>220.97327385442725</v>
      </c>
      <c r="S57" s="761">
        <f t="shared" si="10"/>
        <v>20</v>
      </c>
      <c r="T57" s="762">
        <f>Scaling_DI</f>
        <v>-7.9304478192572025E-2</v>
      </c>
      <c r="U57" s="763">
        <f t="shared" si="7"/>
        <v>0</v>
      </c>
      <c r="V57" s="764">
        <v>0</v>
      </c>
      <c r="W57" s="765">
        <f t="shared" si="8"/>
        <v>203.44910367689758</v>
      </c>
      <c r="X57" s="766">
        <f t="shared" si="11"/>
        <v>20</v>
      </c>
    </row>
    <row r="58" spans="2:24" ht="36.75" customHeight="1" thickBot="1" x14ac:dyDescent="0.3">
      <c r="B58" s="368"/>
      <c r="C58" s="59"/>
      <c r="D58" s="59"/>
      <c r="E58" s="767" t="s">
        <v>957</v>
      </c>
      <c r="F58" s="519">
        <f>SUMPRODUCT(F$15:F$57,$I$15:$I$57)</f>
        <v>788932236.36727965</v>
      </c>
      <c r="G58" s="767" t="s">
        <v>251</v>
      </c>
      <c r="H58" s="768"/>
      <c r="I58" s="769">
        <f>SUM(I15:I57)</f>
        <v>9516638</v>
      </c>
      <c r="J58" s="768"/>
      <c r="K58" s="525"/>
      <c r="L58" s="767" t="s">
        <v>251</v>
      </c>
      <c r="M58" s="768"/>
      <c r="N58" s="769">
        <f>SUM(N15:N57)</f>
        <v>9516638</v>
      </c>
      <c r="O58" s="932" t="s">
        <v>958</v>
      </c>
      <c r="P58" s="932"/>
      <c r="Q58" s="519">
        <f>SUMPRODUCT(Q$15:Q$57,$N$15:$N$57)</f>
        <v>786728553.33229733</v>
      </c>
      <c r="R58" s="519">
        <f>SUMPRODUCT(R$15:R$57,$N$15:$N$57)</f>
        <v>788932236.36727953</v>
      </c>
      <c r="S58" s="333"/>
      <c r="T58" s="333"/>
      <c r="U58" s="768"/>
      <c r="V58" s="768"/>
      <c r="W58" s="768"/>
      <c r="X58" s="768"/>
    </row>
    <row r="59" spans="2:24" ht="15.75" thickBot="1" x14ac:dyDescent="0.3">
      <c r="B59" s="768"/>
      <c r="C59" s="768"/>
      <c r="D59" s="335"/>
      <c r="E59" s="108"/>
      <c r="F59" s="7"/>
      <c r="G59" s="59"/>
      <c r="H59" s="768"/>
      <c r="I59" s="768"/>
      <c r="J59" s="768"/>
      <c r="K59" s="768"/>
      <c r="L59" s="768"/>
      <c r="M59" s="768"/>
      <c r="N59" s="768"/>
      <c r="O59" s="770" t="s">
        <v>473</v>
      </c>
      <c r="P59" s="771"/>
      <c r="Q59" s="772">
        <f>+F58/Q58</f>
        <v>1.002801071634744</v>
      </c>
      <c r="R59" s="773">
        <f>+F58/R58-1</f>
        <v>0</v>
      </c>
      <c r="S59" s="773"/>
      <c r="T59" s="773"/>
      <c r="U59" s="768"/>
      <c r="V59" s="768"/>
      <c r="W59" s="768"/>
      <c r="X59" s="768"/>
    </row>
    <row r="60" spans="2:24" s="167" customFormat="1" ht="15.75" thickBot="1" x14ac:dyDescent="0.3">
      <c r="B60" s="768"/>
      <c r="C60" s="768"/>
      <c r="D60" s="335"/>
      <c r="E60" s="108"/>
      <c r="F60" s="7"/>
      <c r="G60" s="520"/>
      <c r="H60" s="768"/>
      <c r="I60" s="768"/>
      <c r="J60" s="768"/>
      <c r="K60" s="768"/>
      <c r="L60" s="768"/>
      <c r="M60" s="768"/>
      <c r="N60" s="768"/>
      <c r="O60" s="771"/>
      <c r="P60" s="771"/>
      <c r="Q60" s="774"/>
      <c r="R60" s="775"/>
      <c r="S60" s="775"/>
      <c r="T60" s="775"/>
      <c r="U60" s="768"/>
      <c r="V60" s="768"/>
      <c r="W60" s="768"/>
      <c r="X60" s="768"/>
    </row>
    <row r="61" spans="2:24" s="167" customFormat="1" x14ac:dyDescent="0.25">
      <c r="B61" s="355"/>
      <c r="C61" s="356"/>
      <c r="D61" s="356"/>
      <c r="E61" s="357"/>
      <c r="F61" s="358"/>
      <c r="G61" s="371"/>
      <c r="H61" s="776"/>
      <c r="I61" s="776"/>
      <c r="J61" s="776"/>
      <c r="K61" s="776"/>
      <c r="L61" s="776"/>
      <c r="M61" s="776"/>
      <c r="N61" s="776"/>
      <c r="O61" s="776"/>
      <c r="P61" s="776"/>
      <c r="Q61" s="777"/>
      <c r="R61" s="777"/>
      <c r="S61" s="777"/>
      <c r="T61" s="777"/>
      <c r="U61" s="776"/>
      <c r="V61" s="776"/>
      <c r="W61" s="778"/>
      <c r="X61" s="768"/>
    </row>
    <row r="62" spans="2:24" s="167" customFormat="1" ht="16.5" thickBot="1" x14ac:dyDescent="0.3">
      <c r="B62" s="373">
        <v>2</v>
      </c>
      <c r="C62" s="779" t="s">
        <v>143</v>
      </c>
      <c r="D62" s="359"/>
      <c r="E62" s="360"/>
      <c r="F62" s="780"/>
      <c r="G62" s="781"/>
      <c r="H62" s="780"/>
      <c r="I62" s="780"/>
      <c r="J62" s="780"/>
      <c r="K62" s="780"/>
      <c r="L62" s="780"/>
      <c r="M62" s="780"/>
      <c r="N62" s="780"/>
      <c r="O62" s="780"/>
      <c r="P62" s="780"/>
      <c r="Q62" s="782"/>
      <c r="R62" s="782"/>
      <c r="S62" s="782"/>
      <c r="T62" s="782"/>
      <c r="U62" s="780"/>
      <c r="V62" s="780"/>
      <c r="W62" s="783"/>
      <c r="X62" s="768"/>
    </row>
    <row r="63" spans="2:24" ht="15.75" thickBot="1" x14ac:dyDescent="0.3">
      <c r="B63" s="362"/>
      <c r="C63" s="363"/>
      <c r="D63" s="363"/>
      <c r="E63" s="363"/>
      <c r="F63" s="364"/>
      <c r="G63" s="363"/>
      <c r="H63" s="784"/>
      <c r="I63" s="784"/>
      <c r="J63" s="931" t="s">
        <v>475</v>
      </c>
      <c r="K63" s="926"/>
      <c r="L63" s="926"/>
      <c r="M63" s="926"/>
      <c r="N63" s="927"/>
      <c r="O63" s="926" t="s">
        <v>476</v>
      </c>
      <c r="P63" s="926"/>
      <c r="Q63" s="926"/>
      <c r="R63" s="926"/>
      <c r="S63" s="926"/>
      <c r="T63" s="926"/>
      <c r="U63" s="926"/>
      <c r="V63" s="926"/>
      <c r="W63" s="926"/>
      <c r="X63" s="525"/>
    </row>
    <row r="64" spans="2:24" ht="45.75" thickBot="1" x14ac:dyDescent="0.3">
      <c r="B64" s="393" t="s">
        <v>93</v>
      </c>
      <c r="C64" s="394" t="s">
        <v>94</v>
      </c>
      <c r="D64" s="353" t="s">
        <v>971</v>
      </c>
      <c r="E64" s="338"/>
      <c r="F64" s="338" t="s">
        <v>941</v>
      </c>
      <c r="G64" s="354"/>
      <c r="H64" s="461"/>
      <c r="I64" s="450" t="s">
        <v>469</v>
      </c>
      <c r="J64" s="348" t="s">
        <v>470</v>
      </c>
      <c r="K64" s="338"/>
      <c r="L64" s="354" t="s">
        <v>942</v>
      </c>
      <c r="M64" s="461"/>
      <c r="N64" s="349"/>
      <c r="O64" s="348" t="s">
        <v>471</v>
      </c>
      <c r="P64" s="463"/>
      <c r="Q64" s="342" t="s">
        <v>943</v>
      </c>
      <c r="R64" s="342" t="s">
        <v>944</v>
      </c>
      <c r="S64" s="342"/>
      <c r="T64" s="338" t="s">
        <v>901</v>
      </c>
      <c r="U64" s="338" t="s">
        <v>462</v>
      </c>
      <c r="V64" s="338" t="s">
        <v>460</v>
      </c>
      <c r="W64" s="462" t="s">
        <v>945</v>
      </c>
      <c r="X64" s="525"/>
    </row>
    <row r="65" spans="2:24" x14ac:dyDescent="0.25">
      <c r="B65" s="339" t="s">
        <v>32</v>
      </c>
      <c r="C65" s="350" t="s">
        <v>146</v>
      </c>
      <c r="D65" s="505">
        <f t="shared" ref="D65:D70" si="12">IFERROR(VLOOKUP(B65,Unbundled_2015_16_Tariff,3,FALSE),"Not found in 2015/16 s118")</f>
        <v>119</v>
      </c>
      <c r="E65" s="785"/>
      <c r="F65" s="725">
        <f>VLOOKUP($B65,Chem_Tariff_Calc,19,FALSE)</f>
        <v>119.94545998128525</v>
      </c>
      <c r="G65" s="786"/>
      <c r="H65" s="787"/>
      <c r="I65" s="788">
        <f t="shared" ref="I65:I70" si="13">VLOOKUP($B65,Chem_Tariff_Calc,3,FALSE)</f>
        <v>124004</v>
      </c>
      <c r="J65" s="789"/>
      <c r="K65" s="787"/>
      <c r="L65" s="790"/>
      <c r="M65" s="787"/>
      <c r="N65" s="723"/>
      <c r="O65" s="728" t="s">
        <v>472</v>
      </c>
      <c r="P65" s="728"/>
      <c r="Q65" s="725">
        <f t="shared" ref="Q65:Q70" si="14">IF(O65="Modelled",F65,IF(O65="Adjusted",L65,"Error"))</f>
        <v>119.94545998128525</v>
      </c>
      <c r="R65" s="729">
        <f>+Q65*$Q$72</f>
        <v>119.94545998128525</v>
      </c>
      <c r="S65" s="791"/>
      <c r="T65" s="730">
        <f t="shared" ref="T65:T70" si="15">Scaling_Chemo</f>
        <v>-7.9304478192572025E-2</v>
      </c>
      <c r="U65" s="731">
        <f t="shared" ref="U65:U70" si="16">Inflation_Efficiency_2016_17</f>
        <v>0</v>
      </c>
      <c r="V65" s="732">
        <v>0</v>
      </c>
      <c r="W65" s="792">
        <f t="shared" ref="W65:W70" si="17">R65*(1+T65)*(1+U65)*(1+V65)</f>
        <v>110.43324786590139</v>
      </c>
      <c r="X65" s="525"/>
    </row>
    <row r="66" spans="2:24" x14ac:dyDescent="0.25">
      <c r="B66" s="340" t="s">
        <v>33</v>
      </c>
      <c r="C66" s="351" t="s">
        <v>347</v>
      </c>
      <c r="D66" s="508">
        <f t="shared" si="12"/>
        <v>149</v>
      </c>
      <c r="E66" s="793"/>
      <c r="F66" s="738">
        <f>VLOOKUP(B66,Chem_Tariff_Calc,19,FALSE)</f>
        <v>149.93182497660658</v>
      </c>
      <c r="G66" s="794"/>
      <c r="H66" s="795"/>
      <c r="I66" s="796">
        <f t="shared" si="13"/>
        <v>283812</v>
      </c>
      <c r="J66" s="797"/>
      <c r="K66" s="795"/>
      <c r="L66" s="798"/>
      <c r="M66" s="795"/>
      <c r="N66" s="736"/>
      <c r="O66" s="741" t="s">
        <v>472</v>
      </c>
      <c r="P66" s="741"/>
      <c r="Q66" s="738">
        <f t="shared" si="14"/>
        <v>149.93182497660658</v>
      </c>
      <c r="R66" s="742">
        <f t="shared" ref="R66:R70" si="18">+Q66*$Q$72</f>
        <v>149.93182497660658</v>
      </c>
      <c r="S66" s="799"/>
      <c r="T66" s="743">
        <f t="shared" si="15"/>
        <v>-7.9304478192572025E-2</v>
      </c>
      <c r="U66" s="744">
        <f t="shared" si="16"/>
        <v>0</v>
      </c>
      <c r="V66" s="745">
        <v>0</v>
      </c>
      <c r="W66" s="800">
        <f t="shared" si="17"/>
        <v>138.04155983237675</v>
      </c>
      <c r="X66" s="525"/>
    </row>
    <row r="67" spans="2:24" x14ac:dyDescent="0.25">
      <c r="B67" s="340" t="s">
        <v>34</v>
      </c>
      <c r="C67" s="351" t="s">
        <v>348</v>
      </c>
      <c r="D67" s="508">
        <f t="shared" si="12"/>
        <v>297</v>
      </c>
      <c r="E67" s="793"/>
      <c r="F67" s="738">
        <f>VLOOKUP(B67,Chem_Tariff_Calc,19,FALSE)</f>
        <v>299.86364995321316</v>
      </c>
      <c r="G67" s="794"/>
      <c r="H67" s="795"/>
      <c r="I67" s="796">
        <f t="shared" si="13"/>
        <v>160409</v>
      </c>
      <c r="J67" s="797"/>
      <c r="K67" s="795"/>
      <c r="L67" s="798"/>
      <c r="M67" s="795"/>
      <c r="N67" s="736"/>
      <c r="O67" s="741" t="s">
        <v>472</v>
      </c>
      <c r="P67" s="741"/>
      <c r="Q67" s="738">
        <f t="shared" si="14"/>
        <v>299.86364995321316</v>
      </c>
      <c r="R67" s="742">
        <f t="shared" si="18"/>
        <v>299.86364995321316</v>
      </c>
      <c r="S67" s="799"/>
      <c r="T67" s="743">
        <f t="shared" si="15"/>
        <v>-7.9304478192572025E-2</v>
      </c>
      <c r="U67" s="744">
        <f t="shared" si="16"/>
        <v>0</v>
      </c>
      <c r="V67" s="745">
        <v>0</v>
      </c>
      <c r="W67" s="800">
        <f t="shared" si="17"/>
        <v>276.0831196647535</v>
      </c>
      <c r="X67" s="525"/>
    </row>
    <row r="68" spans="2:24" x14ac:dyDescent="0.25">
      <c r="B68" s="340" t="s">
        <v>35</v>
      </c>
      <c r="C68" s="351" t="s">
        <v>349</v>
      </c>
      <c r="D68" s="508">
        <f t="shared" si="12"/>
        <v>446</v>
      </c>
      <c r="E68" s="793"/>
      <c r="F68" s="738">
        <f>VLOOKUP(B68,Chem_Tariff_Calc,19,FALSE)</f>
        <v>449.79547492981965</v>
      </c>
      <c r="G68" s="794"/>
      <c r="H68" s="795"/>
      <c r="I68" s="796">
        <f t="shared" si="13"/>
        <v>193281</v>
      </c>
      <c r="J68" s="797"/>
      <c r="K68" s="795"/>
      <c r="L68" s="798"/>
      <c r="M68" s="795"/>
      <c r="N68" s="736"/>
      <c r="O68" s="741" t="s">
        <v>472</v>
      </c>
      <c r="P68" s="741"/>
      <c r="Q68" s="738">
        <f t="shared" si="14"/>
        <v>449.79547492981965</v>
      </c>
      <c r="R68" s="742">
        <f t="shared" si="18"/>
        <v>449.79547492981965</v>
      </c>
      <c r="S68" s="799"/>
      <c r="T68" s="743">
        <f t="shared" si="15"/>
        <v>-7.9304478192572025E-2</v>
      </c>
      <c r="U68" s="744">
        <f t="shared" si="16"/>
        <v>0</v>
      </c>
      <c r="V68" s="745">
        <v>0</v>
      </c>
      <c r="W68" s="800">
        <f t="shared" si="17"/>
        <v>414.12467949713016</v>
      </c>
      <c r="X68" s="525"/>
    </row>
    <row r="69" spans="2:24" x14ac:dyDescent="0.25">
      <c r="B69" s="443" t="s">
        <v>36</v>
      </c>
      <c r="C69" s="351" t="s">
        <v>147</v>
      </c>
      <c r="D69" s="508">
        <f t="shared" si="12"/>
        <v>297</v>
      </c>
      <c r="E69" s="793"/>
      <c r="F69" s="738">
        <f>VLOOKUP(B69,Chem_Tariff_Calc,19,FALSE)</f>
        <v>299.86364995321316</v>
      </c>
      <c r="G69" s="794"/>
      <c r="H69" s="795"/>
      <c r="I69" s="796">
        <f t="shared" si="13"/>
        <v>210886</v>
      </c>
      <c r="J69" s="797"/>
      <c r="K69" s="795"/>
      <c r="L69" s="798"/>
      <c r="M69" s="795"/>
      <c r="N69" s="736"/>
      <c r="O69" s="741" t="s">
        <v>472</v>
      </c>
      <c r="P69" s="741"/>
      <c r="Q69" s="738">
        <f t="shared" si="14"/>
        <v>299.86364995321316</v>
      </c>
      <c r="R69" s="742">
        <f t="shared" si="18"/>
        <v>299.86364995321316</v>
      </c>
      <c r="S69" s="799"/>
      <c r="T69" s="743">
        <f t="shared" si="15"/>
        <v>-7.9304478192572025E-2</v>
      </c>
      <c r="U69" s="744">
        <f t="shared" si="16"/>
        <v>0</v>
      </c>
      <c r="V69" s="745">
        <v>0</v>
      </c>
      <c r="W69" s="800">
        <f t="shared" si="17"/>
        <v>276.0831196647535</v>
      </c>
      <c r="X69" s="525"/>
    </row>
    <row r="70" spans="2:24" ht="15.75" thickBot="1" x14ac:dyDescent="0.3">
      <c r="B70" s="445" t="s">
        <v>38</v>
      </c>
      <c r="C70" s="446" t="s">
        <v>148</v>
      </c>
      <c r="D70" s="511">
        <f t="shared" si="12"/>
        <v>0</v>
      </c>
      <c r="E70" s="801"/>
      <c r="F70" s="802">
        <f>VLOOKUP(B70,Chem_Tariff_Calc,19,FALSE)</f>
        <v>0</v>
      </c>
      <c r="G70" s="803"/>
      <c r="H70" s="804"/>
      <c r="I70" s="805">
        <f t="shared" si="13"/>
        <v>56185</v>
      </c>
      <c r="J70" s="806"/>
      <c r="K70" s="804"/>
      <c r="L70" s="807"/>
      <c r="M70" s="804"/>
      <c r="N70" s="755"/>
      <c r="O70" s="808" t="s">
        <v>472</v>
      </c>
      <c r="P70" s="808"/>
      <c r="Q70" s="802">
        <f t="shared" si="14"/>
        <v>0</v>
      </c>
      <c r="R70" s="809">
        <f t="shared" si="18"/>
        <v>0</v>
      </c>
      <c r="S70" s="810"/>
      <c r="T70" s="811">
        <f t="shared" si="15"/>
        <v>-7.9304478192572025E-2</v>
      </c>
      <c r="U70" s="812">
        <f t="shared" si="16"/>
        <v>0</v>
      </c>
      <c r="V70" s="813">
        <v>0</v>
      </c>
      <c r="W70" s="814">
        <f t="shared" si="17"/>
        <v>0</v>
      </c>
      <c r="X70" s="525"/>
    </row>
    <row r="71" spans="2:24" ht="15.75" thickBot="1" x14ac:dyDescent="0.3">
      <c r="B71" s="367"/>
      <c r="C71" s="368"/>
      <c r="D71" s="525"/>
      <c r="E71" s="767" t="s">
        <v>957</v>
      </c>
      <c r="F71" s="519">
        <f>SUMPRODUCT(F$65:F$70,$I$65:$I$70)</f>
        <v>255700961.02906871</v>
      </c>
      <c r="G71" s="368"/>
      <c r="H71" s="815"/>
      <c r="I71" s="815"/>
      <c r="J71" s="815"/>
      <c r="K71" s="815"/>
      <c r="L71" s="815"/>
      <c r="M71" s="815"/>
      <c r="N71" s="816"/>
      <c r="O71" s="525"/>
      <c r="P71" s="767" t="s">
        <v>958</v>
      </c>
      <c r="Q71" s="519">
        <f>SUMPRODUCT(Q$65:Q$70,$I$65:$I$70)</f>
        <v>255700961.02906871</v>
      </c>
      <c r="R71" s="519">
        <f>SUMPRODUCT(R$65:R$70,$I$65:$I$70)</f>
        <v>255700961.02906871</v>
      </c>
      <c r="S71" s="369"/>
      <c r="T71" s="815"/>
      <c r="U71" s="815"/>
      <c r="V71" s="815"/>
      <c r="W71" s="815"/>
      <c r="X71" s="768"/>
    </row>
    <row r="72" spans="2:24" ht="15.75" thickBot="1" x14ac:dyDescent="0.3">
      <c r="B72" s="122"/>
      <c r="C72" s="59"/>
      <c r="D72" s="59"/>
      <c r="E72" s="59"/>
      <c r="F72" s="122"/>
      <c r="G72" s="59"/>
      <c r="H72" s="816"/>
      <c r="I72" s="816"/>
      <c r="J72" s="816"/>
      <c r="K72" s="816"/>
      <c r="L72" s="816"/>
      <c r="M72" s="816"/>
      <c r="N72" s="816"/>
      <c r="O72" s="817" t="s">
        <v>473</v>
      </c>
      <c r="P72" s="818"/>
      <c r="Q72" s="819">
        <f>+F71/Q71</f>
        <v>1</v>
      </c>
      <c r="R72" s="820">
        <f>+F71/R71-1</f>
        <v>0</v>
      </c>
      <c r="S72" s="820"/>
      <c r="T72" s="816"/>
      <c r="U72" s="816"/>
      <c r="V72" s="816"/>
      <c r="W72" s="816"/>
      <c r="X72" s="768"/>
    </row>
    <row r="73" spans="2:24" s="167" customFormat="1" ht="15.75" thickBot="1" x14ac:dyDescent="0.3">
      <c r="B73" s="122"/>
      <c r="C73" s="59"/>
      <c r="D73" s="59"/>
      <c r="E73" s="59"/>
      <c r="F73" s="122"/>
      <c r="G73" s="59"/>
      <c r="H73" s="816"/>
      <c r="I73" s="816"/>
      <c r="J73" s="816"/>
      <c r="K73" s="816"/>
      <c r="L73" s="816"/>
      <c r="M73" s="816"/>
      <c r="N73" s="816"/>
      <c r="O73" s="821"/>
      <c r="P73" s="821"/>
      <c r="Q73" s="822"/>
      <c r="R73" s="820"/>
      <c r="S73" s="820"/>
      <c r="T73" s="820"/>
      <c r="U73" s="816"/>
      <c r="V73" s="816"/>
      <c r="W73" s="816"/>
      <c r="X73" s="768"/>
    </row>
    <row r="74" spans="2:24" s="167" customFormat="1" x14ac:dyDescent="0.25">
      <c r="B74" s="370"/>
      <c r="C74" s="371"/>
      <c r="D74" s="371"/>
      <c r="E74" s="371"/>
      <c r="F74" s="372"/>
      <c r="G74" s="371"/>
      <c r="H74" s="776"/>
      <c r="I74" s="776"/>
      <c r="J74" s="776"/>
      <c r="K74" s="776"/>
      <c r="L74" s="776"/>
      <c r="M74" s="776"/>
      <c r="N74" s="776"/>
      <c r="O74" s="823"/>
      <c r="P74" s="823"/>
      <c r="Q74" s="824"/>
      <c r="R74" s="825"/>
      <c r="S74" s="825"/>
      <c r="T74" s="825"/>
      <c r="U74" s="776"/>
      <c r="V74" s="776"/>
      <c r="W74" s="778"/>
      <c r="X74" s="768"/>
    </row>
    <row r="75" spans="2:24" ht="16.5" thickBot="1" x14ac:dyDescent="0.3">
      <c r="B75" s="373">
        <v>3</v>
      </c>
      <c r="C75" s="779" t="s">
        <v>149</v>
      </c>
      <c r="D75" s="359"/>
      <c r="E75" s="359"/>
      <c r="F75" s="359"/>
      <c r="G75" s="781"/>
      <c r="H75" s="780"/>
      <c r="I75" s="780"/>
      <c r="J75" s="780"/>
      <c r="K75" s="780"/>
      <c r="L75" s="359"/>
      <c r="M75" s="780"/>
      <c r="N75" s="780"/>
      <c r="O75" s="780"/>
      <c r="P75" s="780"/>
      <c r="Q75" s="359"/>
      <c r="R75" s="359"/>
      <c r="S75" s="780"/>
      <c r="T75" s="780"/>
      <c r="U75" s="780"/>
      <c r="V75" s="780"/>
      <c r="W75" s="783"/>
      <c r="X75" s="768"/>
    </row>
    <row r="76" spans="2:24" ht="15.75" thickBot="1" x14ac:dyDescent="0.3">
      <c r="B76" s="362"/>
      <c r="C76" s="363"/>
      <c r="D76" s="363"/>
      <c r="E76" s="363"/>
      <c r="F76" s="364"/>
      <c r="G76" s="363"/>
      <c r="H76" s="784"/>
      <c r="I76" s="784"/>
      <c r="J76" s="931" t="s">
        <v>475</v>
      </c>
      <c r="K76" s="926"/>
      <c r="L76" s="926"/>
      <c r="M76" s="926"/>
      <c r="N76" s="927"/>
      <c r="O76" s="931" t="s">
        <v>476</v>
      </c>
      <c r="P76" s="926"/>
      <c r="Q76" s="926"/>
      <c r="R76" s="926"/>
      <c r="S76" s="926"/>
      <c r="T76" s="926"/>
      <c r="U76" s="926"/>
      <c r="V76" s="926"/>
      <c r="W76" s="927"/>
      <c r="X76" s="768"/>
    </row>
    <row r="77" spans="2:24" ht="45.75" thickBot="1" x14ac:dyDescent="0.3">
      <c r="B77" s="393" t="s">
        <v>93</v>
      </c>
      <c r="C77" s="394" t="s">
        <v>94</v>
      </c>
      <c r="D77" s="353" t="s">
        <v>971</v>
      </c>
      <c r="E77" s="338"/>
      <c r="F77" s="338" t="s">
        <v>941</v>
      </c>
      <c r="G77" s="354"/>
      <c r="H77" s="461"/>
      <c r="I77" s="450" t="s">
        <v>469</v>
      </c>
      <c r="J77" s="348" t="s">
        <v>470</v>
      </c>
      <c r="K77" s="338"/>
      <c r="L77" s="354" t="s">
        <v>942</v>
      </c>
      <c r="M77" s="461"/>
      <c r="N77" s="349"/>
      <c r="O77" s="348" t="s">
        <v>471</v>
      </c>
      <c r="P77" s="463"/>
      <c r="Q77" s="342" t="s">
        <v>943</v>
      </c>
      <c r="R77" s="342" t="s">
        <v>944</v>
      </c>
      <c r="S77" s="342"/>
      <c r="T77" s="338" t="s">
        <v>901</v>
      </c>
      <c r="U77" s="338" t="s">
        <v>462</v>
      </c>
      <c r="V77" s="338" t="s">
        <v>460</v>
      </c>
      <c r="W77" s="462" t="s">
        <v>945</v>
      </c>
      <c r="X77" s="525"/>
    </row>
    <row r="78" spans="2:24" x14ac:dyDescent="0.25">
      <c r="B78" s="339" t="s">
        <v>0</v>
      </c>
      <c r="C78" s="350" t="s">
        <v>150</v>
      </c>
      <c r="D78" s="505">
        <f t="shared" ref="D78:D98" si="19">IFERROR(VLOOKUP(B78,Unbundled_2015_16_Tariff,3,FALSE),"Not found in 2015/16 s118")</f>
        <v>71</v>
      </c>
      <c r="E78" s="826"/>
      <c r="F78" s="499">
        <f t="shared" ref="F78:F98" si="20">VLOOKUP(B78,Rad_Tariff_Calc,22,FALSE)</f>
        <v>104.13343488192022</v>
      </c>
      <c r="G78" s="827"/>
      <c r="H78" s="787"/>
      <c r="I78" s="788">
        <f t="shared" ref="I78:I98" si="21">VLOOKUP(B78,Rad_Tariff_Calc,3,FALSE)</f>
        <v>27538</v>
      </c>
      <c r="J78" s="789"/>
      <c r="K78" s="828"/>
      <c r="L78" s="790"/>
      <c r="M78" s="787"/>
      <c r="N78" s="723"/>
      <c r="O78" s="829" t="s">
        <v>472</v>
      </c>
      <c r="P78" s="829"/>
      <c r="Q78" s="725">
        <f t="shared" ref="Q78:Q98" si="22">IF(O78="Modelled",F78,IF(O78="Adjusted",L78,"Error"))</f>
        <v>104.13343488192022</v>
      </c>
      <c r="R78" s="729">
        <f>+Q78*$Q$100</f>
        <v>104.13343488192022</v>
      </c>
      <c r="S78" s="791"/>
      <c r="T78" s="730">
        <f t="shared" ref="T78:T98" si="23">Scaling_Radio</f>
        <v>-7.9304478192572025E-2</v>
      </c>
      <c r="U78" s="731">
        <f t="shared" ref="U78:U98" si="24">Inflation_Efficiency_2016_17</f>
        <v>0</v>
      </c>
      <c r="V78" s="732">
        <v>0</v>
      </c>
      <c r="W78" s="792">
        <f t="shared" ref="W78:W98" si="25">R78*(1+T78)*(1+U78)*(1+V78)</f>
        <v>95.875187166209358</v>
      </c>
      <c r="X78" s="525"/>
    </row>
    <row r="79" spans="2:24" x14ac:dyDescent="0.25">
      <c r="B79" s="340" t="s">
        <v>1</v>
      </c>
      <c r="C79" s="351" t="s">
        <v>151</v>
      </c>
      <c r="D79" s="508">
        <f t="shared" si="19"/>
        <v>91</v>
      </c>
      <c r="E79" s="830"/>
      <c r="F79" s="500">
        <f t="shared" si="20"/>
        <v>97.14151383885131</v>
      </c>
      <c r="G79" s="831"/>
      <c r="H79" s="795"/>
      <c r="I79" s="796">
        <f t="shared" si="21"/>
        <v>259359</v>
      </c>
      <c r="J79" s="797"/>
      <c r="K79" s="832"/>
      <c r="L79" s="798"/>
      <c r="M79" s="795"/>
      <c r="N79" s="736"/>
      <c r="O79" s="833" t="s">
        <v>472</v>
      </c>
      <c r="P79" s="833"/>
      <c r="Q79" s="738">
        <f t="shared" si="22"/>
        <v>97.14151383885131</v>
      </c>
      <c r="R79" s="742">
        <f t="shared" ref="R79:R98" si="26">+Q79*$Q$100</f>
        <v>97.14151383885131</v>
      </c>
      <c r="S79" s="799"/>
      <c r="T79" s="743">
        <f t="shared" si="23"/>
        <v>-7.9304478192572025E-2</v>
      </c>
      <c r="U79" s="744">
        <f t="shared" si="24"/>
        <v>0</v>
      </c>
      <c r="V79" s="745">
        <v>0</v>
      </c>
      <c r="W79" s="800">
        <f t="shared" si="25"/>
        <v>89.437756773024688</v>
      </c>
      <c r="X79" s="525"/>
    </row>
    <row r="80" spans="2:24" x14ac:dyDescent="0.25">
      <c r="B80" s="340" t="s">
        <v>2</v>
      </c>
      <c r="C80" s="351" t="s">
        <v>152</v>
      </c>
      <c r="D80" s="508">
        <f t="shared" si="19"/>
        <v>118</v>
      </c>
      <c r="E80" s="830"/>
      <c r="F80" s="500">
        <f t="shared" si="20"/>
        <v>123.69932901699008</v>
      </c>
      <c r="G80" s="831"/>
      <c r="H80" s="795"/>
      <c r="I80" s="796">
        <f t="shared" si="21"/>
        <v>1138930</v>
      </c>
      <c r="J80" s="797"/>
      <c r="K80" s="832"/>
      <c r="L80" s="798"/>
      <c r="M80" s="795"/>
      <c r="N80" s="736"/>
      <c r="O80" s="833" t="s">
        <v>472</v>
      </c>
      <c r="P80" s="833"/>
      <c r="Q80" s="738">
        <f t="shared" si="22"/>
        <v>123.69932901699008</v>
      </c>
      <c r="R80" s="742">
        <f t="shared" si="26"/>
        <v>123.69932901699008</v>
      </c>
      <c r="S80" s="799"/>
      <c r="T80" s="743">
        <f t="shared" si="23"/>
        <v>-7.9304478192572025E-2</v>
      </c>
      <c r="U80" s="744">
        <f t="shared" si="24"/>
        <v>0</v>
      </c>
      <c r="V80" s="745">
        <v>0</v>
      </c>
      <c r="W80" s="800">
        <f t="shared" si="25"/>
        <v>113.8894182765264</v>
      </c>
      <c r="X80" s="525"/>
    </row>
    <row r="81" spans="2:24" x14ac:dyDescent="0.25">
      <c r="B81" s="340" t="s">
        <v>3</v>
      </c>
      <c r="C81" s="351" t="s">
        <v>153</v>
      </c>
      <c r="D81" s="508">
        <f t="shared" si="19"/>
        <v>214</v>
      </c>
      <c r="E81" s="830"/>
      <c r="F81" s="500">
        <f t="shared" si="20"/>
        <v>529.07769463210559</v>
      </c>
      <c r="G81" s="831"/>
      <c r="H81" s="795"/>
      <c r="I81" s="796">
        <f t="shared" si="21"/>
        <v>1591</v>
      </c>
      <c r="J81" s="797"/>
      <c r="K81" s="832"/>
      <c r="L81" s="798"/>
      <c r="M81" s="795"/>
      <c r="N81" s="736"/>
      <c r="O81" s="833" t="s">
        <v>472</v>
      </c>
      <c r="P81" s="833"/>
      <c r="Q81" s="738">
        <f t="shared" si="22"/>
        <v>529.07769463210559</v>
      </c>
      <c r="R81" s="742">
        <f t="shared" si="26"/>
        <v>529.07769463210559</v>
      </c>
      <c r="S81" s="799"/>
      <c r="T81" s="743">
        <f t="shared" si="23"/>
        <v>-7.9304478192572025E-2</v>
      </c>
      <c r="U81" s="744">
        <f t="shared" si="24"/>
        <v>0</v>
      </c>
      <c r="V81" s="745">
        <v>0</v>
      </c>
      <c r="W81" s="800">
        <f t="shared" si="25"/>
        <v>487.11946413597747</v>
      </c>
      <c r="X81" s="525"/>
    </row>
    <row r="82" spans="2:24" x14ac:dyDescent="0.25">
      <c r="B82" s="834" t="s">
        <v>4</v>
      </c>
      <c r="C82" s="351" t="s">
        <v>154</v>
      </c>
      <c r="D82" s="508">
        <f t="shared" si="19"/>
        <v>339</v>
      </c>
      <c r="E82" s="830"/>
      <c r="F82" s="500">
        <f t="shared" si="20"/>
        <v>398.83499127568462</v>
      </c>
      <c r="G82" s="831"/>
      <c r="H82" s="795"/>
      <c r="I82" s="796">
        <f t="shared" si="21"/>
        <v>1905</v>
      </c>
      <c r="J82" s="797"/>
      <c r="K82" s="832"/>
      <c r="L82" s="798"/>
      <c r="M82" s="795"/>
      <c r="N82" s="736"/>
      <c r="O82" s="833" t="s">
        <v>472</v>
      </c>
      <c r="P82" s="833"/>
      <c r="Q82" s="738">
        <f t="shared" si="22"/>
        <v>398.83499127568462</v>
      </c>
      <c r="R82" s="742">
        <f t="shared" si="26"/>
        <v>398.83499127568462</v>
      </c>
      <c r="S82" s="799"/>
      <c r="T82" s="743">
        <f t="shared" si="23"/>
        <v>-7.9304478192572025E-2</v>
      </c>
      <c r="U82" s="744">
        <f t="shared" si="24"/>
        <v>0</v>
      </c>
      <c r="V82" s="745">
        <v>0</v>
      </c>
      <c r="W82" s="800">
        <f t="shared" si="25"/>
        <v>367.20559040762743</v>
      </c>
      <c r="X82" s="525"/>
    </row>
    <row r="83" spans="2:24" x14ac:dyDescent="0.25">
      <c r="B83" s="834" t="s">
        <v>43</v>
      </c>
      <c r="C83" s="351" t="s">
        <v>64</v>
      </c>
      <c r="D83" s="508">
        <f t="shared" si="19"/>
        <v>0</v>
      </c>
      <c r="E83" s="830"/>
      <c r="F83" s="500">
        <f t="shared" si="20"/>
        <v>0</v>
      </c>
      <c r="G83" s="831"/>
      <c r="H83" s="795"/>
      <c r="I83" s="796">
        <f t="shared" si="21"/>
        <v>51338</v>
      </c>
      <c r="J83" s="797"/>
      <c r="K83" s="832"/>
      <c r="L83" s="798"/>
      <c r="M83" s="795"/>
      <c r="N83" s="736"/>
      <c r="O83" s="833" t="s">
        <v>472</v>
      </c>
      <c r="P83" s="833"/>
      <c r="Q83" s="738">
        <f t="shared" si="22"/>
        <v>0</v>
      </c>
      <c r="R83" s="742">
        <f t="shared" si="26"/>
        <v>0</v>
      </c>
      <c r="S83" s="799"/>
      <c r="T83" s="743">
        <f t="shared" si="23"/>
        <v>-7.9304478192572025E-2</v>
      </c>
      <c r="U83" s="744">
        <f t="shared" si="24"/>
        <v>0</v>
      </c>
      <c r="V83" s="745">
        <v>0</v>
      </c>
      <c r="W83" s="800">
        <f t="shared" si="25"/>
        <v>0</v>
      </c>
      <c r="X83" s="525"/>
    </row>
    <row r="84" spans="2:24" x14ac:dyDescent="0.25">
      <c r="B84" s="834" t="s">
        <v>5</v>
      </c>
      <c r="C84" s="351" t="s">
        <v>155</v>
      </c>
      <c r="D84" s="508">
        <f t="shared" si="19"/>
        <v>154</v>
      </c>
      <c r="E84" s="830"/>
      <c r="F84" s="500">
        <f t="shared" si="20"/>
        <v>162.90922536281983</v>
      </c>
      <c r="G84" s="831"/>
      <c r="H84" s="795"/>
      <c r="I84" s="796">
        <f t="shared" si="21"/>
        <v>337065</v>
      </c>
      <c r="J84" s="797"/>
      <c r="K84" s="832"/>
      <c r="L84" s="798"/>
      <c r="M84" s="795"/>
      <c r="N84" s="736"/>
      <c r="O84" s="833" t="s">
        <v>472</v>
      </c>
      <c r="P84" s="833"/>
      <c r="Q84" s="738">
        <f t="shared" si="22"/>
        <v>162.90922536281983</v>
      </c>
      <c r="R84" s="742">
        <f t="shared" si="26"/>
        <v>162.90922536281983</v>
      </c>
      <c r="S84" s="799"/>
      <c r="T84" s="743">
        <f t="shared" si="23"/>
        <v>-7.9304478192572025E-2</v>
      </c>
      <c r="U84" s="744">
        <f t="shared" si="24"/>
        <v>0</v>
      </c>
      <c r="V84" s="745">
        <v>0</v>
      </c>
      <c r="W84" s="800">
        <f t="shared" si="25"/>
        <v>149.98979425266529</v>
      </c>
      <c r="X84" s="525"/>
    </row>
    <row r="85" spans="2:24" x14ac:dyDescent="0.25">
      <c r="B85" s="834" t="s">
        <v>45</v>
      </c>
      <c r="C85" s="351" t="s">
        <v>156</v>
      </c>
      <c r="D85" s="508">
        <f t="shared" si="19"/>
        <v>946</v>
      </c>
      <c r="E85" s="830"/>
      <c r="F85" s="500">
        <f t="shared" si="20"/>
        <v>1057.5695551261865</v>
      </c>
      <c r="G85" s="831"/>
      <c r="H85" s="795"/>
      <c r="I85" s="796">
        <f t="shared" si="21"/>
        <v>14755</v>
      </c>
      <c r="J85" s="797"/>
      <c r="K85" s="832"/>
      <c r="L85" s="798"/>
      <c r="M85" s="795"/>
      <c r="N85" s="736"/>
      <c r="O85" s="833" t="s">
        <v>472</v>
      </c>
      <c r="P85" s="833"/>
      <c r="Q85" s="738">
        <f t="shared" si="22"/>
        <v>1057.5695551261865</v>
      </c>
      <c r="R85" s="742">
        <f t="shared" si="26"/>
        <v>1057.5695551261865</v>
      </c>
      <c r="S85" s="799"/>
      <c r="T85" s="743">
        <f t="shared" si="23"/>
        <v>-7.9304478192572025E-2</v>
      </c>
      <c r="U85" s="744">
        <f t="shared" si="24"/>
        <v>0</v>
      </c>
      <c r="V85" s="745">
        <v>0</v>
      </c>
      <c r="W85" s="800">
        <f t="shared" si="25"/>
        <v>973.69955340455374</v>
      </c>
      <c r="X85" s="525"/>
    </row>
    <row r="86" spans="2:24" x14ac:dyDescent="0.25">
      <c r="B86" s="834" t="s">
        <v>46</v>
      </c>
      <c r="C86" s="351" t="s">
        <v>157</v>
      </c>
      <c r="D86" s="508">
        <f t="shared" si="19"/>
        <v>1261</v>
      </c>
      <c r="E86" s="830"/>
      <c r="F86" s="500">
        <f t="shared" si="20"/>
        <v>1572.5446664851586</v>
      </c>
      <c r="G86" s="831"/>
      <c r="H86" s="795"/>
      <c r="I86" s="796">
        <f t="shared" si="21"/>
        <v>6403</v>
      </c>
      <c r="J86" s="797"/>
      <c r="K86" s="832"/>
      <c r="L86" s="798"/>
      <c r="M86" s="795"/>
      <c r="N86" s="736"/>
      <c r="O86" s="833" t="s">
        <v>472</v>
      </c>
      <c r="P86" s="833"/>
      <c r="Q86" s="738">
        <f t="shared" si="22"/>
        <v>1572.5446664851586</v>
      </c>
      <c r="R86" s="742">
        <f t="shared" si="26"/>
        <v>1572.5446664851586</v>
      </c>
      <c r="S86" s="799"/>
      <c r="T86" s="743">
        <f t="shared" si="23"/>
        <v>-7.9304478192572025E-2</v>
      </c>
      <c r="U86" s="744">
        <f t="shared" si="24"/>
        <v>0</v>
      </c>
      <c r="V86" s="745">
        <v>0</v>
      </c>
      <c r="W86" s="800">
        <f t="shared" si="25"/>
        <v>1447.834832275041</v>
      </c>
      <c r="X86" s="525"/>
    </row>
    <row r="87" spans="2:24" x14ac:dyDescent="0.25">
      <c r="B87" s="834" t="s">
        <v>6</v>
      </c>
      <c r="C87" s="351" t="s">
        <v>68</v>
      </c>
      <c r="D87" s="508">
        <f t="shared" si="19"/>
        <v>854</v>
      </c>
      <c r="E87" s="830"/>
      <c r="F87" s="500">
        <f t="shared" si="20"/>
        <v>1561.71471938323</v>
      </c>
      <c r="G87" s="831"/>
      <c r="H87" s="795"/>
      <c r="I87" s="796">
        <f t="shared" si="21"/>
        <v>177</v>
      </c>
      <c r="J87" s="797"/>
      <c r="K87" s="832"/>
      <c r="L87" s="798"/>
      <c r="M87" s="795"/>
      <c r="N87" s="736"/>
      <c r="O87" s="833" t="s">
        <v>472</v>
      </c>
      <c r="P87" s="833"/>
      <c r="Q87" s="738">
        <f t="shared" si="22"/>
        <v>1561.71471938323</v>
      </c>
      <c r="R87" s="742">
        <f t="shared" si="26"/>
        <v>1561.71471938323</v>
      </c>
      <c r="S87" s="799"/>
      <c r="T87" s="743">
        <f t="shared" si="23"/>
        <v>-7.9304478192572025E-2</v>
      </c>
      <c r="U87" s="744">
        <f t="shared" si="24"/>
        <v>0</v>
      </c>
      <c r="V87" s="745">
        <v>0</v>
      </c>
      <c r="W87" s="800">
        <f t="shared" si="25"/>
        <v>1437.863748476884</v>
      </c>
      <c r="X87" s="525"/>
    </row>
    <row r="88" spans="2:24" x14ac:dyDescent="0.25">
      <c r="B88" s="834" t="s">
        <v>7</v>
      </c>
      <c r="C88" s="351" t="s">
        <v>158</v>
      </c>
      <c r="D88" s="508">
        <f t="shared" si="19"/>
        <v>854</v>
      </c>
      <c r="E88" s="830"/>
      <c r="F88" s="500">
        <f t="shared" si="20"/>
        <v>1209.0669966404869</v>
      </c>
      <c r="G88" s="831"/>
      <c r="H88" s="795"/>
      <c r="I88" s="796">
        <f t="shared" si="21"/>
        <v>146</v>
      </c>
      <c r="J88" s="797"/>
      <c r="K88" s="832"/>
      <c r="L88" s="798"/>
      <c r="M88" s="795"/>
      <c r="N88" s="736"/>
      <c r="O88" s="833" t="s">
        <v>472</v>
      </c>
      <c r="P88" s="833"/>
      <c r="Q88" s="738">
        <f t="shared" si="22"/>
        <v>1209.0669966404869</v>
      </c>
      <c r="R88" s="742">
        <f t="shared" si="26"/>
        <v>1209.0669966404869</v>
      </c>
      <c r="S88" s="799"/>
      <c r="T88" s="743">
        <f t="shared" si="23"/>
        <v>-7.9304478192572025E-2</v>
      </c>
      <c r="U88" s="744">
        <f t="shared" si="24"/>
        <v>0</v>
      </c>
      <c r="V88" s="745">
        <v>0</v>
      </c>
      <c r="W88" s="800">
        <f t="shared" si="25"/>
        <v>1113.1825693720527</v>
      </c>
      <c r="X88" s="525"/>
    </row>
    <row r="89" spans="2:24" x14ac:dyDescent="0.25">
      <c r="B89" s="834" t="s">
        <v>47</v>
      </c>
      <c r="C89" s="351" t="s">
        <v>159</v>
      </c>
      <c r="D89" s="508">
        <f t="shared" si="19"/>
        <v>264</v>
      </c>
      <c r="E89" s="830"/>
      <c r="F89" s="500">
        <f t="shared" si="20"/>
        <v>671.58138173777991</v>
      </c>
      <c r="G89" s="831"/>
      <c r="H89" s="795"/>
      <c r="I89" s="796">
        <f t="shared" si="21"/>
        <v>17</v>
      </c>
      <c r="J89" s="797"/>
      <c r="K89" s="832"/>
      <c r="L89" s="798"/>
      <c r="M89" s="795"/>
      <c r="N89" s="736"/>
      <c r="O89" s="833" t="s">
        <v>472</v>
      </c>
      <c r="P89" s="833"/>
      <c r="Q89" s="738">
        <f t="shared" si="22"/>
        <v>671.58138173777991</v>
      </c>
      <c r="R89" s="742">
        <f t="shared" si="26"/>
        <v>671.58138173777991</v>
      </c>
      <c r="S89" s="799"/>
      <c r="T89" s="743">
        <f t="shared" si="23"/>
        <v>-7.9304478192572025E-2</v>
      </c>
      <c r="U89" s="744">
        <f t="shared" si="24"/>
        <v>0</v>
      </c>
      <c r="V89" s="745">
        <v>0</v>
      </c>
      <c r="W89" s="800">
        <f t="shared" si="25"/>
        <v>618.32197069521874</v>
      </c>
      <c r="X89" s="525"/>
    </row>
    <row r="90" spans="2:24" x14ac:dyDescent="0.25">
      <c r="B90" s="834" t="s">
        <v>8</v>
      </c>
      <c r="C90" s="351" t="s">
        <v>160</v>
      </c>
      <c r="D90" s="508">
        <f t="shared" si="19"/>
        <v>380</v>
      </c>
      <c r="E90" s="830"/>
      <c r="F90" s="500">
        <f t="shared" si="20"/>
        <v>383.82028539747171</v>
      </c>
      <c r="G90" s="831"/>
      <c r="H90" s="795"/>
      <c r="I90" s="796">
        <f t="shared" si="21"/>
        <v>9701</v>
      </c>
      <c r="J90" s="797"/>
      <c r="K90" s="832"/>
      <c r="L90" s="798"/>
      <c r="M90" s="795"/>
      <c r="N90" s="736"/>
      <c r="O90" s="833" t="s">
        <v>472</v>
      </c>
      <c r="P90" s="833"/>
      <c r="Q90" s="738">
        <f t="shared" si="22"/>
        <v>383.82028539747171</v>
      </c>
      <c r="R90" s="742">
        <f t="shared" si="26"/>
        <v>383.82028539747171</v>
      </c>
      <c r="S90" s="799"/>
      <c r="T90" s="743">
        <f t="shared" si="23"/>
        <v>-7.9304478192572025E-2</v>
      </c>
      <c r="U90" s="744">
        <f t="shared" si="24"/>
        <v>0</v>
      </c>
      <c r="V90" s="745">
        <v>0</v>
      </c>
      <c r="W90" s="800">
        <f t="shared" si="25"/>
        <v>353.38161794430113</v>
      </c>
      <c r="X90" s="525"/>
    </row>
    <row r="91" spans="2:24" x14ac:dyDescent="0.25">
      <c r="B91" s="834" t="s">
        <v>9</v>
      </c>
      <c r="C91" s="351" t="s">
        <v>161</v>
      </c>
      <c r="D91" s="508">
        <f t="shared" si="19"/>
        <v>647</v>
      </c>
      <c r="E91" s="830"/>
      <c r="F91" s="500">
        <f t="shared" si="20"/>
        <v>579.18909847738996</v>
      </c>
      <c r="G91" s="831"/>
      <c r="H91" s="795"/>
      <c r="I91" s="796">
        <f t="shared" si="21"/>
        <v>1586</v>
      </c>
      <c r="J91" s="797"/>
      <c r="K91" s="832"/>
      <c r="L91" s="798"/>
      <c r="M91" s="795"/>
      <c r="N91" s="736"/>
      <c r="O91" s="833" t="s">
        <v>472</v>
      </c>
      <c r="P91" s="833"/>
      <c r="Q91" s="738">
        <f t="shared" si="22"/>
        <v>579.18909847738996</v>
      </c>
      <c r="R91" s="742">
        <f t="shared" si="26"/>
        <v>579.18909847738996</v>
      </c>
      <c r="S91" s="799"/>
      <c r="T91" s="743">
        <f t="shared" si="23"/>
        <v>-7.9304478192572025E-2</v>
      </c>
      <c r="U91" s="744">
        <f t="shared" si="24"/>
        <v>0</v>
      </c>
      <c r="V91" s="745">
        <v>0</v>
      </c>
      <c r="W91" s="800">
        <f t="shared" si="25"/>
        <v>533.25680924781432</v>
      </c>
      <c r="X91" s="525"/>
    </row>
    <row r="92" spans="2:24" x14ac:dyDescent="0.25">
      <c r="B92" s="834" t="s">
        <v>10</v>
      </c>
      <c r="C92" s="351" t="s">
        <v>162</v>
      </c>
      <c r="D92" s="508">
        <f t="shared" si="19"/>
        <v>276</v>
      </c>
      <c r="E92" s="830"/>
      <c r="F92" s="500">
        <f t="shared" si="20"/>
        <v>287.3591363734393</v>
      </c>
      <c r="G92" s="831"/>
      <c r="H92" s="795"/>
      <c r="I92" s="796">
        <f t="shared" si="21"/>
        <v>37853</v>
      </c>
      <c r="J92" s="797"/>
      <c r="K92" s="832"/>
      <c r="L92" s="798"/>
      <c r="M92" s="795"/>
      <c r="N92" s="736"/>
      <c r="O92" s="833" t="s">
        <v>472</v>
      </c>
      <c r="P92" s="833"/>
      <c r="Q92" s="738">
        <f t="shared" si="22"/>
        <v>287.3591363734393</v>
      </c>
      <c r="R92" s="742">
        <f t="shared" si="26"/>
        <v>287.3591363734393</v>
      </c>
      <c r="S92" s="799"/>
      <c r="T92" s="743">
        <f t="shared" si="23"/>
        <v>-7.9304478192572025E-2</v>
      </c>
      <c r="U92" s="744">
        <f t="shared" si="24"/>
        <v>0</v>
      </c>
      <c r="V92" s="745">
        <v>0</v>
      </c>
      <c r="W92" s="800">
        <f t="shared" si="25"/>
        <v>264.57027000947556</v>
      </c>
      <c r="X92" s="525"/>
    </row>
    <row r="93" spans="2:24" x14ac:dyDescent="0.25">
      <c r="B93" s="834" t="s">
        <v>11</v>
      </c>
      <c r="C93" s="351" t="s">
        <v>163</v>
      </c>
      <c r="D93" s="508">
        <f t="shared" si="19"/>
        <v>423</v>
      </c>
      <c r="E93" s="830"/>
      <c r="F93" s="500">
        <f t="shared" si="20"/>
        <v>476.94031157891538</v>
      </c>
      <c r="G93" s="831"/>
      <c r="H93" s="795"/>
      <c r="I93" s="796">
        <f t="shared" si="21"/>
        <v>6672</v>
      </c>
      <c r="J93" s="797"/>
      <c r="K93" s="832"/>
      <c r="L93" s="798"/>
      <c r="M93" s="795"/>
      <c r="N93" s="736"/>
      <c r="O93" s="833" t="s">
        <v>472</v>
      </c>
      <c r="P93" s="833"/>
      <c r="Q93" s="738">
        <f t="shared" si="22"/>
        <v>476.94031157891538</v>
      </c>
      <c r="R93" s="742">
        <f t="shared" si="26"/>
        <v>476.94031157891538</v>
      </c>
      <c r="S93" s="799"/>
      <c r="T93" s="743">
        <f t="shared" si="23"/>
        <v>-7.9304478192572025E-2</v>
      </c>
      <c r="U93" s="744">
        <f t="shared" si="24"/>
        <v>0</v>
      </c>
      <c r="V93" s="745">
        <v>0</v>
      </c>
      <c r="W93" s="800">
        <f t="shared" si="25"/>
        <v>439.11680904014679</v>
      </c>
      <c r="X93" s="525"/>
    </row>
    <row r="94" spans="2:24" x14ac:dyDescent="0.25">
      <c r="B94" s="834" t="s">
        <v>12</v>
      </c>
      <c r="C94" s="351" t="s">
        <v>164</v>
      </c>
      <c r="D94" s="508">
        <f t="shared" si="19"/>
        <v>183</v>
      </c>
      <c r="E94" s="830"/>
      <c r="F94" s="500">
        <f t="shared" si="20"/>
        <v>230.54307742324036</v>
      </c>
      <c r="G94" s="831"/>
      <c r="H94" s="795"/>
      <c r="I94" s="796">
        <f t="shared" si="21"/>
        <v>4875</v>
      </c>
      <c r="J94" s="797"/>
      <c r="K94" s="832"/>
      <c r="L94" s="798"/>
      <c r="M94" s="795"/>
      <c r="N94" s="736"/>
      <c r="O94" s="833" t="s">
        <v>472</v>
      </c>
      <c r="P94" s="833"/>
      <c r="Q94" s="738">
        <f t="shared" si="22"/>
        <v>230.54307742324036</v>
      </c>
      <c r="R94" s="742">
        <f t="shared" si="26"/>
        <v>230.54307742324036</v>
      </c>
      <c r="S94" s="799"/>
      <c r="T94" s="743">
        <f t="shared" si="23"/>
        <v>-7.9304478192572025E-2</v>
      </c>
      <c r="U94" s="744">
        <f t="shared" si="24"/>
        <v>0</v>
      </c>
      <c r="V94" s="745">
        <v>0</v>
      </c>
      <c r="W94" s="800">
        <f t="shared" si="25"/>
        <v>212.25997896728055</v>
      </c>
      <c r="X94" s="525"/>
    </row>
    <row r="95" spans="2:24" x14ac:dyDescent="0.25">
      <c r="B95" s="834" t="s">
        <v>13</v>
      </c>
      <c r="C95" s="351" t="s">
        <v>165</v>
      </c>
      <c r="D95" s="508">
        <f t="shared" si="19"/>
        <v>248</v>
      </c>
      <c r="E95" s="830"/>
      <c r="F95" s="500">
        <f t="shared" si="20"/>
        <v>358.26435287099622</v>
      </c>
      <c r="G95" s="831"/>
      <c r="H95" s="795"/>
      <c r="I95" s="796">
        <f t="shared" si="21"/>
        <v>1621</v>
      </c>
      <c r="J95" s="797"/>
      <c r="K95" s="832"/>
      <c r="L95" s="798"/>
      <c r="M95" s="795"/>
      <c r="N95" s="736"/>
      <c r="O95" s="833" t="s">
        <v>472</v>
      </c>
      <c r="P95" s="833"/>
      <c r="Q95" s="738">
        <f t="shared" si="22"/>
        <v>358.26435287099622</v>
      </c>
      <c r="R95" s="742">
        <f t="shared" si="26"/>
        <v>358.26435287099622</v>
      </c>
      <c r="S95" s="799"/>
      <c r="T95" s="743">
        <f t="shared" si="23"/>
        <v>-7.9304478192572025E-2</v>
      </c>
      <c r="U95" s="744">
        <f t="shared" si="24"/>
        <v>0</v>
      </c>
      <c r="V95" s="745">
        <v>0</v>
      </c>
      <c r="W95" s="800">
        <f t="shared" si="25"/>
        <v>329.85238531156239</v>
      </c>
      <c r="X95" s="525"/>
    </row>
    <row r="96" spans="2:24" x14ac:dyDescent="0.25">
      <c r="B96" s="834" t="s">
        <v>48</v>
      </c>
      <c r="C96" s="351" t="s">
        <v>166</v>
      </c>
      <c r="D96" s="508">
        <f t="shared" si="19"/>
        <v>569</v>
      </c>
      <c r="E96" s="830"/>
      <c r="F96" s="500">
        <f t="shared" si="20"/>
        <v>729.67229110337576</v>
      </c>
      <c r="G96" s="831"/>
      <c r="H96" s="795"/>
      <c r="I96" s="796">
        <f t="shared" si="21"/>
        <v>47911</v>
      </c>
      <c r="J96" s="797"/>
      <c r="K96" s="832"/>
      <c r="L96" s="798"/>
      <c r="M96" s="795"/>
      <c r="N96" s="736"/>
      <c r="O96" s="833" t="s">
        <v>472</v>
      </c>
      <c r="P96" s="833"/>
      <c r="Q96" s="738">
        <f t="shared" si="22"/>
        <v>729.67229110337576</v>
      </c>
      <c r="R96" s="742">
        <f t="shared" si="26"/>
        <v>729.67229110337576</v>
      </c>
      <c r="S96" s="799"/>
      <c r="T96" s="743">
        <f t="shared" si="23"/>
        <v>-7.9304478192572025E-2</v>
      </c>
      <c r="U96" s="744">
        <f t="shared" si="24"/>
        <v>0</v>
      </c>
      <c r="V96" s="745">
        <v>0</v>
      </c>
      <c r="W96" s="800">
        <f t="shared" si="25"/>
        <v>671.80601080584404</v>
      </c>
      <c r="X96" s="525"/>
    </row>
    <row r="97" spans="2:25" x14ac:dyDescent="0.25">
      <c r="B97" s="834" t="s">
        <v>49</v>
      </c>
      <c r="C97" s="351" t="s">
        <v>167</v>
      </c>
      <c r="D97" s="508">
        <f t="shared" si="19"/>
        <v>759</v>
      </c>
      <c r="E97" s="830"/>
      <c r="F97" s="500">
        <f t="shared" si="20"/>
        <v>862.56677465312339</v>
      </c>
      <c r="G97" s="831"/>
      <c r="H97" s="795"/>
      <c r="I97" s="796">
        <f t="shared" si="21"/>
        <v>9176</v>
      </c>
      <c r="J97" s="797"/>
      <c r="K97" s="832"/>
      <c r="L97" s="798"/>
      <c r="M97" s="795"/>
      <c r="N97" s="736"/>
      <c r="O97" s="833" t="s">
        <v>472</v>
      </c>
      <c r="P97" s="833"/>
      <c r="Q97" s="738">
        <f t="shared" si="22"/>
        <v>862.56677465312339</v>
      </c>
      <c r="R97" s="742">
        <f t="shared" si="26"/>
        <v>862.56677465312339</v>
      </c>
      <c r="S97" s="799"/>
      <c r="T97" s="743">
        <f t="shared" si="23"/>
        <v>-7.9304478192572025E-2</v>
      </c>
      <c r="U97" s="744">
        <f t="shared" si="24"/>
        <v>0</v>
      </c>
      <c r="V97" s="745">
        <v>0</v>
      </c>
      <c r="W97" s="800">
        <f t="shared" si="25"/>
        <v>794.1613666830076</v>
      </c>
      <c r="X97" s="525"/>
    </row>
    <row r="98" spans="2:25" ht="15.75" thickBot="1" x14ac:dyDescent="0.3">
      <c r="B98" s="835" t="s">
        <v>51</v>
      </c>
      <c r="C98" s="446" t="s">
        <v>168</v>
      </c>
      <c r="D98" s="511">
        <f t="shared" si="19"/>
        <v>0</v>
      </c>
      <c r="E98" s="836"/>
      <c r="F98" s="501">
        <f t="shared" si="20"/>
        <v>0</v>
      </c>
      <c r="G98" s="837"/>
      <c r="H98" s="804"/>
      <c r="I98" s="805">
        <f t="shared" si="21"/>
        <v>546</v>
      </c>
      <c r="J98" s="806"/>
      <c r="K98" s="838"/>
      <c r="L98" s="807"/>
      <c r="M98" s="804"/>
      <c r="N98" s="755"/>
      <c r="O98" s="839" t="s">
        <v>472</v>
      </c>
      <c r="P98" s="839"/>
      <c r="Q98" s="802">
        <f t="shared" si="22"/>
        <v>0</v>
      </c>
      <c r="R98" s="809">
        <f t="shared" si="26"/>
        <v>0</v>
      </c>
      <c r="S98" s="810"/>
      <c r="T98" s="811">
        <f t="shared" si="23"/>
        <v>-7.9304478192572025E-2</v>
      </c>
      <c r="U98" s="812">
        <f t="shared" si="24"/>
        <v>0</v>
      </c>
      <c r="V98" s="813">
        <v>0</v>
      </c>
      <c r="W98" s="814">
        <f t="shared" si="25"/>
        <v>0</v>
      </c>
      <c r="X98" s="525"/>
    </row>
    <row r="99" spans="2:25" ht="15.75" thickBot="1" x14ac:dyDescent="0.3">
      <c r="B99" s="768"/>
      <c r="C99" s="768"/>
      <c r="D99" s="525"/>
      <c r="E99" s="767" t="s">
        <v>957</v>
      </c>
      <c r="F99" s="519">
        <f>SUMPRODUCT(F$78:F$98,$I$78:$I$98)</f>
        <v>314877848.51654685</v>
      </c>
      <c r="G99" s="768"/>
      <c r="H99" s="768"/>
      <c r="I99" s="768"/>
      <c r="J99" s="768"/>
      <c r="K99" s="768"/>
      <c r="L99" s="768"/>
      <c r="M99" s="768"/>
      <c r="N99" s="768"/>
      <c r="O99" s="525"/>
      <c r="P99" s="767" t="s">
        <v>958</v>
      </c>
      <c r="Q99" s="519">
        <f>SUMPRODUCT(Q$78:Q$98,$I$78:$I$98)</f>
        <v>314877848.51654685</v>
      </c>
      <c r="R99" s="519">
        <f>SUMPRODUCT(R$78:R$98,$I$78:$I$98)</f>
        <v>314877848.51654685</v>
      </c>
      <c r="S99" s="333"/>
      <c r="T99" s="768"/>
      <c r="U99" s="768"/>
      <c r="V99" s="768"/>
      <c r="W99" s="768"/>
      <c r="X99" s="768"/>
      <c r="Y99" s="498"/>
    </row>
    <row r="100" spans="2:25" ht="15.75" thickBot="1" x14ac:dyDescent="0.3">
      <c r="B100" s="768"/>
      <c r="C100" s="768"/>
      <c r="D100" s="768"/>
      <c r="E100" s="768"/>
      <c r="F100" s="768"/>
      <c r="G100" s="768"/>
      <c r="H100" s="768"/>
      <c r="I100" s="768"/>
      <c r="J100" s="768"/>
      <c r="K100" s="768"/>
      <c r="L100" s="768"/>
      <c r="M100" s="768"/>
      <c r="N100" s="768"/>
      <c r="O100" s="817" t="s">
        <v>473</v>
      </c>
      <c r="P100" s="818"/>
      <c r="Q100" s="819">
        <f>+F99/Q99</f>
        <v>1</v>
      </c>
      <c r="R100" s="773">
        <f>+F99/R99-1</f>
        <v>0</v>
      </c>
      <c r="S100" s="773"/>
      <c r="T100" s="768"/>
      <c r="U100" s="768"/>
      <c r="V100" s="768"/>
      <c r="W100" s="768"/>
      <c r="X100" s="768"/>
      <c r="Y100" s="498"/>
    </row>
    <row r="101" spans="2:25" ht="15.75" thickBot="1" x14ac:dyDescent="0.3">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25"/>
      <c r="X101" s="525"/>
    </row>
    <row r="102" spans="2:25" x14ac:dyDescent="0.25">
      <c r="B102" s="370"/>
      <c r="C102" s="371"/>
      <c r="D102" s="371"/>
      <c r="E102" s="371"/>
      <c r="F102" s="372"/>
      <c r="G102" s="371"/>
      <c r="H102" s="776"/>
      <c r="I102" s="776"/>
      <c r="J102" s="776"/>
      <c r="K102" s="776"/>
      <c r="L102" s="776"/>
      <c r="M102" s="776"/>
      <c r="N102" s="776"/>
      <c r="O102" s="823"/>
      <c r="P102" s="823"/>
      <c r="Q102" s="824"/>
      <c r="R102" s="825"/>
      <c r="S102" s="825"/>
      <c r="T102" s="825"/>
      <c r="U102" s="776"/>
      <c r="V102" s="776"/>
      <c r="W102" s="778"/>
      <c r="X102" s="525"/>
    </row>
    <row r="103" spans="2:25" ht="16.5" thickBot="1" x14ac:dyDescent="0.3">
      <c r="B103" s="373">
        <v>4</v>
      </c>
      <c r="C103" s="779" t="s">
        <v>477</v>
      </c>
      <c r="D103" s="359"/>
      <c r="E103" s="359"/>
      <c r="F103" s="359"/>
      <c r="G103" s="781"/>
      <c r="H103" s="780"/>
      <c r="I103" s="780"/>
      <c r="J103" s="780"/>
      <c r="K103" s="780"/>
      <c r="L103" s="359"/>
      <c r="M103" s="780"/>
      <c r="N103" s="780"/>
      <c r="O103" s="780"/>
      <c r="P103" s="780"/>
      <c r="Q103" s="359"/>
      <c r="R103" s="359"/>
      <c r="S103" s="780"/>
      <c r="T103" s="780"/>
      <c r="U103" s="780"/>
      <c r="V103" s="780"/>
      <c r="W103" s="783"/>
      <c r="X103" s="525"/>
    </row>
    <row r="104" spans="2:25" ht="15.75" thickBot="1" x14ac:dyDescent="0.3">
      <c r="B104" s="362"/>
      <c r="C104" s="363"/>
      <c r="D104" s="363"/>
      <c r="E104" s="363"/>
      <c r="F104" s="364"/>
      <c r="G104" s="363"/>
      <c r="H104" s="784"/>
      <c r="I104" s="784"/>
      <c r="J104" s="931" t="s">
        <v>475</v>
      </c>
      <c r="K104" s="926"/>
      <c r="L104" s="926"/>
      <c r="M104" s="926"/>
      <c r="N104" s="927"/>
      <c r="O104" s="926" t="s">
        <v>476</v>
      </c>
      <c r="P104" s="926"/>
      <c r="Q104" s="926"/>
      <c r="R104" s="926"/>
      <c r="S104" s="926"/>
      <c r="T104" s="926"/>
      <c r="U104" s="926"/>
      <c r="V104" s="926"/>
      <c r="W104" s="927"/>
      <c r="X104" s="525"/>
    </row>
    <row r="105" spans="2:25" ht="53.25" customHeight="1" thickBot="1" x14ac:dyDescent="0.3">
      <c r="B105" s="393" t="s">
        <v>93</v>
      </c>
      <c r="C105" s="394" t="s">
        <v>94</v>
      </c>
      <c r="D105" s="353" t="s">
        <v>971</v>
      </c>
      <c r="E105" s="338"/>
      <c r="F105" s="338" t="s">
        <v>941</v>
      </c>
      <c r="G105" s="354"/>
      <c r="H105" s="461"/>
      <c r="I105" s="450" t="s">
        <v>469</v>
      </c>
      <c r="J105" s="348" t="s">
        <v>470</v>
      </c>
      <c r="K105" s="338"/>
      <c r="L105" s="354" t="s">
        <v>942</v>
      </c>
      <c r="M105" s="461"/>
      <c r="N105" s="349"/>
      <c r="O105" s="348" t="s">
        <v>471</v>
      </c>
      <c r="P105" s="463"/>
      <c r="Q105" s="342" t="s">
        <v>943</v>
      </c>
      <c r="R105" s="342" t="s">
        <v>944</v>
      </c>
      <c r="S105" s="342"/>
      <c r="T105" s="342" t="s">
        <v>901</v>
      </c>
      <c r="U105" s="338" t="s">
        <v>462</v>
      </c>
      <c r="V105" s="338" t="s">
        <v>460</v>
      </c>
      <c r="W105" s="462" t="s">
        <v>945</v>
      </c>
      <c r="X105" s="525"/>
    </row>
    <row r="106" spans="2:25" x14ac:dyDescent="0.25">
      <c r="B106" s="339" t="s">
        <v>379</v>
      </c>
      <c r="C106" s="350" t="s">
        <v>383</v>
      </c>
      <c r="D106" s="505">
        <f>IFERROR(VLOOKUP(B106,Unbundled_2015_16_Tariff,3,FALSE),"Not found in 2015/16 s118")</f>
        <v>655</v>
      </c>
      <c r="E106" s="785"/>
      <c r="F106" s="499">
        <f>VLOOKUP(B106,AKI_Tariff_Calc,15,FALSE)</f>
        <v>636.3787959987269</v>
      </c>
      <c r="G106" s="790"/>
      <c r="H106" s="787"/>
      <c r="I106" s="723">
        <f>VLOOKUP(B106,AKI_Tariff_Calc,3,FALSE)</f>
        <v>2329</v>
      </c>
      <c r="J106" s="840"/>
      <c r="K106" s="787"/>
      <c r="L106" s="790"/>
      <c r="M106" s="787"/>
      <c r="N106" s="723"/>
      <c r="O106" s="829" t="s">
        <v>472</v>
      </c>
      <c r="P106" s="829"/>
      <c r="Q106" s="725">
        <f t="shared" ref="Q106" si="27">IF(O106="Modelled",F106,IF(O106="Adjusted",L106,"Error"))</f>
        <v>636.3787959987269</v>
      </c>
      <c r="R106" s="725">
        <f>+Q106*$Q$109</f>
        <v>636.3787959987269</v>
      </c>
      <c r="S106" s="841"/>
      <c r="T106" s="730">
        <f>Scaling_AKI</f>
        <v>-7.9304478192572025E-2</v>
      </c>
      <c r="U106" s="730">
        <f t="shared" ref="U106:U107" si="28">Inflation_Efficiency_2016_17</f>
        <v>0</v>
      </c>
      <c r="V106" s="732">
        <v>0</v>
      </c>
      <c r="W106" s="792">
        <f>R106*(1+T106)*(1+U106)*(1+V106)</f>
        <v>585.91110764923064</v>
      </c>
      <c r="X106" s="525"/>
    </row>
    <row r="107" spans="2:25" ht="23.25" thickBot="1" x14ac:dyDescent="0.3">
      <c r="B107" s="835" t="s">
        <v>381</v>
      </c>
      <c r="C107" s="446" t="s">
        <v>385</v>
      </c>
      <c r="D107" s="511" t="str">
        <f>IFERROR(VLOOKUP(B107,Unbundled_2015_16_Tariff,3,FALSE),"Not found in 2015/16 s118")</f>
        <v>Not found in 2015/16 s118</v>
      </c>
      <c r="E107" s="801"/>
      <c r="F107" s="501">
        <f>VLOOKUP(B107,AKI_Tariff_Calc,15,FALSE)</f>
        <v>364.29716098425939</v>
      </c>
      <c r="G107" s="842"/>
      <c r="H107" s="843"/>
      <c r="I107" s="844">
        <f>VLOOKUP(B107,AKI_Tariff_Calc,3,FALSE)</f>
        <v>79</v>
      </c>
      <c r="J107" s="845"/>
      <c r="K107" s="843"/>
      <c r="L107" s="807"/>
      <c r="M107" s="804"/>
      <c r="N107" s="755"/>
      <c r="O107" s="839" t="s">
        <v>472</v>
      </c>
      <c r="P107" s="839"/>
      <c r="Q107" s="802">
        <f>IF(O107="Modelled",F107,IF(O107="Adjusted",L107,"Error"))</f>
        <v>364.29716098425939</v>
      </c>
      <c r="R107" s="802">
        <f>+Q107*$Q$109</f>
        <v>364.29716098425939</v>
      </c>
      <c r="S107" s="846"/>
      <c r="T107" s="762">
        <f>Scaling_DI</f>
        <v>-7.9304478192572025E-2</v>
      </c>
      <c r="U107" s="811">
        <f t="shared" si="28"/>
        <v>0</v>
      </c>
      <c r="V107" s="813">
        <v>0</v>
      </c>
      <c r="W107" s="814">
        <f>R107*(1+T107)*(1+U107)*(1+V107)</f>
        <v>335.40676472536728</v>
      </c>
      <c r="X107" s="525"/>
    </row>
    <row r="108" spans="2:25" ht="15.75" thickBot="1" x14ac:dyDescent="0.3">
      <c r="B108" s="525"/>
      <c r="C108" s="525"/>
      <c r="D108" s="525"/>
      <c r="E108" s="767" t="s">
        <v>957</v>
      </c>
      <c r="F108" s="519">
        <f>SUMPRODUCT(F$106:F$107,$I$106:$I$107)</f>
        <v>1510905.6915987914</v>
      </c>
      <c r="G108" s="768"/>
      <c r="H108" s="768"/>
      <c r="I108" s="768"/>
      <c r="J108" s="768"/>
      <c r="K108" s="768"/>
      <c r="L108" s="768"/>
      <c r="M108" s="768"/>
      <c r="N108" s="768"/>
      <c r="O108" s="525"/>
      <c r="P108" s="767" t="s">
        <v>958</v>
      </c>
      <c r="Q108" s="519">
        <f>SUMPRODUCT(Q$106:Q$107,$I$106:$I$107)</f>
        <v>1510905.6915987914</v>
      </c>
      <c r="R108" s="519">
        <f>SUMPRODUCT(R$106:R$107,$I$106:$I$107)</f>
        <v>1510905.6915987914</v>
      </c>
      <c r="S108" s="333"/>
      <c r="T108" s="525"/>
      <c r="U108" s="525"/>
      <c r="V108" s="525"/>
      <c r="W108" s="525"/>
      <c r="X108" s="525"/>
    </row>
    <row r="109" spans="2:25" ht="15.75" thickBot="1" x14ac:dyDescent="0.3">
      <c r="B109" s="768" t="s">
        <v>914</v>
      </c>
      <c r="C109" s="525"/>
      <c r="D109" s="525"/>
      <c r="E109" s="525"/>
      <c r="F109" s="525"/>
      <c r="G109" s="525"/>
      <c r="H109" s="525"/>
      <c r="I109" s="525"/>
      <c r="J109" s="525"/>
      <c r="K109" s="525"/>
      <c r="L109" s="525"/>
      <c r="M109" s="525"/>
      <c r="N109" s="525"/>
      <c r="O109" s="817" t="s">
        <v>473</v>
      </c>
      <c r="P109" s="818"/>
      <c r="Q109" s="819">
        <f>+F108/Q108</f>
        <v>1</v>
      </c>
      <c r="R109" s="773">
        <f>+F108/R108-1</f>
        <v>0</v>
      </c>
      <c r="S109" s="773"/>
      <c r="T109" s="525"/>
      <c r="U109" s="525"/>
      <c r="V109" s="525"/>
      <c r="W109" s="525"/>
      <c r="X109" s="525"/>
    </row>
  </sheetData>
  <mergeCells count="9">
    <mergeCell ref="O104:W104"/>
    <mergeCell ref="O13:X13"/>
    <mergeCell ref="O63:W63"/>
    <mergeCell ref="O76:W76"/>
    <mergeCell ref="J13:N13"/>
    <mergeCell ref="J63:N63"/>
    <mergeCell ref="J76:N76"/>
    <mergeCell ref="J104:N104"/>
    <mergeCell ref="O58:P58"/>
  </mergeCells>
  <dataValidations count="1">
    <dataValidation type="list" allowBlank="1" showInputMessage="1" showErrorMessage="1" sqref="O106:P107 O78:P98 O65:P70 O15:P57">
      <formula1>"Modelled,Adjusted"</formula1>
    </dataValidation>
  </dataValidations>
  <hyperlinks>
    <hyperlink ref="B1" location="Navigation!A1" display="Home"/>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J98"/>
  <sheetViews>
    <sheetView zoomScaleNormal="100" workbookViewId="0"/>
  </sheetViews>
  <sheetFormatPr defaultColWidth="9.140625" defaultRowHeight="12.75" x14ac:dyDescent="0.2"/>
  <cols>
    <col min="1" max="1" width="1.140625" style="55" customWidth="1"/>
    <col min="2" max="2" width="9.5703125" style="55" customWidth="1"/>
    <col min="3" max="3" width="81.140625" style="55" bestFit="1" customWidth="1"/>
    <col min="4" max="4" width="16.5703125" style="55" customWidth="1"/>
    <col min="5" max="5" width="11.42578125" style="55" customWidth="1"/>
    <col min="6" max="6" width="3.85546875" style="55" customWidth="1"/>
    <col min="7" max="8" width="9.140625" style="55"/>
    <col min="9" max="9" width="11.85546875" style="55" bestFit="1" customWidth="1"/>
    <col min="10" max="16384" width="9.140625" style="55"/>
  </cols>
  <sheetData>
    <row r="1" spans="1:10" ht="12.75" customHeight="1" x14ac:dyDescent="0.2">
      <c r="B1" s="53" t="s">
        <v>919</v>
      </c>
      <c r="C1" s="54"/>
    </row>
    <row r="2" spans="1:10" ht="11.25" customHeight="1" x14ac:dyDescent="0.2">
      <c r="B2" s="173" t="s">
        <v>377</v>
      </c>
      <c r="C2" s="41"/>
      <c r="I2" s="156"/>
    </row>
    <row r="3" spans="1:10" s="58" customFormat="1" x14ac:dyDescent="0.2">
      <c r="B3" s="57" t="s">
        <v>254</v>
      </c>
      <c r="C3" s="42"/>
      <c r="D3" s="43"/>
      <c r="F3" s="55"/>
      <c r="I3" s="156"/>
    </row>
    <row r="4" spans="1:10" x14ac:dyDescent="0.2">
      <c r="B4" s="8"/>
      <c r="C4" s="41"/>
      <c r="D4" s="7"/>
      <c r="E4" s="60"/>
    </row>
    <row r="5" spans="1:10" x14ac:dyDescent="0.2">
      <c r="B5" s="9">
        <v>1</v>
      </c>
      <c r="C5" s="173" t="s">
        <v>169</v>
      </c>
      <c r="D5" s="7"/>
      <c r="E5" s="60"/>
      <c r="J5" s="147"/>
    </row>
    <row r="6" spans="1:10" x14ac:dyDescent="0.2">
      <c r="B6" s="9">
        <v>2</v>
      </c>
      <c r="C6" s="173" t="s">
        <v>143</v>
      </c>
      <c r="D6" s="7"/>
      <c r="E6" s="60"/>
    </row>
    <row r="7" spans="1:10" x14ac:dyDescent="0.2">
      <c r="B7" s="9">
        <v>3</v>
      </c>
      <c r="C7" s="173" t="s">
        <v>149</v>
      </c>
      <c r="D7" s="7"/>
      <c r="E7" s="60"/>
    </row>
    <row r="8" spans="1:10" x14ac:dyDescent="0.2">
      <c r="B8" s="9">
        <v>4</v>
      </c>
      <c r="C8" s="173" t="s">
        <v>477</v>
      </c>
      <c r="D8" s="7"/>
      <c r="E8" s="60"/>
    </row>
    <row r="9" spans="1:10" ht="13.5" thickBot="1" x14ac:dyDescent="0.25">
      <c r="B9" s="477"/>
      <c r="C9" s="478"/>
      <c r="D9" s="7"/>
      <c r="E9" s="108"/>
    </row>
    <row r="10" spans="1:10" x14ac:dyDescent="0.2">
      <c r="B10" s="109"/>
      <c r="C10" s="110"/>
      <c r="D10" s="111"/>
      <c r="E10" s="112"/>
      <c r="F10" s="113"/>
    </row>
    <row r="11" spans="1:10" ht="15.75" x14ac:dyDescent="0.2">
      <c r="B11" s="114">
        <v>1</v>
      </c>
      <c r="C11" s="115" t="s">
        <v>169</v>
      </c>
      <c r="D11" s="7"/>
      <c r="E11" s="7"/>
      <c r="F11" s="116"/>
    </row>
    <row r="12" spans="1:10" ht="13.5" thickBot="1" x14ac:dyDescent="0.25">
      <c r="B12" s="390" t="s">
        <v>486</v>
      </c>
      <c r="C12" s="117"/>
      <c r="D12" s="7"/>
      <c r="E12" s="7"/>
      <c r="F12" s="116"/>
    </row>
    <row r="13" spans="1:10" ht="34.5" thickBot="1" x14ac:dyDescent="0.25">
      <c r="B13" s="44" t="s">
        <v>93</v>
      </c>
      <c r="C13" s="45" t="s">
        <v>94</v>
      </c>
      <c r="D13" s="479" t="s">
        <v>95</v>
      </c>
      <c r="E13" s="46" t="s">
        <v>96</v>
      </c>
      <c r="F13" s="116"/>
    </row>
    <row r="14" spans="1:10" x14ac:dyDescent="0.2">
      <c r="B14" s="375" t="s">
        <v>179</v>
      </c>
      <c r="C14" s="118" t="s">
        <v>316</v>
      </c>
      <c r="D14" s="480">
        <f>'Manual adjustments'!W15</f>
        <v>118.1143423185887</v>
      </c>
      <c r="E14" s="481">
        <f>'Manual adjustments'!X15</f>
        <v>22</v>
      </c>
      <c r="F14" s="116"/>
    </row>
    <row r="15" spans="1:10" x14ac:dyDescent="0.2">
      <c r="B15" s="47" t="s">
        <v>180</v>
      </c>
      <c r="C15" s="61" t="s">
        <v>317</v>
      </c>
      <c r="D15" s="141">
        <f>'Manual adjustments'!W16</f>
        <v>124.02005943451813</v>
      </c>
      <c r="E15" s="179">
        <f>'Manual adjustments'!X16</f>
        <v>22</v>
      </c>
      <c r="F15" s="116"/>
    </row>
    <row r="16" spans="1:10" s="56" customFormat="1" x14ac:dyDescent="0.2">
      <c r="A16" s="55"/>
      <c r="B16" s="47" t="s">
        <v>181</v>
      </c>
      <c r="C16" s="61" t="s">
        <v>318</v>
      </c>
      <c r="D16" s="141">
        <f>'Manual adjustments'!W17</f>
        <v>135.83149366637701</v>
      </c>
      <c r="E16" s="179">
        <f>'Manual adjustments'!X17</f>
        <v>22</v>
      </c>
      <c r="F16" s="116"/>
    </row>
    <row r="17" spans="1:6" s="56" customFormat="1" x14ac:dyDescent="0.2">
      <c r="A17" s="55"/>
      <c r="B17" s="47" t="s">
        <v>182</v>
      </c>
      <c r="C17" s="61" t="s">
        <v>319</v>
      </c>
      <c r="D17" s="141">
        <f>'Manual adjustments'!W18</f>
        <v>166.66562109208701</v>
      </c>
      <c r="E17" s="179">
        <f>'Manual adjustments'!X18</f>
        <v>22</v>
      </c>
      <c r="F17" s="116"/>
    </row>
    <row r="18" spans="1:6" s="56" customFormat="1" x14ac:dyDescent="0.2">
      <c r="A18" s="55"/>
      <c r="B18" s="47" t="s">
        <v>183</v>
      </c>
      <c r="C18" s="61" t="s">
        <v>320</v>
      </c>
      <c r="D18" s="141">
        <f>'Manual adjustments'!W19</f>
        <v>172.50078342632773</v>
      </c>
      <c r="E18" s="179">
        <f>'Manual adjustments'!X19</f>
        <v>22</v>
      </c>
      <c r="F18" s="116"/>
    </row>
    <row r="19" spans="1:6" s="56" customFormat="1" x14ac:dyDescent="0.2">
      <c r="A19" s="55"/>
      <c r="B19" s="47" t="s">
        <v>184</v>
      </c>
      <c r="C19" s="61" t="s">
        <v>321</v>
      </c>
      <c r="D19" s="141">
        <f>'Manual adjustments'!W20</f>
        <v>162.51097626503301</v>
      </c>
      <c r="E19" s="179">
        <f>'Manual adjustments'!X20</f>
        <v>22</v>
      </c>
      <c r="F19" s="116"/>
    </row>
    <row r="20" spans="1:6" s="56" customFormat="1" x14ac:dyDescent="0.2">
      <c r="A20" s="55"/>
      <c r="B20" s="47" t="s">
        <v>97</v>
      </c>
      <c r="C20" s="61" t="s">
        <v>98</v>
      </c>
      <c r="D20" s="482">
        <f>'Manual adjustments'!W21</f>
        <v>136.08001300166441</v>
      </c>
      <c r="E20" s="140">
        <f>'Manual adjustments'!X21</f>
        <v>22</v>
      </c>
      <c r="F20" s="116"/>
    </row>
    <row r="21" spans="1:6" s="56" customFormat="1" x14ac:dyDescent="0.2">
      <c r="A21" s="55"/>
      <c r="B21" s="47" t="s">
        <v>99</v>
      </c>
      <c r="C21" s="61" t="s">
        <v>322</v>
      </c>
      <c r="D21" s="482">
        <f>'Manual adjustments'!W22</f>
        <v>141.73721078230645</v>
      </c>
      <c r="E21" s="140">
        <f>'Manual adjustments'!X22</f>
        <v>22</v>
      </c>
      <c r="F21" s="116"/>
    </row>
    <row r="22" spans="1:6" s="56" customFormat="1" x14ac:dyDescent="0.2">
      <c r="A22" s="55"/>
      <c r="B22" s="47" t="s">
        <v>101</v>
      </c>
      <c r="C22" s="61" t="s">
        <v>323</v>
      </c>
      <c r="D22" s="482">
        <f>'Manual adjustments'!W23</f>
        <v>166.66562109208701</v>
      </c>
      <c r="E22" s="140">
        <f>'Manual adjustments'!X23</f>
        <v>28</v>
      </c>
      <c r="F22" s="116"/>
    </row>
    <row r="23" spans="1:6" s="56" customFormat="1" x14ac:dyDescent="0.2">
      <c r="A23" s="55"/>
      <c r="B23" s="47" t="s">
        <v>103</v>
      </c>
      <c r="C23" s="61" t="s">
        <v>104</v>
      </c>
      <c r="D23" s="482">
        <f>'Manual adjustments'!W24</f>
        <v>190.28848955580474</v>
      </c>
      <c r="E23" s="140">
        <f>'Manual adjustments'!X24</f>
        <v>28</v>
      </c>
      <c r="F23" s="116"/>
    </row>
    <row r="24" spans="1:6" s="56" customFormat="1" x14ac:dyDescent="0.2">
      <c r="A24" s="55"/>
      <c r="B24" s="48" t="s">
        <v>105</v>
      </c>
      <c r="C24" s="49" t="s">
        <v>106</v>
      </c>
      <c r="D24" s="483">
        <f>'Manual adjustments'!W25</f>
        <v>212.66986660076245</v>
      </c>
      <c r="E24" s="484">
        <f>'Manual adjustments'!X25</f>
        <v>28</v>
      </c>
      <c r="F24" s="116"/>
    </row>
    <row r="25" spans="1:6" s="56" customFormat="1" x14ac:dyDescent="0.2">
      <c r="A25" s="55"/>
      <c r="B25" s="47" t="s">
        <v>185</v>
      </c>
      <c r="C25" s="61" t="s">
        <v>324</v>
      </c>
      <c r="D25" s="141">
        <f>'Manual adjustments'!W26</f>
        <v>67.921165979787887</v>
      </c>
      <c r="E25" s="179">
        <f>'Manual adjustments'!X26</f>
        <v>20</v>
      </c>
      <c r="F25" s="116"/>
    </row>
    <row r="26" spans="1:6" s="56" customFormat="1" x14ac:dyDescent="0.2">
      <c r="A26" s="55"/>
      <c r="B26" s="47" t="s">
        <v>186</v>
      </c>
      <c r="C26" s="61" t="s">
        <v>325</v>
      </c>
      <c r="D26" s="141">
        <f>'Manual adjustments'!W27</f>
        <v>71.317224278777303</v>
      </c>
      <c r="E26" s="179">
        <f>'Manual adjustments'!X27</f>
        <v>20</v>
      </c>
      <c r="F26" s="116"/>
    </row>
    <row r="27" spans="1:6" s="56" customFormat="1" x14ac:dyDescent="0.2">
      <c r="A27" s="55"/>
      <c r="B27" s="47" t="s">
        <v>187</v>
      </c>
      <c r="C27" s="61" t="s">
        <v>326</v>
      </c>
      <c r="D27" s="141">
        <f>'Manual adjustments'!W28</f>
        <v>78.109340876756079</v>
      </c>
      <c r="E27" s="179">
        <f>'Manual adjustments'!X28</f>
        <v>20</v>
      </c>
      <c r="F27" s="116"/>
    </row>
    <row r="28" spans="1:6" s="56" customFormat="1" x14ac:dyDescent="0.2">
      <c r="A28" s="55"/>
      <c r="B28" s="47" t="s">
        <v>188</v>
      </c>
      <c r="C28" s="61" t="s">
        <v>327</v>
      </c>
      <c r="D28" s="141">
        <f>'Manual adjustments'!W29</f>
        <v>81.770282818554861</v>
      </c>
      <c r="E28" s="179">
        <f>'Manual adjustments'!X29</f>
        <v>20</v>
      </c>
      <c r="F28" s="116"/>
    </row>
    <row r="29" spans="1:6" s="56" customFormat="1" x14ac:dyDescent="0.2">
      <c r="A29" s="55"/>
      <c r="B29" s="47" t="s">
        <v>189</v>
      </c>
      <c r="C29" s="61" t="s">
        <v>328</v>
      </c>
      <c r="D29" s="141">
        <f>'Manual adjustments'!W30</f>
        <v>85.166341117544277</v>
      </c>
      <c r="E29" s="179">
        <f>'Manual adjustments'!X30</f>
        <v>20</v>
      </c>
      <c r="F29" s="116"/>
    </row>
    <row r="30" spans="1:6" x14ac:dyDescent="0.2">
      <c r="B30" s="47" t="s">
        <v>190</v>
      </c>
      <c r="C30" s="61" t="s">
        <v>329</v>
      </c>
      <c r="D30" s="141">
        <f>'Manual adjustments'!W31</f>
        <v>91.958457715523039</v>
      </c>
      <c r="E30" s="179">
        <f>'Manual adjustments'!X31</f>
        <v>20</v>
      </c>
      <c r="F30" s="116"/>
    </row>
    <row r="31" spans="1:6" x14ac:dyDescent="0.2">
      <c r="B31" s="47" t="s">
        <v>107</v>
      </c>
      <c r="C31" s="61" t="s">
        <v>108</v>
      </c>
      <c r="D31" s="141">
        <f>'Manual adjustments'!W32</f>
        <v>95.354516014512456</v>
      </c>
      <c r="E31" s="140">
        <f>'Manual adjustments'!X32</f>
        <v>20</v>
      </c>
      <c r="F31" s="116"/>
    </row>
    <row r="32" spans="1:6" x14ac:dyDescent="0.2">
      <c r="B32" s="47" t="s">
        <v>109</v>
      </c>
      <c r="C32" s="61" t="s">
        <v>110</v>
      </c>
      <c r="D32" s="141">
        <f>'Manual adjustments'!W33</f>
        <v>74.713282577766677</v>
      </c>
      <c r="E32" s="140">
        <f>'Manual adjustments'!X33</f>
        <v>20</v>
      </c>
      <c r="F32" s="116"/>
    </row>
    <row r="33" spans="2:6" x14ac:dyDescent="0.2">
      <c r="B33" s="47" t="s">
        <v>111</v>
      </c>
      <c r="C33" s="61" t="s">
        <v>112</v>
      </c>
      <c r="D33" s="141">
        <f>'Manual adjustments'!W34</f>
        <v>88.562399416533665</v>
      </c>
      <c r="E33" s="140">
        <f>'Manual adjustments'!X34</f>
        <v>27</v>
      </c>
      <c r="F33" s="116"/>
    </row>
    <row r="34" spans="2:6" x14ac:dyDescent="0.2">
      <c r="B34" s="47" t="s">
        <v>115</v>
      </c>
      <c r="C34" s="61" t="s">
        <v>116</v>
      </c>
      <c r="D34" s="141">
        <f>'Manual adjustments'!W35</f>
        <v>95.354516014512456</v>
      </c>
      <c r="E34" s="140">
        <f>'Manual adjustments'!X35</f>
        <v>27</v>
      </c>
      <c r="F34" s="116"/>
    </row>
    <row r="35" spans="2:6" x14ac:dyDescent="0.2">
      <c r="B35" s="47" t="s">
        <v>117</v>
      </c>
      <c r="C35" s="61" t="s">
        <v>118</v>
      </c>
      <c r="D35" s="141">
        <f>'Manual adjustments'!W36</f>
        <v>102.14663261249125</v>
      </c>
      <c r="E35" s="140">
        <f>'Manual adjustments'!X36</f>
        <v>27</v>
      </c>
      <c r="F35" s="116"/>
    </row>
    <row r="36" spans="2:6" x14ac:dyDescent="0.2">
      <c r="B36" s="47" t="s">
        <v>113</v>
      </c>
      <c r="C36" s="61" t="s">
        <v>114</v>
      </c>
      <c r="D36" s="141">
        <f>'Manual adjustments'!W49</f>
        <v>81.505399175745467</v>
      </c>
      <c r="E36" s="140">
        <f>'Manual adjustments'!X49</f>
        <v>27</v>
      </c>
      <c r="F36" s="116"/>
    </row>
    <row r="37" spans="2:6" ht="13.5" thickBot="1" x14ac:dyDescent="0.25">
      <c r="B37" s="447" t="s">
        <v>442</v>
      </c>
      <c r="C37" s="139" t="s">
        <v>443</v>
      </c>
      <c r="D37" s="143">
        <f>'Manual adjustments'!W57</f>
        <v>203.44910367689758</v>
      </c>
      <c r="E37" s="145">
        <f>'Manual adjustments'!X57</f>
        <v>20</v>
      </c>
      <c r="F37" s="116"/>
    </row>
    <row r="38" spans="2:6" x14ac:dyDescent="0.2">
      <c r="B38" s="376" t="s">
        <v>119</v>
      </c>
      <c r="C38" s="182" t="s">
        <v>120</v>
      </c>
      <c r="D38" s="183">
        <f>'Manual adjustments'!W37</f>
        <v>55.420142645749443</v>
      </c>
      <c r="E38" s="184">
        <f>'Manual adjustments'!X37</f>
        <v>10.01</v>
      </c>
      <c r="F38" s="116"/>
    </row>
    <row r="39" spans="2:6" x14ac:dyDescent="0.2">
      <c r="B39" s="47" t="s">
        <v>121</v>
      </c>
      <c r="C39" s="61" t="s">
        <v>330</v>
      </c>
      <c r="D39" s="141">
        <f>'Manual adjustments'!W38</f>
        <v>81.160872031080729</v>
      </c>
      <c r="E39" s="423">
        <f>'Manual adjustments'!X38</f>
        <v>0</v>
      </c>
      <c r="F39" s="116"/>
    </row>
    <row r="40" spans="2:6" x14ac:dyDescent="0.2">
      <c r="B40" s="47" t="s">
        <v>123</v>
      </c>
      <c r="C40" s="61" t="s">
        <v>331</v>
      </c>
      <c r="D40" s="141">
        <f>'Manual adjustments'!W39</f>
        <v>121.74130804662107</v>
      </c>
      <c r="E40" s="423">
        <f>'Manual adjustments'!X39</f>
        <v>0</v>
      </c>
      <c r="F40" s="116"/>
    </row>
    <row r="41" spans="2:6" x14ac:dyDescent="0.2">
      <c r="B41" s="48" t="s">
        <v>125</v>
      </c>
      <c r="C41" s="62" t="s">
        <v>332</v>
      </c>
      <c r="D41" s="142">
        <f>'Manual adjustments'!W40</f>
        <v>164.09320909472683</v>
      </c>
      <c r="E41" s="424">
        <f>'Manual adjustments'!X40</f>
        <v>0</v>
      </c>
      <c r="F41" s="116"/>
    </row>
    <row r="42" spans="2:6" x14ac:dyDescent="0.2">
      <c r="B42" s="47" t="s">
        <v>127</v>
      </c>
      <c r="C42" s="61" t="s">
        <v>333</v>
      </c>
      <c r="D42" s="141">
        <f>'Manual adjustments'!W41</f>
        <v>40.6841658216917</v>
      </c>
      <c r="E42" s="423">
        <f>'Manual adjustments'!X41</f>
        <v>0</v>
      </c>
      <c r="F42" s="116"/>
    </row>
    <row r="43" spans="2:6" x14ac:dyDescent="0.2">
      <c r="B43" s="48" t="s">
        <v>129</v>
      </c>
      <c r="C43" s="62" t="s">
        <v>334</v>
      </c>
      <c r="D43" s="142">
        <f>'Manual adjustments'!W42</f>
        <v>49.836023086877233</v>
      </c>
      <c r="E43" s="424">
        <f>'Manual adjustments'!X42</f>
        <v>0</v>
      </c>
      <c r="F43" s="116"/>
    </row>
    <row r="44" spans="2:6" x14ac:dyDescent="0.2">
      <c r="B44" s="47" t="s">
        <v>131</v>
      </c>
      <c r="C44" s="61" t="s">
        <v>335</v>
      </c>
      <c r="D44" s="141">
        <f>'Manual adjustments'!W43</f>
        <v>142.41880689530331</v>
      </c>
      <c r="E44" s="180">
        <f>'Manual adjustments'!X43</f>
        <v>19</v>
      </c>
      <c r="F44" s="116"/>
    </row>
    <row r="45" spans="2:6" x14ac:dyDescent="0.2">
      <c r="B45" s="47" t="s">
        <v>133</v>
      </c>
      <c r="C45" s="61" t="s">
        <v>336</v>
      </c>
      <c r="D45" s="141">
        <f>'Manual adjustments'!W44</f>
        <v>170.69365305023618</v>
      </c>
      <c r="E45" s="180">
        <f>'Manual adjustments'!X44</f>
        <v>19</v>
      </c>
      <c r="F45" s="116"/>
    </row>
    <row r="46" spans="2:6" x14ac:dyDescent="0.2">
      <c r="B46" s="47" t="s">
        <v>135</v>
      </c>
      <c r="C46" s="61" t="s">
        <v>337</v>
      </c>
      <c r="D46" s="141">
        <f>'Manual adjustments'!W45</f>
        <v>193.91887021679219</v>
      </c>
      <c r="E46" s="180">
        <f>'Manual adjustments'!X45</f>
        <v>25</v>
      </c>
      <c r="F46" s="116"/>
    </row>
    <row r="47" spans="2:6" x14ac:dyDescent="0.2">
      <c r="B47" s="47" t="s">
        <v>137</v>
      </c>
      <c r="C47" s="61" t="s">
        <v>338</v>
      </c>
      <c r="D47" s="141">
        <f>'Manual adjustments'!W46</f>
        <v>254.56811670554686</v>
      </c>
      <c r="E47" s="180">
        <f>'Manual adjustments'!X46</f>
        <v>25</v>
      </c>
      <c r="F47" s="116"/>
    </row>
    <row r="48" spans="2:6" x14ac:dyDescent="0.2">
      <c r="B48" s="47" t="s">
        <v>139</v>
      </c>
      <c r="C48" s="61" t="s">
        <v>339</v>
      </c>
      <c r="D48" s="141">
        <f>'Manual adjustments'!W47</f>
        <v>287.11667516578819</v>
      </c>
      <c r="E48" s="180">
        <f>'Manual adjustments'!X47</f>
        <v>52</v>
      </c>
      <c r="F48" s="116"/>
    </row>
    <row r="49" spans="1:6" x14ac:dyDescent="0.2">
      <c r="B49" s="48" t="s">
        <v>141</v>
      </c>
      <c r="C49" s="62" t="s">
        <v>340</v>
      </c>
      <c r="D49" s="142">
        <f>'Manual adjustments'!W48</f>
        <v>370.85694220410898</v>
      </c>
      <c r="E49" s="181">
        <f>'Manual adjustments'!X48</f>
        <v>52</v>
      </c>
      <c r="F49" s="116"/>
    </row>
    <row r="50" spans="1:6" x14ac:dyDescent="0.2">
      <c r="B50" s="47" t="s">
        <v>191</v>
      </c>
      <c r="C50" s="61" t="s">
        <v>341</v>
      </c>
      <c r="D50" s="141">
        <f>'Manual adjustments'!W50</f>
        <v>51.60433976221335</v>
      </c>
      <c r="E50" s="425">
        <f>'Manual adjustments'!X50</f>
        <v>0</v>
      </c>
      <c r="F50" s="116"/>
    </row>
    <row r="51" spans="1:6" x14ac:dyDescent="0.2">
      <c r="B51" s="47" t="s">
        <v>192</v>
      </c>
      <c r="C51" s="61" t="s">
        <v>342</v>
      </c>
      <c r="D51" s="141">
        <f>'Manual adjustments'!W51</f>
        <v>52.377676706296036</v>
      </c>
      <c r="E51" s="425">
        <f>'Manual adjustments'!X51</f>
        <v>0</v>
      </c>
      <c r="F51" s="116"/>
    </row>
    <row r="52" spans="1:6" x14ac:dyDescent="0.2">
      <c r="B52" s="48" t="s">
        <v>193</v>
      </c>
      <c r="C52" s="62" t="s">
        <v>343</v>
      </c>
      <c r="D52" s="142">
        <f>'Manual adjustments'!W52</f>
        <v>60.234328212240435</v>
      </c>
      <c r="E52" s="426">
        <f>'Manual adjustments'!X52</f>
        <v>0</v>
      </c>
      <c r="F52" s="116"/>
    </row>
    <row r="53" spans="1:6" x14ac:dyDescent="0.2">
      <c r="B53" s="47" t="s">
        <v>194</v>
      </c>
      <c r="C53" s="61" t="s">
        <v>344</v>
      </c>
      <c r="D53" s="141">
        <f>'Manual adjustments'!W53</f>
        <v>312.93271865832787</v>
      </c>
      <c r="E53" s="144">
        <f>'Manual adjustments'!X53</f>
        <v>28</v>
      </c>
      <c r="F53" s="116"/>
    </row>
    <row r="54" spans="1:6" x14ac:dyDescent="0.2">
      <c r="B54" s="47" t="s">
        <v>195</v>
      </c>
      <c r="C54" s="61" t="s">
        <v>345</v>
      </c>
      <c r="D54" s="141">
        <f>'Manual adjustments'!W54</f>
        <v>406.81253425582622</v>
      </c>
      <c r="E54" s="144">
        <f>'Manual adjustments'!X54</f>
        <v>22</v>
      </c>
      <c r="F54" s="116"/>
    </row>
    <row r="55" spans="1:6" s="58" customFormat="1" ht="13.5" thickBot="1" x14ac:dyDescent="0.25">
      <c r="A55" s="55"/>
      <c r="B55" s="377" t="s">
        <v>196</v>
      </c>
      <c r="C55" s="139" t="s">
        <v>346</v>
      </c>
      <c r="D55" s="143">
        <f>'Manual adjustments'!W55</f>
        <v>435.80280868319244</v>
      </c>
      <c r="E55" s="145">
        <f>'Manual adjustments'!X55</f>
        <v>22</v>
      </c>
      <c r="F55" s="116"/>
    </row>
    <row r="56" spans="1:6" s="58" customFormat="1" ht="26.25" customHeight="1" x14ac:dyDescent="0.2">
      <c r="B56" s="881" t="s">
        <v>972</v>
      </c>
      <c r="C56" s="882" t="s">
        <v>973</v>
      </c>
      <c r="D56" s="374"/>
      <c r="E56" s="374"/>
      <c r="F56" s="116"/>
    </row>
    <row r="57" spans="1:6" s="58" customFormat="1" ht="15.75" x14ac:dyDescent="0.2">
      <c r="B57" s="119">
        <v>2</v>
      </c>
      <c r="C57" s="120" t="s">
        <v>143</v>
      </c>
      <c r="D57" s="108"/>
      <c r="E57" s="7"/>
      <c r="F57" s="116"/>
    </row>
    <row r="58" spans="1:6" s="58" customFormat="1" ht="13.5" thickBot="1" x14ac:dyDescent="0.25">
      <c r="B58" s="390" t="s">
        <v>486</v>
      </c>
      <c r="C58" s="59"/>
      <c r="D58" s="59"/>
      <c r="E58" s="122"/>
      <c r="F58" s="116"/>
    </row>
    <row r="59" spans="1:6" s="58" customFormat="1" ht="13.5" customHeight="1" thickBot="1" x14ac:dyDescent="0.25">
      <c r="B59" s="63" t="s">
        <v>93</v>
      </c>
      <c r="C59" s="64" t="s">
        <v>94</v>
      </c>
      <c r="D59" s="65" t="s">
        <v>145</v>
      </c>
      <c r="E59" s="59"/>
      <c r="F59" s="116"/>
    </row>
    <row r="60" spans="1:6" s="58" customFormat="1" x14ac:dyDescent="0.2">
      <c r="B60" s="50" t="s">
        <v>32</v>
      </c>
      <c r="C60" s="66" t="s">
        <v>146</v>
      </c>
      <c r="D60" s="146">
        <f>+'Manual adjustments'!W65</f>
        <v>110.43324786590139</v>
      </c>
      <c r="E60" s="59"/>
      <c r="F60" s="116"/>
    </row>
    <row r="61" spans="1:6" s="58" customFormat="1" x14ac:dyDescent="0.2">
      <c r="B61" s="50" t="s">
        <v>33</v>
      </c>
      <c r="C61" s="66" t="s">
        <v>347</v>
      </c>
      <c r="D61" s="146">
        <f>+'Manual adjustments'!W66</f>
        <v>138.04155983237675</v>
      </c>
      <c r="E61" s="59"/>
      <c r="F61" s="116"/>
    </row>
    <row r="62" spans="1:6" s="58" customFormat="1" x14ac:dyDescent="0.2">
      <c r="B62" s="50" t="s">
        <v>34</v>
      </c>
      <c r="C62" s="66" t="s">
        <v>348</v>
      </c>
      <c r="D62" s="146">
        <f>+'Manual adjustments'!W67</f>
        <v>276.0831196647535</v>
      </c>
      <c r="E62" s="59"/>
      <c r="F62" s="116"/>
    </row>
    <row r="63" spans="1:6" s="58" customFormat="1" x14ac:dyDescent="0.2">
      <c r="B63" s="50" t="s">
        <v>35</v>
      </c>
      <c r="C63" s="66" t="s">
        <v>349</v>
      </c>
      <c r="D63" s="146">
        <f>+'Manual adjustments'!W68</f>
        <v>414.12467949713016</v>
      </c>
      <c r="E63" s="59"/>
      <c r="F63" s="116"/>
    </row>
    <row r="64" spans="1:6" s="58" customFormat="1" x14ac:dyDescent="0.2">
      <c r="B64" s="50" t="s">
        <v>36</v>
      </c>
      <c r="C64" s="66" t="s">
        <v>147</v>
      </c>
      <c r="D64" s="146">
        <f>+'Manual adjustments'!W69</f>
        <v>276.0831196647535</v>
      </c>
      <c r="E64" s="59"/>
      <c r="F64" s="116"/>
    </row>
    <row r="65" spans="2:6" s="58" customFormat="1" ht="13.5" thickBot="1" x14ac:dyDescent="0.25">
      <c r="B65" s="51" t="s">
        <v>38</v>
      </c>
      <c r="C65" s="67" t="s">
        <v>148</v>
      </c>
      <c r="D65" s="427">
        <f>+'Manual adjustments'!W70</f>
        <v>0</v>
      </c>
      <c r="E65" s="59"/>
      <c r="F65" s="116"/>
    </row>
    <row r="66" spans="2:6" s="58" customFormat="1" ht="13.5" thickBot="1" x14ac:dyDescent="0.25">
      <c r="B66" s="123"/>
      <c r="C66" s="69"/>
      <c r="D66" s="69"/>
      <c r="E66" s="68"/>
      <c r="F66" s="116"/>
    </row>
    <row r="67" spans="2:6" s="58" customFormat="1" x14ac:dyDescent="0.2">
      <c r="B67" s="121"/>
      <c r="C67" s="59"/>
      <c r="D67" s="59"/>
      <c r="E67" s="122"/>
      <c r="F67" s="113"/>
    </row>
    <row r="68" spans="2:6" s="58" customFormat="1" ht="15.75" x14ac:dyDescent="0.2">
      <c r="B68" s="119">
        <v>3</v>
      </c>
      <c r="C68" s="120" t="s">
        <v>149</v>
      </c>
      <c r="D68" s="108"/>
      <c r="E68" s="7"/>
      <c r="F68" s="116"/>
    </row>
    <row r="69" spans="2:6" s="58" customFormat="1" ht="13.5" thickBot="1" x14ac:dyDescent="0.25">
      <c r="B69" s="390" t="s">
        <v>486</v>
      </c>
      <c r="C69" s="59"/>
      <c r="D69" s="59"/>
      <c r="E69" s="122"/>
      <c r="F69" s="116"/>
    </row>
    <row r="70" spans="2:6" s="58" customFormat="1" ht="13.5" customHeight="1" thickBot="1" x14ac:dyDescent="0.25">
      <c r="B70" s="63" t="s">
        <v>93</v>
      </c>
      <c r="C70" s="64" t="s">
        <v>94</v>
      </c>
      <c r="D70" s="65" t="s">
        <v>145</v>
      </c>
      <c r="E70" s="59"/>
      <c r="F70" s="116"/>
    </row>
    <row r="71" spans="2:6" s="58" customFormat="1" x14ac:dyDescent="0.2">
      <c r="B71" s="50" t="s">
        <v>0</v>
      </c>
      <c r="C71" s="66" t="s">
        <v>150</v>
      </c>
      <c r="D71" s="146">
        <f>+'Manual adjustments'!W78</f>
        <v>95.875187166209358</v>
      </c>
      <c r="E71" s="59"/>
      <c r="F71" s="116"/>
    </row>
    <row r="72" spans="2:6" s="58" customFormat="1" x14ac:dyDescent="0.2">
      <c r="B72" s="50" t="s">
        <v>1</v>
      </c>
      <c r="C72" s="66" t="s">
        <v>151</v>
      </c>
      <c r="D72" s="146">
        <f>+'Manual adjustments'!W79</f>
        <v>89.437756773024688</v>
      </c>
      <c r="E72" s="59"/>
      <c r="F72" s="116"/>
    </row>
    <row r="73" spans="2:6" s="58" customFormat="1" x14ac:dyDescent="0.2">
      <c r="B73" s="50" t="s">
        <v>2</v>
      </c>
      <c r="C73" s="66" t="s">
        <v>152</v>
      </c>
      <c r="D73" s="146">
        <f>+'Manual adjustments'!W80</f>
        <v>113.8894182765264</v>
      </c>
      <c r="E73" s="59"/>
      <c r="F73" s="116"/>
    </row>
    <row r="74" spans="2:6" s="58" customFormat="1" x14ac:dyDescent="0.2">
      <c r="B74" s="50" t="s">
        <v>3</v>
      </c>
      <c r="C74" s="66" t="s">
        <v>153</v>
      </c>
      <c r="D74" s="146">
        <f>+'Manual adjustments'!W81</f>
        <v>487.11946413597747</v>
      </c>
      <c r="E74" s="59"/>
      <c r="F74" s="116"/>
    </row>
    <row r="75" spans="2:6" s="58" customFormat="1" x14ac:dyDescent="0.2">
      <c r="B75" s="50" t="s">
        <v>4</v>
      </c>
      <c r="C75" s="66" t="s">
        <v>154</v>
      </c>
      <c r="D75" s="146">
        <f>+'Manual adjustments'!W82</f>
        <v>367.20559040762743</v>
      </c>
      <c r="E75" s="59"/>
      <c r="F75" s="116"/>
    </row>
    <row r="76" spans="2:6" s="58" customFormat="1" x14ac:dyDescent="0.2">
      <c r="B76" s="50" t="s">
        <v>43</v>
      </c>
      <c r="C76" s="66" t="s">
        <v>64</v>
      </c>
      <c r="D76" s="428">
        <f>+'Manual adjustments'!W83</f>
        <v>0</v>
      </c>
      <c r="E76" s="59"/>
      <c r="F76" s="116"/>
    </row>
    <row r="77" spans="2:6" s="58" customFormat="1" x14ac:dyDescent="0.2">
      <c r="B77" s="378" t="s">
        <v>5</v>
      </c>
      <c r="C77" s="379" t="s">
        <v>155</v>
      </c>
      <c r="D77" s="380">
        <f>+'Manual adjustments'!W84</f>
        <v>149.98979425266529</v>
      </c>
      <c r="E77" s="59"/>
      <c r="F77" s="116"/>
    </row>
    <row r="78" spans="2:6" s="58" customFormat="1" x14ac:dyDescent="0.2">
      <c r="B78" s="50" t="s">
        <v>45</v>
      </c>
      <c r="C78" s="66" t="s">
        <v>156</v>
      </c>
      <c r="D78" s="146">
        <f>+'Manual adjustments'!W85</f>
        <v>973.69955340455374</v>
      </c>
      <c r="E78" s="59"/>
      <c r="F78" s="116"/>
    </row>
    <row r="79" spans="2:6" s="58" customFormat="1" x14ac:dyDescent="0.2">
      <c r="B79" s="50" t="s">
        <v>46</v>
      </c>
      <c r="C79" s="66" t="s">
        <v>157</v>
      </c>
      <c r="D79" s="146">
        <f>+'Manual adjustments'!W86</f>
        <v>1447.834832275041</v>
      </c>
      <c r="E79" s="59"/>
      <c r="F79" s="116"/>
    </row>
    <row r="80" spans="2:6" s="58" customFormat="1" x14ac:dyDescent="0.2">
      <c r="B80" s="50" t="s">
        <v>6</v>
      </c>
      <c r="C80" s="66" t="s">
        <v>68</v>
      </c>
      <c r="D80" s="146">
        <f>+'Manual adjustments'!W87</f>
        <v>1437.863748476884</v>
      </c>
      <c r="E80" s="59"/>
      <c r="F80" s="116"/>
    </row>
    <row r="81" spans="2:6" s="58" customFormat="1" x14ac:dyDescent="0.2">
      <c r="B81" s="50" t="s">
        <v>7</v>
      </c>
      <c r="C81" s="66" t="s">
        <v>158</v>
      </c>
      <c r="D81" s="146">
        <f>+'Manual adjustments'!W88</f>
        <v>1113.1825693720527</v>
      </c>
      <c r="E81" s="59"/>
      <c r="F81" s="116"/>
    </row>
    <row r="82" spans="2:6" s="58" customFormat="1" x14ac:dyDescent="0.2">
      <c r="B82" s="50" t="s">
        <v>47</v>
      </c>
      <c r="C82" s="66" t="s">
        <v>159</v>
      </c>
      <c r="D82" s="146">
        <f>+'Manual adjustments'!W89</f>
        <v>618.32197069521874</v>
      </c>
      <c r="E82" s="59"/>
      <c r="F82" s="116"/>
    </row>
    <row r="83" spans="2:6" s="58" customFormat="1" x14ac:dyDescent="0.2">
      <c r="B83" s="50" t="s">
        <v>8</v>
      </c>
      <c r="C83" s="66" t="s">
        <v>160</v>
      </c>
      <c r="D83" s="146">
        <f>+'Manual adjustments'!W90</f>
        <v>353.38161794430113</v>
      </c>
      <c r="E83" s="59"/>
      <c r="F83" s="116"/>
    </row>
    <row r="84" spans="2:6" s="58" customFormat="1" x14ac:dyDescent="0.2">
      <c r="B84" s="50" t="s">
        <v>9</v>
      </c>
      <c r="C84" s="66" t="s">
        <v>161</v>
      </c>
      <c r="D84" s="146">
        <f>+'Manual adjustments'!W91</f>
        <v>533.25680924781432</v>
      </c>
      <c r="E84" s="59"/>
      <c r="F84" s="116"/>
    </row>
    <row r="85" spans="2:6" s="58" customFormat="1" x14ac:dyDescent="0.2">
      <c r="B85" s="50" t="s">
        <v>10</v>
      </c>
      <c r="C85" s="66" t="s">
        <v>162</v>
      </c>
      <c r="D85" s="146">
        <f>+'Manual adjustments'!W92</f>
        <v>264.57027000947556</v>
      </c>
      <c r="E85" s="59"/>
      <c r="F85" s="116"/>
    </row>
    <row r="86" spans="2:6" s="58" customFormat="1" x14ac:dyDescent="0.2">
      <c r="B86" s="50" t="s">
        <v>11</v>
      </c>
      <c r="C86" s="66" t="s">
        <v>163</v>
      </c>
      <c r="D86" s="146">
        <f>+'Manual adjustments'!W93</f>
        <v>439.11680904014679</v>
      </c>
      <c r="E86" s="59"/>
      <c r="F86" s="116"/>
    </row>
    <row r="87" spans="2:6" s="58" customFormat="1" x14ac:dyDescent="0.2">
      <c r="B87" s="50" t="s">
        <v>12</v>
      </c>
      <c r="C87" s="66" t="s">
        <v>164</v>
      </c>
      <c r="D87" s="146">
        <f>+'Manual adjustments'!W94</f>
        <v>212.25997896728055</v>
      </c>
      <c r="E87" s="59"/>
      <c r="F87" s="116"/>
    </row>
    <row r="88" spans="2:6" s="58" customFormat="1" x14ac:dyDescent="0.2">
      <c r="B88" s="50" t="s">
        <v>13</v>
      </c>
      <c r="C88" s="66" t="s">
        <v>165</v>
      </c>
      <c r="D88" s="146">
        <f>+'Manual adjustments'!W95</f>
        <v>329.85238531156239</v>
      </c>
      <c r="E88" s="59"/>
      <c r="F88" s="116"/>
    </row>
    <row r="89" spans="2:6" s="58" customFormat="1" x14ac:dyDescent="0.2">
      <c r="B89" s="50" t="s">
        <v>48</v>
      </c>
      <c r="C89" s="66" t="s">
        <v>166</v>
      </c>
      <c r="D89" s="146">
        <f>+'Manual adjustments'!W96</f>
        <v>671.80601080584404</v>
      </c>
      <c r="E89" s="59"/>
      <c r="F89" s="116"/>
    </row>
    <row r="90" spans="2:6" s="58" customFormat="1" x14ac:dyDescent="0.2">
      <c r="B90" s="50" t="s">
        <v>49</v>
      </c>
      <c r="C90" s="66" t="s">
        <v>167</v>
      </c>
      <c r="D90" s="146">
        <f>+'Manual adjustments'!W97</f>
        <v>794.1613666830076</v>
      </c>
      <c r="E90" s="59"/>
      <c r="F90" s="116"/>
    </row>
    <row r="91" spans="2:6" s="58" customFormat="1" ht="13.5" thickBot="1" x14ac:dyDescent="0.25">
      <c r="B91" s="51" t="s">
        <v>51</v>
      </c>
      <c r="C91" s="67" t="s">
        <v>168</v>
      </c>
      <c r="D91" s="427">
        <f>+'Manual adjustments'!W98</f>
        <v>0</v>
      </c>
      <c r="E91" s="59"/>
      <c r="F91" s="116"/>
    </row>
    <row r="92" spans="2:6" x14ac:dyDescent="0.2">
      <c r="B92" s="121"/>
      <c r="C92" s="59"/>
      <c r="F92" s="116"/>
    </row>
    <row r="93" spans="2:6" ht="15.75" x14ac:dyDescent="0.2">
      <c r="B93" s="119">
        <v>4</v>
      </c>
      <c r="C93" s="120" t="s">
        <v>477</v>
      </c>
      <c r="F93" s="116"/>
    </row>
    <row r="94" spans="2:6" ht="13.5" thickBot="1" x14ac:dyDescent="0.25">
      <c r="B94" s="390" t="s">
        <v>486</v>
      </c>
      <c r="C94" s="59"/>
      <c r="F94" s="116"/>
    </row>
    <row r="95" spans="2:6" ht="13.5" thickBot="1" x14ac:dyDescent="0.25">
      <c r="B95" s="63" t="s">
        <v>93</v>
      </c>
      <c r="C95" s="64" t="s">
        <v>94</v>
      </c>
      <c r="D95" s="65" t="s">
        <v>145</v>
      </c>
      <c r="F95" s="116"/>
    </row>
    <row r="96" spans="2:6" x14ac:dyDescent="0.2">
      <c r="B96" s="50" t="s">
        <v>379</v>
      </c>
      <c r="C96" s="66" t="s">
        <v>383</v>
      </c>
      <c r="D96" s="146">
        <f>+'Manual adjustments'!W106</f>
        <v>585.91110764923064</v>
      </c>
      <c r="F96" s="116"/>
    </row>
    <row r="97" spans="2:6" ht="13.5" thickBot="1" x14ac:dyDescent="0.25">
      <c r="B97" s="51" t="s">
        <v>381</v>
      </c>
      <c r="C97" s="381" t="s">
        <v>385</v>
      </c>
      <c r="D97" s="382">
        <f>+'Manual adjustments'!W107</f>
        <v>335.40676472536728</v>
      </c>
      <c r="F97" s="116"/>
    </row>
    <row r="98" spans="2:6" ht="13.5" thickBot="1" x14ac:dyDescent="0.25">
      <c r="B98" s="384"/>
      <c r="C98" s="383"/>
      <c r="D98" s="383"/>
      <c r="E98" s="383"/>
      <c r="F98" s="385"/>
    </row>
  </sheetData>
  <sortState ref="B13:E53">
    <sortCondition ref="B13:B53"/>
  </sortState>
  <hyperlinks>
    <hyperlink ref="B58" location="'Linked Sheet'!B2" display="Top"/>
    <hyperlink ref="B69" location="'Linked Sheet'!B2" display="Top"/>
    <hyperlink ref="B94" location="'Linked Sheet'!B2" display="Top"/>
    <hyperlink ref="C6" location="'Linked Sheet'!B57" display="Unbundled chemotherapy delivery"/>
    <hyperlink ref="C7" location="'Linked Sheet'!B68" display="Unbundled external beam radiotherapy"/>
    <hyperlink ref="C5" location="'Linked Sheet'!B11" display="Direct access and outpatient diagnostic imaging services"/>
    <hyperlink ref="B2" location="Navigation!A1" display="Home"/>
    <hyperlink ref="C8" location="'Linked Sheet'!B93" display="Acute Kidney Injury"/>
    <hyperlink ref="B12" location="'Linked Sheet'!B2" display="Top"/>
  </hyperlinks>
  <pageMargins left="0.75" right="0.75" top="1" bottom="1" header="0.5" footer="0.5"/>
  <pageSetup paperSize="9" scale="52" orientation="portrait" r:id="rId1"/>
  <headerFooter alignWithMargins="0">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39997558519241921"/>
  </sheetPr>
  <dimension ref="A1:H162"/>
  <sheetViews>
    <sheetView zoomScaleNormal="100" workbookViewId="0"/>
  </sheetViews>
  <sheetFormatPr defaultRowHeight="15" x14ac:dyDescent="0.25"/>
  <cols>
    <col min="2" max="2" width="26.140625" customWidth="1"/>
  </cols>
  <sheetData>
    <row r="1" spans="1:8" x14ac:dyDescent="0.25">
      <c r="A1" s="173" t="s">
        <v>377</v>
      </c>
    </row>
    <row r="2" spans="1:8" ht="18.75" x14ac:dyDescent="0.3">
      <c r="B2" s="1" t="s">
        <v>233</v>
      </c>
    </row>
    <row r="4" spans="1:8" s="11" customFormat="1" x14ac:dyDescent="0.25">
      <c r="B4" s="26"/>
      <c r="C4" s="23"/>
    </row>
    <row r="5" spans="1:8" s="11" customFormat="1" x14ac:dyDescent="0.25">
      <c r="B5" s="26" t="s">
        <v>232</v>
      </c>
      <c r="C5" s="24" t="s">
        <v>976</v>
      </c>
    </row>
    <row r="6" spans="1:8" s="11" customFormat="1" ht="14.25" customHeight="1" x14ac:dyDescent="0.25"/>
    <row r="7" spans="1:8" s="11" customFormat="1" x14ac:dyDescent="0.25"/>
    <row r="8" spans="1:8" x14ac:dyDescent="0.25">
      <c r="B8" s="17"/>
    </row>
    <row r="9" spans="1:8" x14ac:dyDescent="0.25">
      <c r="B9" s="435" t="s">
        <v>198</v>
      </c>
      <c r="C9" s="167"/>
      <c r="D9" s="167"/>
      <c r="E9" s="167"/>
      <c r="F9" s="167"/>
      <c r="G9" s="167"/>
      <c r="H9" s="167"/>
    </row>
    <row r="10" spans="1:8" x14ac:dyDescent="0.25">
      <c r="B10" s="18" t="s">
        <v>199</v>
      </c>
      <c r="C10" s="167"/>
      <c r="D10" s="167"/>
      <c r="E10" s="167"/>
      <c r="F10" s="167"/>
      <c r="G10" s="167"/>
      <c r="H10" s="167"/>
    </row>
    <row r="11" spans="1:8" x14ac:dyDescent="0.25">
      <c r="B11" s="18" t="s">
        <v>200</v>
      </c>
      <c r="C11" s="167"/>
      <c r="D11" s="167"/>
      <c r="E11" s="167"/>
      <c r="F11" s="167"/>
      <c r="G11" s="167"/>
      <c r="H11" s="167"/>
    </row>
    <row r="12" spans="1:8" x14ac:dyDescent="0.25">
      <c r="B12" s="18" t="s">
        <v>201</v>
      </c>
      <c r="C12" s="167"/>
      <c r="D12" s="167"/>
      <c r="E12" s="167"/>
      <c r="F12" s="167"/>
      <c r="G12" s="167"/>
      <c r="H12" s="167"/>
    </row>
    <row r="13" spans="1:8" x14ac:dyDescent="0.25">
      <c r="B13" s="18" t="s">
        <v>202</v>
      </c>
      <c r="C13" s="167"/>
      <c r="D13" s="167"/>
      <c r="E13" s="167"/>
      <c r="F13" s="167"/>
      <c r="G13" s="167"/>
      <c r="H13" s="167"/>
    </row>
    <row r="14" spans="1:8" x14ac:dyDescent="0.25">
      <c r="B14" s="18" t="s">
        <v>203</v>
      </c>
      <c r="C14" s="167"/>
      <c r="D14" s="167"/>
      <c r="E14" s="167"/>
      <c r="F14" s="167"/>
      <c r="G14" s="167"/>
      <c r="H14" s="167"/>
    </row>
    <row r="15" spans="1:8" x14ac:dyDescent="0.25">
      <c r="B15" s="18" t="s">
        <v>204</v>
      </c>
      <c r="C15" s="167"/>
      <c r="D15" s="167"/>
      <c r="E15" s="167"/>
      <c r="F15" s="167"/>
      <c r="G15" s="167"/>
      <c r="H15" s="167"/>
    </row>
    <row r="16" spans="1:8" x14ac:dyDescent="0.25">
      <c r="B16" s="18" t="s">
        <v>205</v>
      </c>
      <c r="C16" s="167"/>
      <c r="D16" s="167"/>
      <c r="E16" s="167"/>
      <c r="F16" s="167"/>
      <c r="G16" s="167"/>
      <c r="H16" s="167"/>
    </row>
    <row r="17" spans="2:8" x14ac:dyDescent="0.25">
      <c r="B17" s="18" t="s">
        <v>206</v>
      </c>
      <c r="C17" s="167"/>
      <c r="D17" s="167"/>
      <c r="E17" s="167"/>
      <c r="F17" s="167"/>
      <c r="G17" s="167"/>
      <c r="H17" s="167"/>
    </row>
    <row r="18" spans="2:8" x14ac:dyDescent="0.25">
      <c r="B18" s="18" t="s">
        <v>207</v>
      </c>
      <c r="C18" s="167"/>
      <c r="D18" s="167"/>
      <c r="E18" s="167"/>
      <c r="F18" s="167"/>
      <c r="G18" s="167"/>
      <c r="H18" s="167"/>
    </row>
    <row r="19" spans="2:8" x14ac:dyDescent="0.25">
      <c r="B19" s="436" t="s">
        <v>208</v>
      </c>
      <c r="C19" s="167"/>
      <c r="D19" s="167"/>
      <c r="E19" s="167"/>
      <c r="F19" s="167"/>
      <c r="G19" s="167"/>
      <c r="H19" s="167"/>
    </row>
    <row r="20" spans="2:8" x14ac:dyDescent="0.25">
      <c r="B20" s="436" t="s">
        <v>208</v>
      </c>
      <c r="C20" s="167"/>
      <c r="D20" s="167"/>
      <c r="E20" s="167"/>
      <c r="F20" s="167"/>
      <c r="G20" s="167"/>
      <c r="H20" s="167"/>
    </row>
    <row r="21" spans="2:8" x14ac:dyDescent="0.25">
      <c r="B21" s="436" t="s">
        <v>437</v>
      </c>
      <c r="C21" s="167"/>
      <c r="D21" s="167"/>
      <c r="E21" s="167"/>
      <c r="F21" s="167"/>
      <c r="G21" s="167"/>
      <c r="H21" s="167"/>
    </row>
    <row r="22" spans="2:8" x14ac:dyDescent="0.25">
      <c r="B22" s="18" t="s">
        <v>209</v>
      </c>
      <c r="C22" s="167"/>
      <c r="D22" s="167"/>
      <c r="E22" s="167"/>
      <c r="F22" s="167"/>
      <c r="G22" s="167"/>
      <c r="H22" s="167"/>
    </row>
    <row r="23" spans="2:8" x14ac:dyDescent="0.25">
      <c r="B23" s="18" t="s">
        <v>210</v>
      </c>
      <c r="C23" s="167"/>
      <c r="D23" s="167"/>
      <c r="E23" s="167"/>
      <c r="F23" s="167"/>
      <c r="G23" s="167"/>
      <c r="H23" s="167"/>
    </row>
    <row r="24" spans="2:8" x14ac:dyDescent="0.25">
      <c r="B24" s="18" t="s">
        <v>211</v>
      </c>
      <c r="C24" s="167"/>
      <c r="D24" s="167"/>
      <c r="E24" s="167"/>
      <c r="F24" s="167"/>
      <c r="G24" s="167"/>
      <c r="H24" s="167"/>
    </row>
    <row r="25" spans="2:8" x14ac:dyDescent="0.25">
      <c r="B25" s="436" t="s">
        <v>723</v>
      </c>
      <c r="C25" s="167"/>
      <c r="D25" s="167"/>
      <c r="E25" s="167"/>
      <c r="F25" s="167"/>
      <c r="G25" s="167"/>
      <c r="H25" s="167"/>
    </row>
    <row r="26" spans="2:8" x14ac:dyDescent="0.25">
      <c r="B26" s="436" t="s">
        <v>208</v>
      </c>
      <c r="C26" s="167"/>
      <c r="D26" s="167"/>
      <c r="E26" s="167"/>
      <c r="F26" s="167"/>
      <c r="G26" s="167"/>
      <c r="H26" s="167"/>
    </row>
    <row r="27" spans="2:8" x14ac:dyDescent="0.25">
      <c r="B27" s="436" t="s">
        <v>208</v>
      </c>
      <c r="C27" s="167"/>
      <c r="D27" s="167"/>
      <c r="E27" s="167"/>
      <c r="F27" s="167"/>
      <c r="G27" s="167"/>
      <c r="H27" s="167"/>
    </row>
    <row r="28" spans="2:8" x14ac:dyDescent="0.25">
      <c r="B28" s="436" t="s">
        <v>724</v>
      </c>
      <c r="C28" s="167"/>
      <c r="D28" s="167"/>
      <c r="E28" s="167"/>
      <c r="F28" s="167"/>
      <c r="G28" s="167"/>
      <c r="H28" s="167"/>
    </row>
    <row r="29" spans="2:8" x14ac:dyDescent="0.25">
      <c r="B29" s="436" t="s">
        <v>725</v>
      </c>
      <c r="C29" s="167"/>
      <c r="D29" s="167"/>
      <c r="E29" s="167"/>
      <c r="F29" s="167"/>
      <c r="G29" s="167"/>
      <c r="H29" s="167"/>
    </row>
    <row r="30" spans="2:8" x14ac:dyDescent="0.25">
      <c r="B30" s="436" t="s">
        <v>890</v>
      </c>
      <c r="C30" s="167"/>
      <c r="D30" s="167"/>
      <c r="E30" s="167"/>
      <c r="F30" s="167"/>
      <c r="G30" s="167"/>
      <c r="H30" s="167"/>
    </row>
    <row r="31" spans="2:8" x14ac:dyDescent="0.25">
      <c r="B31" s="436" t="s">
        <v>726</v>
      </c>
      <c r="C31" s="167"/>
      <c r="D31" s="167"/>
      <c r="E31" s="167"/>
      <c r="F31" s="167"/>
      <c r="G31" s="167"/>
      <c r="H31" s="167"/>
    </row>
    <row r="32" spans="2:8" x14ac:dyDescent="0.25">
      <c r="B32" s="436" t="s">
        <v>212</v>
      </c>
      <c r="C32" s="167"/>
      <c r="D32" s="167"/>
      <c r="E32" s="167"/>
      <c r="F32" s="167"/>
      <c r="G32" s="167"/>
      <c r="H32" s="167"/>
    </row>
    <row r="33" spans="2:8" x14ac:dyDescent="0.25">
      <c r="B33" s="18" t="s">
        <v>213</v>
      </c>
      <c r="C33" s="167"/>
      <c r="D33" s="167"/>
      <c r="E33" s="167"/>
      <c r="F33" s="167"/>
      <c r="G33" s="167"/>
      <c r="H33" s="167"/>
    </row>
    <row r="34" spans="2:8" x14ac:dyDescent="0.25">
      <c r="B34" s="18" t="s">
        <v>214</v>
      </c>
      <c r="C34" s="167"/>
      <c r="D34" s="167"/>
      <c r="E34" s="167"/>
      <c r="F34" s="167"/>
      <c r="G34" s="167"/>
      <c r="H34" s="167"/>
    </row>
    <row r="35" spans="2:8" x14ac:dyDescent="0.25">
      <c r="B35" s="18" t="s">
        <v>215</v>
      </c>
      <c r="C35" s="167"/>
      <c r="D35" s="167"/>
      <c r="E35" s="167"/>
      <c r="F35" s="167"/>
      <c r="G35" s="167"/>
      <c r="H35" s="167"/>
    </row>
    <row r="36" spans="2:8" x14ac:dyDescent="0.25">
      <c r="B36" s="19" t="s">
        <v>727</v>
      </c>
      <c r="C36" s="167"/>
      <c r="D36" s="167"/>
      <c r="E36" s="167"/>
      <c r="F36" s="167"/>
      <c r="G36" s="167"/>
      <c r="H36" s="167"/>
    </row>
    <row r="37" spans="2:8" x14ac:dyDescent="0.25">
      <c r="B37" s="436" t="s">
        <v>208</v>
      </c>
      <c r="C37" s="167"/>
      <c r="D37" s="167"/>
      <c r="E37" s="167"/>
      <c r="F37" s="167"/>
      <c r="G37" s="167"/>
      <c r="H37" s="167"/>
    </row>
    <row r="38" spans="2:8" x14ac:dyDescent="0.25">
      <c r="B38" s="436" t="s">
        <v>728</v>
      </c>
      <c r="C38" s="167"/>
      <c r="D38" s="167"/>
      <c r="E38" s="167"/>
      <c r="F38" s="167"/>
      <c r="G38" s="167"/>
      <c r="H38" s="167"/>
    </row>
    <row r="39" spans="2:8" x14ac:dyDescent="0.25">
      <c r="B39" s="436" t="s">
        <v>729</v>
      </c>
      <c r="C39" s="167"/>
      <c r="D39" s="167"/>
      <c r="E39" s="167"/>
      <c r="F39" s="167"/>
      <c r="G39" s="167"/>
      <c r="H39" s="167"/>
    </row>
    <row r="40" spans="2:8" x14ac:dyDescent="0.25">
      <c r="B40" s="436" t="s">
        <v>891</v>
      </c>
      <c r="C40" s="167"/>
      <c r="D40" s="167"/>
      <c r="E40" s="167"/>
      <c r="F40" s="167"/>
      <c r="G40" s="167"/>
      <c r="H40" s="167"/>
    </row>
    <row r="41" spans="2:8" x14ac:dyDescent="0.25">
      <c r="B41" s="167"/>
      <c r="C41" s="18" t="s">
        <v>438</v>
      </c>
      <c r="D41" s="167"/>
      <c r="E41" s="167"/>
      <c r="F41" s="167"/>
      <c r="G41" s="167"/>
      <c r="H41" s="167"/>
    </row>
    <row r="42" spans="2:8" x14ac:dyDescent="0.25">
      <c r="B42" s="18" t="s">
        <v>217</v>
      </c>
      <c r="C42" s="167"/>
      <c r="D42" s="167"/>
      <c r="E42" s="167"/>
      <c r="F42" s="167"/>
      <c r="G42" s="167"/>
      <c r="H42" s="167"/>
    </row>
    <row r="43" spans="2:8" x14ac:dyDescent="0.25">
      <c r="B43" s="18" t="s">
        <v>214</v>
      </c>
      <c r="C43" s="167"/>
      <c r="D43" s="167"/>
      <c r="E43" s="167"/>
      <c r="F43" s="167"/>
      <c r="G43" s="167"/>
      <c r="H43" s="167"/>
    </row>
    <row r="44" spans="2:8" x14ac:dyDescent="0.25">
      <c r="B44" s="18" t="s">
        <v>218</v>
      </c>
      <c r="C44" s="167"/>
      <c r="D44" s="167"/>
      <c r="E44" s="167"/>
      <c r="F44" s="167"/>
      <c r="G44" s="167"/>
      <c r="H44" s="167"/>
    </row>
    <row r="45" spans="2:8" x14ac:dyDescent="0.25">
      <c r="B45" s="436" t="s">
        <v>730</v>
      </c>
      <c r="C45" s="167"/>
      <c r="D45" s="167"/>
      <c r="E45" s="167"/>
      <c r="F45" s="167"/>
      <c r="G45" s="167"/>
      <c r="H45" s="167"/>
    </row>
    <row r="46" spans="2:8" x14ac:dyDescent="0.25">
      <c r="B46" s="436" t="s">
        <v>731</v>
      </c>
      <c r="C46" s="167"/>
      <c r="D46" s="167"/>
      <c r="E46" s="167"/>
      <c r="F46" s="167"/>
      <c r="G46" s="167"/>
      <c r="H46" s="167"/>
    </row>
    <row r="47" spans="2:8" x14ac:dyDescent="0.25">
      <c r="B47" s="436" t="s">
        <v>732</v>
      </c>
      <c r="C47" s="167"/>
      <c r="D47" s="167"/>
      <c r="E47" s="167"/>
      <c r="F47" s="167"/>
      <c r="G47" s="167"/>
      <c r="H47" s="167"/>
    </row>
    <row r="48" spans="2:8" x14ac:dyDescent="0.25">
      <c r="B48" s="436" t="s">
        <v>733</v>
      </c>
      <c r="C48" s="167"/>
      <c r="D48" s="167"/>
      <c r="E48" s="167"/>
      <c r="F48" s="167"/>
      <c r="G48" s="167"/>
      <c r="H48" s="167"/>
    </row>
    <row r="49" spans="2:8" x14ac:dyDescent="0.25">
      <c r="B49" s="436" t="s">
        <v>734</v>
      </c>
      <c r="C49" s="167"/>
      <c r="D49" s="167"/>
      <c r="E49" s="167"/>
      <c r="F49" s="167"/>
      <c r="G49" s="167"/>
      <c r="H49" s="167"/>
    </row>
    <row r="50" spans="2:8" x14ac:dyDescent="0.25">
      <c r="B50" s="18" t="s">
        <v>220</v>
      </c>
      <c r="C50" s="167"/>
      <c r="D50" s="167"/>
      <c r="E50" s="167"/>
      <c r="F50" s="167"/>
      <c r="G50" s="167"/>
      <c r="H50" s="167"/>
    </row>
    <row r="51" spans="2:8" x14ac:dyDescent="0.25">
      <c r="B51" s="18" t="s">
        <v>214</v>
      </c>
      <c r="C51" s="167"/>
      <c r="D51" s="167"/>
      <c r="E51" s="167"/>
      <c r="F51" s="167"/>
      <c r="G51" s="167"/>
      <c r="H51" s="167"/>
    </row>
    <row r="52" spans="2:8" x14ac:dyDescent="0.25">
      <c r="B52" s="18" t="s">
        <v>221</v>
      </c>
      <c r="C52" s="167"/>
      <c r="D52" s="167"/>
      <c r="E52" s="167"/>
      <c r="F52" s="167"/>
      <c r="G52" s="167"/>
      <c r="H52" s="167"/>
    </row>
    <row r="53" spans="2:8" x14ac:dyDescent="0.25">
      <c r="B53" s="167"/>
      <c r="C53" s="19" t="s">
        <v>735</v>
      </c>
      <c r="D53" s="167"/>
      <c r="E53" s="167"/>
      <c r="F53" s="167"/>
      <c r="G53" s="167"/>
      <c r="H53" s="167"/>
    </row>
    <row r="54" spans="2:8" x14ac:dyDescent="0.25">
      <c r="B54" s="167"/>
      <c r="C54" s="19" t="s">
        <v>736</v>
      </c>
      <c r="D54" s="167"/>
      <c r="E54" s="167"/>
      <c r="F54" s="167"/>
      <c r="G54" s="167"/>
      <c r="H54" s="167"/>
    </row>
    <row r="55" spans="2:8" x14ac:dyDescent="0.25">
      <c r="B55" s="167"/>
      <c r="C55" s="19" t="s">
        <v>737</v>
      </c>
      <c r="D55" s="167"/>
      <c r="E55" s="167"/>
      <c r="F55" s="167"/>
      <c r="G55" s="167"/>
      <c r="H55" s="167"/>
    </row>
    <row r="56" spans="2:8" x14ac:dyDescent="0.25">
      <c r="B56" s="167"/>
      <c r="C56" s="167"/>
      <c r="D56" s="436" t="s">
        <v>738</v>
      </c>
      <c r="E56" s="167"/>
      <c r="F56" s="167"/>
      <c r="G56" s="167"/>
      <c r="H56" s="167"/>
    </row>
    <row r="57" spans="2:8" x14ac:dyDescent="0.25">
      <c r="B57" s="167"/>
      <c r="C57" s="167"/>
      <c r="D57" s="436" t="s">
        <v>739</v>
      </c>
      <c r="E57" s="167"/>
      <c r="F57" s="167"/>
      <c r="G57" s="167"/>
      <c r="H57" s="167"/>
    </row>
    <row r="58" spans="2:8" x14ac:dyDescent="0.25">
      <c r="B58" s="167"/>
      <c r="C58" s="167"/>
      <c r="D58" s="19" t="s">
        <v>740</v>
      </c>
      <c r="E58" s="167"/>
      <c r="F58" s="167"/>
      <c r="G58" s="167"/>
      <c r="H58" s="167"/>
    </row>
    <row r="59" spans="2:8" x14ac:dyDescent="0.25">
      <c r="B59" s="167"/>
      <c r="C59" s="436" t="s">
        <v>741</v>
      </c>
      <c r="D59" s="167"/>
      <c r="E59" s="167"/>
      <c r="F59" s="167"/>
      <c r="G59" s="167"/>
      <c r="H59" s="167"/>
    </row>
    <row r="60" spans="2:8" x14ac:dyDescent="0.25">
      <c r="B60" s="167"/>
      <c r="C60" s="167"/>
      <c r="D60" s="436" t="s">
        <v>742</v>
      </c>
      <c r="E60" s="167"/>
      <c r="F60" s="167"/>
      <c r="G60" s="167"/>
      <c r="H60" s="167"/>
    </row>
    <row r="61" spans="2:8" x14ac:dyDescent="0.25">
      <c r="B61" s="167"/>
      <c r="C61" s="167"/>
      <c r="D61" s="436" t="s">
        <v>743</v>
      </c>
      <c r="E61" s="167"/>
      <c r="F61" s="167"/>
      <c r="G61" s="167"/>
      <c r="H61" s="167"/>
    </row>
    <row r="62" spans="2:8" x14ac:dyDescent="0.25">
      <c r="B62" s="167"/>
      <c r="C62" s="167"/>
      <c r="D62" s="436" t="s">
        <v>744</v>
      </c>
      <c r="E62" s="167"/>
      <c r="F62" s="167"/>
      <c r="G62" s="167"/>
      <c r="H62" s="167"/>
    </row>
    <row r="63" spans="2:8" x14ac:dyDescent="0.25">
      <c r="B63" s="167"/>
      <c r="C63" s="19" t="s">
        <v>745</v>
      </c>
      <c r="D63" s="167"/>
      <c r="E63" s="167"/>
      <c r="F63" s="167"/>
      <c r="G63" s="167"/>
      <c r="H63" s="167"/>
    </row>
    <row r="64" spans="2:8" x14ac:dyDescent="0.25">
      <c r="B64" s="167"/>
      <c r="C64" s="167"/>
      <c r="D64" s="20" t="s">
        <v>746</v>
      </c>
      <c r="E64" s="167"/>
      <c r="F64" s="167"/>
      <c r="G64" s="167"/>
      <c r="H64" s="167"/>
    </row>
    <row r="65" spans="2:8" x14ac:dyDescent="0.25">
      <c r="B65" s="167"/>
      <c r="C65" s="167"/>
      <c r="D65" s="436" t="s">
        <v>747</v>
      </c>
      <c r="E65" s="167"/>
      <c r="F65" s="167"/>
      <c r="G65" s="167"/>
      <c r="H65" s="167"/>
    </row>
    <row r="66" spans="2:8" x14ac:dyDescent="0.25">
      <c r="B66" s="18" t="s">
        <v>223</v>
      </c>
      <c r="C66" s="167"/>
      <c r="D66" s="167"/>
      <c r="E66" s="167"/>
      <c r="F66" s="167"/>
      <c r="G66" s="167"/>
      <c r="H66" s="167"/>
    </row>
    <row r="67" spans="2:8" x14ac:dyDescent="0.25">
      <c r="B67" s="18" t="s">
        <v>214</v>
      </c>
      <c r="C67" s="167"/>
      <c r="D67" s="167"/>
      <c r="E67" s="167"/>
      <c r="F67" s="167"/>
      <c r="G67" s="167"/>
      <c r="H67" s="167"/>
    </row>
    <row r="68" spans="2:8" x14ac:dyDescent="0.25">
      <c r="B68" s="18" t="s">
        <v>436</v>
      </c>
      <c r="C68" s="167"/>
      <c r="D68" s="167"/>
      <c r="E68" s="167"/>
      <c r="F68" s="167"/>
      <c r="G68" s="167"/>
      <c r="H68" s="167"/>
    </row>
    <row r="69" spans="2:8" x14ac:dyDescent="0.25">
      <c r="B69" s="436" t="s">
        <v>208</v>
      </c>
      <c r="C69" s="167"/>
      <c r="D69" s="167"/>
      <c r="E69" s="167"/>
      <c r="F69" s="167"/>
      <c r="G69" s="167"/>
      <c r="H69" s="167"/>
    </row>
    <row r="70" spans="2:8" x14ac:dyDescent="0.25">
      <c r="B70" s="436" t="s">
        <v>748</v>
      </c>
      <c r="C70" s="167"/>
      <c r="D70" s="167"/>
      <c r="E70" s="167"/>
      <c r="F70" s="167"/>
      <c r="G70" s="167"/>
      <c r="H70" s="167"/>
    </row>
    <row r="71" spans="2:8" x14ac:dyDescent="0.25">
      <c r="B71" s="436" t="s">
        <v>749</v>
      </c>
      <c r="C71" s="167"/>
      <c r="D71" s="167"/>
      <c r="E71" s="167"/>
      <c r="F71" s="167"/>
      <c r="G71" s="167"/>
      <c r="H71" s="167"/>
    </row>
    <row r="72" spans="2:8" x14ac:dyDescent="0.25">
      <c r="B72" s="436" t="s">
        <v>750</v>
      </c>
      <c r="C72" s="167"/>
      <c r="D72" s="167"/>
      <c r="E72" s="167"/>
      <c r="F72" s="167"/>
      <c r="G72" s="167"/>
      <c r="H72" s="167"/>
    </row>
    <row r="73" spans="2:8" x14ac:dyDescent="0.25">
      <c r="B73" s="436" t="s">
        <v>751</v>
      </c>
      <c r="C73" s="167"/>
      <c r="D73" s="167"/>
      <c r="E73" s="167"/>
      <c r="F73" s="167"/>
      <c r="G73" s="167"/>
      <c r="H73" s="167"/>
    </row>
    <row r="74" spans="2:8" x14ac:dyDescent="0.25">
      <c r="B74" s="167"/>
      <c r="C74" s="167"/>
      <c r="D74" s="20" t="s">
        <v>752</v>
      </c>
      <c r="E74" s="167"/>
      <c r="F74" s="167"/>
      <c r="G74" s="167"/>
      <c r="H74" s="167"/>
    </row>
    <row r="75" spans="2:8" x14ac:dyDescent="0.25">
      <c r="B75" s="436" t="s">
        <v>753</v>
      </c>
      <c r="C75" s="167"/>
      <c r="D75" s="167"/>
      <c r="E75" s="167"/>
      <c r="F75" s="167"/>
      <c r="G75" s="167"/>
      <c r="H75" s="167"/>
    </row>
    <row r="76" spans="2:8" x14ac:dyDescent="0.25">
      <c r="B76" s="436" t="s">
        <v>439</v>
      </c>
      <c r="C76" s="167"/>
      <c r="D76" s="167"/>
      <c r="E76" s="167"/>
      <c r="F76" s="167"/>
      <c r="G76" s="167"/>
      <c r="H76" s="167"/>
    </row>
    <row r="77" spans="2:8" x14ac:dyDescent="0.25">
      <c r="B77" s="436" t="s">
        <v>754</v>
      </c>
      <c r="C77" s="167"/>
      <c r="D77" s="167"/>
      <c r="E77" s="167"/>
      <c r="F77" s="167"/>
      <c r="G77" s="167"/>
      <c r="H77" s="167"/>
    </row>
    <row r="78" spans="2:8" x14ac:dyDescent="0.25">
      <c r="B78" s="436" t="s">
        <v>755</v>
      </c>
      <c r="C78" s="167"/>
      <c r="D78" s="167"/>
      <c r="E78" s="167"/>
      <c r="F78" s="167"/>
      <c r="G78" s="167"/>
      <c r="H78" s="167"/>
    </row>
    <row r="79" spans="2:8" x14ac:dyDescent="0.25">
      <c r="B79" s="167"/>
      <c r="C79" s="19" t="s">
        <v>756</v>
      </c>
      <c r="D79" s="167"/>
      <c r="E79" s="167"/>
      <c r="F79" s="167"/>
      <c r="G79" s="167"/>
      <c r="H79" s="167"/>
    </row>
    <row r="80" spans="2:8" x14ac:dyDescent="0.25">
      <c r="B80" s="436" t="s">
        <v>757</v>
      </c>
      <c r="C80" s="167"/>
      <c r="D80" s="167"/>
      <c r="E80" s="167"/>
      <c r="F80" s="167"/>
      <c r="G80" s="167"/>
      <c r="H80" s="167"/>
    </row>
    <row r="81" spans="2:8" x14ac:dyDescent="0.25">
      <c r="B81" s="167"/>
      <c r="C81" s="167"/>
      <c r="D81" s="20" t="s">
        <v>758</v>
      </c>
      <c r="E81" s="167"/>
      <c r="F81" s="167"/>
      <c r="G81" s="167"/>
      <c r="H81" s="167"/>
    </row>
    <row r="82" spans="2:8" x14ac:dyDescent="0.25">
      <c r="B82" s="167"/>
      <c r="C82" s="167"/>
      <c r="D82" s="20" t="s">
        <v>759</v>
      </c>
      <c r="E82" s="167"/>
      <c r="F82" s="167"/>
      <c r="G82" s="167"/>
      <c r="H82" s="167"/>
    </row>
    <row r="83" spans="2:8" x14ac:dyDescent="0.25">
      <c r="B83" s="167"/>
      <c r="C83" s="167"/>
      <c r="D83" s="436" t="s">
        <v>16</v>
      </c>
      <c r="E83" s="167"/>
      <c r="F83" s="167"/>
      <c r="G83" s="167"/>
      <c r="H83" s="167"/>
    </row>
    <row r="84" spans="2:8" x14ac:dyDescent="0.25">
      <c r="B84" s="18" t="s">
        <v>224</v>
      </c>
      <c r="C84" s="167"/>
      <c r="D84" s="167"/>
      <c r="E84" s="167"/>
      <c r="F84" s="167"/>
      <c r="G84" s="167"/>
      <c r="H84" s="167"/>
    </row>
    <row r="85" spans="2:8" x14ac:dyDescent="0.25">
      <c r="B85" s="18" t="s">
        <v>214</v>
      </c>
      <c r="C85" s="167"/>
      <c r="D85" s="167"/>
      <c r="E85" s="167"/>
      <c r="F85" s="167"/>
      <c r="G85" s="167"/>
      <c r="H85" s="167"/>
    </row>
    <row r="86" spans="2:8" x14ac:dyDescent="0.25">
      <c r="B86" s="18" t="s">
        <v>225</v>
      </c>
      <c r="C86" s="167"/>
      <c r="D86" s="167"/>
      <c r="E86" s="167"/>
      <c r="F86" s="167"/>
      <c r="G86" s="167"/>
      <c r="H86" s="167"/>
    </row>
    <row r="87" spans="2:8" x14ac:dyDescent="0.25">
      <c r="B87" s="167"/>
      <c r="C87" s="436" t="s">
        <v>760</v>
      </c>
      <c r="D87" s="167"/>
      <c r="E87" s="167"/>
      <c r="F87" s="167"/>
      <c r="G87" s="167"/>
      <c r="H87" s="167"/>
    </row>
    <row r="88" spans="2:8" x14ac:dyDescent="0.25">
      <c r="B88" s="436" t="s">
        <v>226</v>
      </c>
      <c r="C88" s="167"/>
      <c r="D88" s="167"/>
      <c r="E88" s="167"/>
      <c r="F88" s="167"/>
      <c r="G88" s="167"/>
      <c r="H88" s="17"/>
    </row>
    <row r="89" spans="2:8" x14ac:dyDescent="0.25">
      <c r="B89" s="436" t="s">
        <v>761</v>
      </c>
      <c r="C89" s="167"/>
      <c r="D89" s="167"/>
      <c r="E89" s="167"/>
      <c r="F89" s="167"/>
      <c r="G89" s="167"/>
      <c r="H89" s="17"/>
    </row>
    <row r="90" spans="2:8" x14ac:dyDescent="0.25">
      <c r="B90" s="167"/>
      <c r="C90" s="19" t="s">
        <v>762</v>
      </c>
      <c r="D90" s="167"/>
      <c r="E90" s="167"/>
      <c r="F90" s="167"/>
      <c r="G90" s="167"/>
      <c r="H90" s="167"/>
    </row>
    <row r="91" spans="2:8" x14ac:dyDescent="0.25">
      <c r="B91" s="436" t="s">
        <v>763</v>
      </c>
      <c r="C91" s="167"/>
      <c r="D91" s="167"/>
      <c r="E91" s="167"/>
      <c r="F91" s="167"/>
      <c r="G91" s="167"/>
      <c r="H91" s="167"/>
    </row>
    <row r="92" spans="2:8" x14ac:dyDescent="0.25">
      <c r="B92" s="436" t="s">
        <v>212</v>
      </c>
      <c r="C92" s="167"/>
      <c r="D92" s="167"/>
      <c r="E92" s="167"/>
      <c r="F92" s="167"/>
      <c r="G92" s="167"/>
      <c r="H92" s="167"/>
    </row>
    <row r="93" spans="2:8" x14ac:dyDescent="0.25">
      <c r="B93" s="18" t="s">
        <v>227</v>
      </c>
      <c r="C93" s="167"/>
      <c r="D93" s="167"/>
      <c r="E93" s="167"/>
      <c r="F93" s="167"/>
      <c r="G93" s="167"/>
      <c r="H93" s="167"/>
    </row>
    <row r="94" spans="2:8" x14ac:dyDescent="0.25">
      <c r="B94" s="18" t="s">
        <v>214</v>
      </c>
      <c r="C94" s="167"/>
      <c r="D94" s="167"/>
      <c r="E94" s="167"/>
      <c r="F94" s="167"/>
      <c r="G94" s="167"/>
      <c r="H94" s="167"/>
    </row>
    <row r="95" spans="2:8" x14ac:dyDescent="0.25">
      <c r="B95" s="18" t="s">
        <v>228</v>
      </c>
      <c r="C95" s="167"/>
      <c r="D95" s="167"/>
      <c r="E95" s="167"/>
      <c r="F95" s="167"/>
      <c r="G95" s="167"/>
      <c r="H95" s="167"/>
    </row>
    <row r="96" spans="2:8" x14ac:dyDescent="0.25">
      <c r="B96" s="167"/>
      <c r="C96" s="19" t="s">
        <v>764</v>
      </c>
      <c r="D96" s="167"/>
      <c r="E96" s="167"/>
      <c r="F96" s="167"/>
      <c r="G96" s="167"/>
      <c r="H96" s="167"/>
    </row>
    <row r="97" spans="2:8" x14ac:dyDescent="0.25">
      <c r="B97" s="436" t="s">
        <v>226</v>
      </c>
      <c r="C97" s="167"/>
      <c r="D97" s="167"/>
      <c r="E97" s="167"/>
      <c r="F97" s="167"/>
      <c r="G97" s="167"/>
      <c r="H97" s="167"/>
    </row>
    <row r="98" spans="2:8" x14ac:dyDescent="0.25">
      <c r="B98" s="436" t="s">
        <v>226</v>
      </c>
      <c r="C98" s="167"/>
      <c r="D98" s="167"/>
      <c r="E98" s="167"/>
      <c r="F98" s="167"/>
      <c r="G98" s="167"/>
      <c r="H98" s="167"/>
    </row>
    <row r="99" spans="2:8" x14ac:dyDescent="0.25">
      <c r="B99" s="436" t="s">
        <v>226</v>
      </c>
      <c r="C99" s="167"/>
      <c r="D99" s="167"/>
      <c r="E99" s="167"/>
      <c r="F99" s="167"/>
      <c r="G99" s="167"/>
      <c r="H99" s="167"/>
    </row>
    <row r="100" spans="2:8" x14ac:dyDescent="0.25">
      <c r="B100" s="436" t="s">
        <v>765</v>
      </c>
      <c r="C100" s="167"/>
      <c r="D100" s="167"/>
      <c r="E100" s="167"/>
      <c r="F100" s="167"/>
      <c r="G100" s="167"/>
      <c r="H100" s="167"/>
    </row>
    <row r="101" spans="2:8" x14ac:dyDescent="0.25">
      <c r="B101" s="167"/>
      <c r="C101" s="19" t="s">
        <v>766</v>
      </c>
      <c r="D101" s="167"/>
      <c r="E101" s="167"/>
      <c r="F101" s="167"/>
      <c r="G101" s="167"/>
      <c r="H101" s="167"/>
    </row>
    <row r="102" spans="2:8" x14ac:dyDescent="0.25">
      <c r="B102" s="167"/>
      <c r="C102" s="167"/>
      <c r="D102" s="436" t="s">
        <v>767</v>
      </c>
      <c r="E102" s="167"/>
      <c r="F102" s="167"/>
      <c r="G102" s="167"/>
      <c r="H102" s="167"/>
    </row>
    <row r="103" spans="2:8" x14ac:dyDescent="0.25">
      <c r="B103" s="436" t="s">
        <v>763</v>
      </c>
      <c r="C103" s="167"/>
      <c r="D103" s="167"/>
      <c r="E103" s="167"/>
      <c r="F103" s="167"/>
      <c r="G103" s="167"/>
      <c r="H103" s="167"/>
    </row>
    <row r="104" spans="2:8" x14ac:dyDescent="0.25">
      <c r="B104" s="436" t="s">
        <v>226</v>
      </c>
      <c r="C104" s="167"/>
      <c r="D104" s="167"/>
      <c r="E104" s="167"/>
      <c r="F104" s="167"/>
      <c r="G104" s="167"/>
      <c r="H104" s="167"/>
    </row>
    <row r="105" spans="2:8" x14ac:dyDescent="0.25">
      <c r="B105" s="436" t="s">
        <v>226</v>
      </c>
      <c r="C105" s="167"/>
      <c r="D105" s="167"/>
      <c r="E105" s="167"/>
      <c r="F105" s="167"/>
      <c r="G105" s="167"/>
      <c r="H105" s="167"/>
    </row>
    <row r="106" spans="2:8" x14ac:dyDescent="0.25">
      <c r="B106" s="18" t="s">
        <v>229</v>
      </c>
      <c r="C106" s="167"/>
      <c r="D106" s="167"/>
      <c r="E106" s="167"/>
      <c r="F106" s="167"/>
      <c r="G106" s="167"/>
      <c r="H106" s="167"/>
    </row>
    <row r="107" spans="2:8" x14ac:dyDescent="0.25">
      <c r="B107" s="18" t="s">
        <v>214</v>
      </c>
      <c r="C107" s="167"/>
      <c r="D107" s="167"/>
      <c r="E107" s="167"/>
      <c r="F107" s="167"/>
      <c r="G107" s="167"/>
      <c r="H107" s="167"/>
    </row>
    <row r="108" spans="2:8" x14ac:dyDescent="0.25">
      <c r="B108" s="18" t="s">
        <v>230</v>
      </c>
      <c r="C108" s="167"/>
      <c r="D108" s="167"/>
      <c r="E108" s="167"/>
      <c r="F108" s="167"/>
      <c r="G108" s="167"/>
      <c r="H108" s="167"/>
    </row>
    <row r="109" spans="2:8" x14ac:dyDescent="0.25">
      <c r="B109" s="436" t="s">
        <v>226</v>
      </c>
      <c r="C109" s="167"/>
      <c r="D109" s="167"/>
      <c r="E109" s="167"/>
      <c r="F109" s="167"/>
      <c r="G109" s="167"/>
      <c r="H109" s="167"/>
    </row>
    <row r="110" spans="2:8" x14ac:dyDescent="0.25">
      <c r="B110" s="436" t="s">
        <v>768</v>
      </c>
      <c r="C110" s="167"/>
      <c r="D110" s="167"/>
      <c r="E110" s="167"/>
      <c r="F110" s="167"/>
      <c r="G110" s="167"/>
      <c r="H110" s="167"/>
    </row>
    <row r="111" spans="2:8" x14ac:dyDescent="0.25">
      <c r="B111" s="436" t="s">
        <v>769</v>
      </c>
      <c r="C111" s="167"/>
      <c r="D111" s="167"/>
      <c r="E111" s="167"/>
      <c r="F111" s="167"/>
      <c r="G111" s="167"/>
      <c r="H111" s="167"/>
    </row>
    <row r="112" spans="2:8" x14ac:dyDescent="0.25">
      <c r="B112" s="436" t="s">
        <v>231</v>
      </c>
      <c r="C112" s="167"/>
      <c r="D112" s="167"/>
      <c r="E112" s="167"/>
      <c r="F112" s="167"/>
      <c r="G112" s="167"/>
      <c r="H112" s="167"/>
    </row>
    <row r="113" spans="2:8" x14ac:dyDescent="0.25">
      <c r="B113" s="436" t="s">
        <v>770</v>
      </c>
      <c r="C113" s="167"/>
      <c r="D113" s="167"/>
      <c r="E113" s="167"/>
      <c r="F113" s="167"/>
      <c r="G113" s="167"/>
      <c r="H113" s="167"/>
    </row>
    <row r="114" spans="2:8" x14ac:dyDescent="0.25">
      <c r="B114" s="167"/>
      <c r="C114" s="19" t="s">
        <v>771</v>
      </c>
      <c r="D114" s="167"/>
      <c r="E114" s="167"/>
      <c r="F114" s="167"/>
      <c r="G114" s="167"/>
      <c r="H114" s="167"/>
    </row>
    <row r="115" spans="2:8" x14ac:dyDescent="0.25">
      <c r="B115" s="167"/>
      <c r="C115" s="167"/>
      <c r="D115" s="167"/>
      <c r="E115" s="167"/>
      <c r="F115" s="21" t="s">
        <v>772</v>
      </c>
      <c r="G115" s="167"/>
      <c r="H115" s="167"/>
    </row>
    <row r="116" spans="2:8" x14ac:dyDescent="0.25">
      <c r="B116" s="167"/>
      <c r="C116" s="167"/>
      <c r="D116" s="167"/>
      <c r="E116" s="167"/>
      <c r="F116" s="21" t="s">
        <v>773</v>
      </c>
      <c r="G116" s="167"/>
      <c r="H116" s="167"/>
    </row>
    <row r="117" spans="2:8" x14ac:dyDescent="0.25">
      <c r="B117" s="167"/>
      <c r="C117" s="19" t="s">
        <v>892</v>
      </c>
      <c r="D117" s="167"/>
      <c r="E117" s="167"/>
      <c r="F117" s="167"/>
      <c r="G117" s="167"/>
      <c r="H117" s="167"/>
    </row>
    <row r="118" spans="2:8" x14ac:dyDescent="0.25">
      <c r="B118" s="167"/>
      <c r="C118" s="19" t="s">
        <v>774</v>
      </c>
      <c r="D118" s="167"/>
      <c r="E118" s="167"/>
      <c r="F118" s="167"/>
      <c r="G118" s="167"/>
      <c r="H118" s="167"/>
    </row>
    <row r="119" spans="2:8" x14ac:dyDescent="0.25">
      <c r="B119" s="19" t="s">
        <v>775</v>
      </c>
      <c r="C119" s="167"/>
      <c r="D119" s="167"/>
      <c r="E119" s="167"/>
      <c r="F119" s="167"/>
      <c r="G119" s="167"/>
      <c r="H119" s="167"/>
    </row>
    <row r="120" spans="2:8" x14ac:dyDescent="0.25">
      <c r="D120" s="20"/>
    </row>
    <row r="121" spans="2:8" x14ac:dyDescent="0.25">
      <c r="D121" s="20"/>
    </row>
    <row r="122" spans="2:8" x14ac:dyDescent="0.25">
      <c r="D122" s="17"/>
    </row>
    <row r="123" spans="2:8" x14ac:dyDescent="0.25">
      <c r="B123" s="17"/>
    </row>
    <row r="124" spans="2:8" x14ac:dyDescent="0.25">
      <c r="B124" s="17"/>
    </row>
    <row r="125" spans="2:8" x14ac:dyDescent="0.25">
      <c r="B125" s="18"/>
    </row>
    <row r="126" spans="2:8" x14ac:dyDescent="0.25">
      <c r="B126" s="18"/>
    </row>
    <row r="127" spans="2:8" x14ac:dyDescent="0.25">
      <c r="B127" s="18"/>
    </row>
    <row r="128" spans="2:8" x14ac:dyDescent="0.25">
      <c r="C128" s="17"/>
    </row>
    <row r="129" spans="2:3" x14ac:dyDescent="0.25">
      <c r="B129" s="17"/>
    </row>
    <row r="130" spans="2:3" x14ac:dyDescent="0.25">
      <c r="B130" s="17"/>
    </row>
    <row r="131" spans="2:3" x14ac:dyDescent="0.25">
      <c r="C131" s="19"/>
    </row>
    <row r="132" spans="2:3" x14ac:dyDescent="0.25">
      <c r="B132" s="17"/>
    </row>
    <row r="133" spans="2:3" x14ac:dyDescent="0.25">
      <c r="B133" s="17"/>
    </row>
    <row r="134" spans="2:3" x14ac:dyDescent="0.25">
      <c r="B134" s="17"/>
    </row>
    <row r="135" spans="2:3" x14ac:dyDescent="0.25">
      <c r="B135" s="18"/>
    </row>
    <row r="136" spans="2:3" x14ac:dyDescent="0.25">
      <c r="B136" s="18"/>
    </row>
    <row r="137" spans="2:3" x14ac:dyDescent="0.25">
      <c r="B137" s="18"/>
    </row>
    <row r="138" spans="2:3" x14ac:dyDescent="0.25">
      <c r="B138" s="17"/>
    </row>
    <row r="139" spans="2:3" x14ac:dyDescent="0.25">
      <c r="C139" s="19"/>
    </row>
    <row r="140" spans="2:3" x14ac:dyDescent="0.25">
      <c r="B140" s="17"/>
    </row>
    <row r="141" spans="2:3" x14ac:dyDescent="0.25">
      <c r="B141" s="17"/>
    </row>
    <row r="142" spans="2:3" x14ac:dyDescent="0.25">
      <c r="B142" s="17"/>
    </row>
    <row r="143" spans="2:3" x14ac:dyDescent="0.25">
      <c r="B143" s="17"/>
    </row>
    <row r="144" spans="2:3" x14ac:dyDescent="0.25">
      <c r="C144" s="19"/>
    </row>
    <row r="145" spans="2:6" x14ac:dyDescent="0.25">
      <c r="D145" s="17"/>
    </row>
    <row r="146" spans="2:6" x14ac:dyDescent="0.25">
      <c r="B146" s="17"/>
    </row>
    <row r="147" spans="2:6" x14ac:dyDescent="0.25">
      <c r="B147" s="17"/>
    </row>
    <row r="148" spans="2:6" x14ac:dyDescent="0.25">
      <c r="B148" s="17"/>
    </row>
    <row r="149" spans="2:6" x14ac:dyDescent="0.25">
      <c r="B149" s="18"/>
    </row>
    <row r="150" spans="2:6" x14ac:dyDescent="0.25">
      <c r="B150" s="18"/>
    </row>
    <row r="151" spans="2:6" x14ac:dyDescent="0.25">
      <c r="B151" s="18"/>
    </row>
    <row r="152" spans="2:6" x14ac:dyDescent="0.25">
      <c r="B152" s="17"/>
    </row>
    <row r="153" spans="2:6" x14ac:dyDescent="0.25">
      <c r="B153" s="17"/>
    </row>
    <row r="154" spans="2:6" x14ac:dyDescent="0.25">
      <c r="B154" s="17"/>
    </row>
    <row r="155" spans="2:6" x14ac:dyDescent="0.25">
      <c r="B155" s="17"/>
    </row>
    <row r="156" spans="2:6" x14ac:dyDescent="0.25">
      <c r="B156" s="17"/>
    </row>
    <row r="157" spans="2:6" x14ac:dyDescent="0.25">
      <c r="C157" s="19"/>
    </row>
    <row r="158" spans="2:6" x14ac:dyDescent="0.25">
      <c r="F158" s="21"/>
    </row>
    <row r="159" spans="2:6" x14ac:dyDescent="0.25">
      <c r="F159" s="21"/>
    </row>
    <row r="160" spans="2:6" x14ac:dyDescent="0.25">
      <c r="C160" s="19"/>
    </row>
    <row r="161" spans="2:3" x14ac:dyDescent="0.25">
      <c r="C161" s="19"/>
    </row>
    <row r="162" spans="2:3" x14ac:dyDescent="0.25">
      <c r="B162" s="19"/>
    </row>
  </sheetData>
  <hyperlinks>
    <hyperlink ref="A1" location="Navigation!A1" display="Home"/>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39997558519241921"/>
  </sheetPr>
  <dimension ref="A1:F115"/>
  <sheetViews>
    <sheetView zoomScaleNormal="100" workbookViewId="0"/>
  </sheetViews>
  <sheetFormatPr defaultRowHeight="15" x14ac:dyDescent="0.25"/>
  <cols>
    <col min="2" max="2" width="26.140625" customWidth="1"/>
  </cols>
  <sheetData>
    <row r="1" spans="1:3" ht="14.45" x14ac:dyDescent="0.3">
      <c r="A1" s="173" t="s">
        <v>377</v>
      </c>
    </row>
    <row r="2" spans="1:3" ht="18" x14ac:dyDescent="0.35">
      <c r="B2" s="1" t="s">
        <v>234</v>
      </c>
    </row>
    <row r="3" spans="1:3" ht="14.45" x14ac:dyDescent="0.3">
      <c r="B3" s="11"/>
    </row>
    <row r="4" spans="1:3" ht="14.45" x14ac:dyDescent="0.3">
      <c r="B4" s="26"/>
      <c r="C4" s="22"/>
    </row>
    <row r="5" spans="1:3" ht="14.45" x14ac:dyDescent="0.3">
      <c r="B5" s="26" t="s">
        <v>232</v>
      </c>
      <c r="C5" s="24" t="s">
        <v>235</v>
      </c>
    </row>
    <row r="7" spans="1:3" x14ac:dyDescent="0.25">
      <c r="B7" s="18" t="s">
        <v>440</v>
      </c>
    </row>
    <row r="8" spans="1:3" x14ac:dyDescent="0.25">
      <c r="B8" s="18" t="s">
        <v>199</v>
      </c>
    </row>
    <row r="9" spans="1:3" x14ac:dyDescent="0.25">
      <c r="B9" s="18" t="s">
        <v>200</v>
      </c>
    </row>
    <row r="10" spans="1:3" x14ac:dyDescent="0.25">
      <c r="B10" s="18" t="s">
        <v>792</v>
      </c>
    </row>
    <row r="11" spans="1:3" x14ac:dyDescent="0.25">
      <c r="B11" s="18" t="s">
        <v>202</v>
      </c>
    </row>
    <row r="12" spans="1:3" x14ac:dyDescent="0.25">
      <c r="B12" s="18" t="s">
        <v>203</v>
      </c>
    </row>
    <row r="13" spans="1:3" x14ac:dyDescent="0.25">
      <c r="B13" s="18" t="s">
        <v>204</v>
      </c>
    </row>
    <row r="14" spans="1:3" x14ac:dyDescent="0.25">
      <c r="B14" s="18" t="s">
        <v>205</v>
      </c>
    </row>
    <row r="15" spans="1:3" x14ac:dyDescent="0.25">
      <c r="B15" s="18" t="s">
        <v>441</v>
      </c>
    </row>
    <row r="16" spans="1:3" x14ac:dyDescent="0.25">
      <c r="B16" s="18" t="s">
        <v>216</v>
      </c>
    </row>
    <row r="17" spans="2:6" x14ac:dyDescent="0.25">
      <c r="B17" s="17" t="s">
        <v>236</v>
      </c>
    </row>
    <row r="18" spans="2:6" x14ac:dyDescent="0.25">
      <c r="B18" s="18"/>
    </row>
    <row r="19" spans="2:6" x14ac:dyDescent="0.25">
      <c r="B19" s="19" t="s">
        <v>793</v>
      </c>
    </row>
    <row r="20" spans="2:6" x14ac:dyDescent="0.25">
      <c r="F20" s="17" t="s">
        <v>794</v>
      </c>
    </row>
    <row r="21" spans="2:6" x14ac:dyDescent="0.25">
      <c r="B21" s="17" t="s">
        <v>208</v>
      </c>
    </row>
    <row r="22" spans="2:6" x14ac:dyDescent="0.25">
      <c r="B22" s="19" t="s">
        <v>795</v>
      </c>
    </row>
    <row r="23" spans="2:6" x14ac:dyDescent="0.25">
      <c r="B23" s="19" t="s">
        <v>796</v>
      </c>
    </row>
    <row r="24" spans="2:6" x14ac:dyDescent="0.25">
      <c r="D24" s="17" t="s">
        <v>797</v>
      </c>
    </row>
    <row r="25" spans="2:6" x14ac:dyDescent="0.25">
      <c r="D25" s="17" t="s">
        <v>798</v>
      </c>
    </row>
    <row r="26" spans="2:6" x14ac:dyDescent="0.25">
      <c r="B26" s="19" t="s">
        <v>799</v>
      </c>
    </row>
    <row r="27" spans="2:6" x14ac:dyDescent="0.25">
      <c r="B27" s="19" t="s">
        <v>800</v>
      </c>
    </row>
    <row r="28" spans="2:6" x14ac:dyDescent="0.25">
      <c r="D28" s="17" t="s">
        <v>801</v>
      </c>
    </row>
    <row r="29" spans="2:6" x14ac:dyDescent="0.25">
      <c r="D29" s="17" t="s">
        <v>802</v>
      </c>
    </row>
    <row r="30" spans="2:6" x14ac:dyDescent="0.25">
      <c r="D30" s="17" t="s">
        <v>803</v>
      </c>
    </row>
    <row r="31" spans="2:6" x14ac:dyDescent="0.25">
      <c r="D31" s="17" t="s">
        <v>804</v>
      </c>
    </row>
    <row r="32" spans="2:6" x14ac:dyDescent="0.25">
      <c r="D32" s="17" t="s">
        <v>212</v>
      </c>
    </row>
    <row r="33" spans="2:2" x14ac:dyDescent="0.25">
      <c r="B33" s="19" t="s">
        <v>894</v>
      </c>
    </row>
    <row r="34" spans="2:2" x14ac:dyDescent="0.25">
      <c r="B34" s="19" t="s">
        <v>805</v>
      </c>
    </row>
    <row r="35" spans="2:2" x14ac:dyDescent="0.25">
      <c r="B35" s="20"/>
    </row>
    <row r="36" spans="2:2" x14ac:dyDescent="0.25">
      <c r="B36" s="18" t="s">
        <v>237</v>
      </c>
    </row>
    <row r="37" spans="2:2" x14ac:dyDescent="0.25">
      <c r="B37" s="19" t="s">
        <v>806</v>
      </c>
    </row>
    <row r="38" spans="2:2" x14ac:dyDescent="0.25">
      <c r="B38" s="17" t="s">
        <v>807</v>
      </c>
    </row>
    <row r="39" spans="2:2" x14ac:dyDescent="0.25">
      <c r="B39" s="17" t="s">
        <v>808</v>
      </c>
    </row>
    <row r="40" spans="2:2" x14ac:dyDescent="0.25">
      <c r="B40" s="17"/>
    </row>
    <row r="41" spans="2:2" x14ac:dyDescent="0.25">
      <c r="B41" s="19" t="s">
        <v>809</v>
      </c>
    </row>
    <row r="42" spans="2:2" x14ac:dyDescent="0.25">
      <c r="B42" s="19" t="s">
        <v>810</v>
      </c>
    </row>
    <row r="43" spans="2:2" x14ac:dyDescent="0.25">
      <c r="B43" s="19" t="s">
        <v>895</v>
      </c>
    </row>
    <row r="44" spans="2:2" x14ac:dyDescent="0.25">
      <c r="B44" s="17"/>
    </row>
    <row r="45" spans="2:2" x14ac:dyDescent="0.25">
      <c r="B45" s="17"/>
    </row>
    <row r="46" spans="2:2" x14ac:dyDescent="0.25">
      <c r="B46" s="18" t="s">
        <v>238</v>
      </c>
    </row>
    <row r="47" spans="2:2" x14ac:dyDescent="0.25">
      <c r="B47" s="19" t="s">
        <v>848</v>
      </c>
    </row>
    <row r="48" spans="2:2" x14ac:dyDescent="0.25">
      <c r="B48" s="17" t="s">
        <v>219</v>
      </c>
    </row>
    <row r="49" spans="2:3" x14ac:dyDescent="0.25">
      <c r="B49" s="17"/>
    </row>
    <row r="50" spans="2:3" x14ac:dyDescent="0.25">
      <c r="B50" s="19" t="s">
        <v>811</v>
      </c>
    </row>
    <row r="51" spans="2:3" x14ac:dyDescent="0.25">
      <c r="B51" s="19" t="s">
        <v>812</v>
      </c>
    </row>
    <row r="52" spans="2:3" x14ac:dyDescent="0.25">
      <c r="B52" s="19" t="s">
        <v>813</v>
      </c>
    </row>
    <row r="53" spans="2:3" x14ac:dyDescent="0.25">
      <c r="B53" s="19" t="s">
        <v>814</v>
      </c>
    </row>
    <row r="54" spans="2:3" x14ac:dyDescent="0.25">
      <c r="B54" s="17"/>
    </row>
    <row r="55" spans="2:3" x14ac:dyDescent="0.25">
      <c r="B55" s="17" t="s">
        <v>239</v>
      </c>
    </row>
    <row r="56" spans="2:3" x14ac:dyDescent="0.25">
      <c r="B56" s="19" t="s">
        <v>815</v>
      </c>
    </row>
    <row r="57" spans="2:3" x14ac:dyDescent="0.25">
      <c r="B57" s="17" t="s">
        <v>807</v>
      </c>
    </row>
    <row r="58" spans="2:3" x14ac:dyDescent="0.25">
      <c r="B58" s="17" t="s">
        <v>816</v>
      </c>
    </row>
    <row r="59" spans="2:3" x14ac:dyDescent="0.25">
      <c r="B59" s="20"/>
    </row>
    <row r="60" spans="2:3" x14ac:dyDescent="0.25">
      <c r="B60" s="19" t="s">
        <v>817</v>
      </c>
    </row>
    <row r="61" spans="2:3" x14ac:dyDescent="0.25">
      <c r="B61" s="19" t="s">
        <v>818</v>
      </c>
    </row>
    <row r="62" spans="2:3" x14ac:dyDescent="0.25">
      <c r="C62" s="17" t="s">
        <v>819</v>
      </c>
    </row>
    <row r="63" spans="2:3" x14ac:dyDescent="0.25">
      <c r="C63" s="17" t="s">
        <v>820</v>
      </c>
    </row>
    <row r="64" spans="2:3" x14ac:dyDescent="0.25">
      <c r="C64" s="19" t="s">
        <v>821</v>
      </c>
    </row>
    <row r="65" spans="2:4" x14ac:dyDescent="0.25">
      <c r="C65" s="17" t="s">
        <v>822</v>
      </c>
    </row>
    <row r="66" spans="2:4" x14ac:dyDescent="0.25">
      <c r="D66" s="17" t="s">
        <v>823</v>
      </c>
    </row>
    <row r="67" spans="2:4" x14ac:dyDescent="0.25">
      <c r="D67" s="17" t="s">
        <v>824</v>
      </c>
    </row>
    <row r="68" spans="2:4" x14ac:dyDescent="0.25">
      <c r="D68" s="17" t="s">
        <v>825</v>
      </c>
    </row>
    <row r="69" spans="2:4" x14ac:dyDescent="0.25">
      <c r="C69" s="19" t="s">
        <v>222</v>
      </c>
    </row>
    <row r="70" spans="2:4" x14ac:dyDescent="0.25">
      <c r="D70" s="20" t="s">
        <v>826</v>
      </c>
    </row>
    <row r="71" spans="2:4" x14ac:dyDescent="0.25">
      <c r="D71" s="17" t="s">
        <v>827</v>
      </c>
    </row>
    <row r="72" spans="2:4" x14ac:dyDescent="0.25">
      <c r="B72" s="17"/>
    </row>
    <row r="73" spans="2:4" x14ac:dyDescent="0.25">
      <c r="B73" s="17" t="s">
        <v>240</v>
      </c>
    </row>
    <row r="74" spans="2:4" x14ac:dyDescent="0.25">
      <c r="B74" s="18"/>
    </row>
    <row r="75" spans="2:4" x14ac:dyDescent="0.25">
      <c r="B75" s="19" t="s">
        <v>828</v>
      </c>
    </row>
    <row r="76" spans="2:4" x14ac:dyDescent="0.25">
      <c r="B76" s="17" t="s">
        <v>829</v>
      </c>
    </row>
    <row r="77" spans="2:4" x14ac:dyDescent="0.25">
      <c r="B77" s="17"/>
    </row>
    <row r="78" spans="2:4" x14ac:dyDescent="0.25">
      <c r="B78" s="19" t="s">
        <v>830</v>
      </c>
    </row>
    <row r="79" spans="2:4" x14ac:dyDescent="0.25">
      <c r="B79" s="19" t="s">
        <v>818</v>
      </c>
    </row>
    <row r="80" spans="2:4" x14ac:dyDescent="0.25">
      <c r="C80" s="17" t="s">
        <v>849</v>
      </c>
    </row>
    <row r="81" spans="2:4" x14ac:dyDescent="0.25">
      <c r="C81" s="17" t="s">
        <v>850</v>
      </c>
    </row>
    <row r="82" spans="2:4" x14ac:dyDescent="0.25">
      <c r="C82" s="21" t="s">
        <v>851</v>
      </c>
    </row>
    <row r="83" spans="2:4" x14ac:dyDescent="0.25">
      <c r="C83" s="21" t="s">
        <v>852</v>
      </c>
      <c r="D83" s="17" t="s">
        <v>208</v>
      </c>
    </row>
    <row r="84" spans="2:4" x14ac:dyDescent="0.25">
      <c r="B84" s="19" t="s">
        <v>832</v>
      </c>
    </row>
    <row r="85" spans="2:4" x14ac:dyDescent="0.25">
      <c r="B85" s="19" t="s">
        <v>853</v>
      </c>
    </row>
    <row r="86" spans="2:4" x14ac:dyDescent="0.25">
      <c r="C86" s="17" t="s">
        <v>831</v>
      </c>
    </row>
    <row r="87" spans="2:4" x14ac:dyDescent="0.25">
      <c r="C87" s="20" t="s">
        <v>833</v>
      </c>
    </row>
    <row r="88" spans="2:4" x14ac:dyDescent="0.25">
      <c r="C88" s="17" t="s">
        <v>16</v>
      </c>
    </row>
    <row r="89" spans="2:4" x14ac:dyDescent="0.25">
      <c r="B89" s="17" t="s">
        <v>212</v>
      </c>
    </row>
    <row r="90" spans="2:4" x14ac:dyDescent="0.25">
      <c r="B90" s="17" t="s">
        <v>241</v>
      </c>
    </row>
    <row r="91" spans="2:4" x14ac:dyDescent="0.25">
      <c r="B91" s="17" t="s">
        <v>212</v>
      </c>
    </row>
    <row r="92" spans="2:4" x14ac:dyDescent="0.25">
      <c r="B92" s="19" t="s">
        <v>847</v>
      </c>
    </row>
    <row r="93" spans="2:4" x14ac:dyDescent="0.25">
      <c r="B93" s="19" t="s">
        <v>834</v>
      </c>
    </row>
    <row r="94" spans="2:4" x14ac:dyDescent="0.25">
      <c r="B94" s="19" t="s">
        <v>835</v>
      </c>
    </row>
    <row r="95" spans="2:4" x14ac:dyDescent="0.25">
      <c r="B95" s="19" t="s">
        <v>836</v>
      </c>
    </row>
    <row r="96" spans="2:4" x14ac:dyDescent="0.25">
      <c r="B96" s="18"/>
    </row>
    <row r="97" spans="2:4" x14ac:dyDescent="0.25">
      <c r="B97" s="18" t="s">
        <v>242</v>
      </c>
    </row>
    <row r="98" spans="2:4" x14ac:dyDescent="0.25">
      <c r="B98" s="19" t="s">
        <v>837</v>
      </c>
    </row>
    <row r="99" spans="2:4" x14ac:dyDescent="0.25">
      <c r="B99" s="17"/>
    </row>
    <row r="100" spans="2:4" x14ac:dyDescent="0.25">
      <c r="B100" s="19" t="s">
        <v>838</v>
      </c>
    </row>
    <row r="101" spans="2:4" x14ac:dyDescent="0.25">
      <c r="B101" s="19" t="s">
        <v>839</v>
      </c>
    </row>
    <row r="102" spans="2:4" x14ac:dyDescent="0.25">
      <c r="D102" s="17" t="s">
        <v>840</v>
      </c>
    </row>
    <row r="103" spans="2:4" x14ac:dyDescent="0.25">
      <c r="B103" s="19" t="s">
        <v>836</v>
      </c>
    </row>
    <row r="104" spans="2:4" x14ac:dyDescent="0.25">
      <c r="B104" s="18" t="s">
        <v>243</v>
      </c>
    </row>
    <row r="105" spans="2:4" x14ac:dyDescent="0.25">
      <c r="B105" s="19" t="s">
        <v>841</v>
      </c>
    </row>
    <row r="106" spans="2:4" x14ac:dyDescent="0.25">
      <c r="B106" s="17" t="s">
        <v>842</v>
      </c>
    </row>
    <row r="107" spans="2:4" s="167" customFormat="1" x14ac:dyDescent="0.25">
      <c r="B107" s="17"/>
    </row>
    <row r="108" spans="2:4" x14ac:dyDescent="0.25">
      <c r="B108" s="19" t="s">
        <v>843</v>
      </c>
    </row>
    <row r="109" spans="2:4" x14ac:dyDescent="0.25">
      <c r="B109" s="19" t="s">
        <v>854</v>
      </c>
    </row>
    <row r="110" spans="2:4" x14ac:dyDescent="0.25">
      <c r="C110" s="21" t="s">
        <v>844</v>
      </c>
    </row>
    <row r="111" spans="2:4" x14ac:dyDescent="0.25">
      <c r="C111" s="21" t="s">
        <v>845</v>
      </c>
    </row>
    <row r="112" spans="2:4" x14ac:dyDescent="0.25">
      <c r="B112" s="19" t="s">
        <v>896</v>
      </c>
    </row>
    <row r="113" spans="2:2" x14ac:dyDescent="0.25">
      <c r="B113" s="19" t="s">
        <v>855</v>
      </c>
    </row>
    <row r="114" spans="2:2" x14ac:dyDescent="0.25">
      <c r="B114" s="17"/>
    </row>
    <row r="115" spans="2:2" x14ac:dyDescent="0.25">
      <c r="B115" s="19" t="s">
        <v>846</v>
      </c>
    </row>
  </sheetData>
  <hyperlinks>
    <hyperlink ref="A1" location="Navigation!A1" display="Home"/>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sheetPr>
  <dimension ref="A1:F207"/>
  <sheetViews>
    <sheetView zoomScaleNormal="100" workbookViewId="0"/>
  </sheetViews>
  <sheetFormatPr defaultRowHeight="15" x14ac:dyDescent="0.25"/>
  <cols>
    <col min="1" max="1" width="9.140625" style="167"/>
    <col min="2" max="2" width="26.140625" style="167" customWidth="1"/>
    <col min="3" max="16384" width="9.140625" style="167"/>
  </cols>
  <sheetData>
    <row r="1" spans="1:3" ht="14.45" x14ac:dyDescent="0.3">
      <c r="A1" s="173" t="s">
        <v>377</v>
      </c>
    </row>
    <row r="2" spans="1:3" ht="18" x14ac:dyDescent="0.35">
      <c r="B2" s="1" t="s">
        <v>234</v>
      </c>
    </row>
    <row r="3" spans="1:3" ht="14.45" x14ac:dyDescent="0.3"/>
    <row r="4" spans="1:3" ht="14.45" x14ac:dyDescent="0.3">
      <c r="B4" s="26"/>
      <c r="C4" s="22"/>
    </row>
    <row r="5" spans="1:3" ht="14.45" x14ac:dyDescent="0.3">
      <c r="B5" s="26" t="s">
        <v>232</v>
      </c>
      <c r="C5" s="24" t="s">
        <v>235</v>
      </c>
    </row>
    <row r="7" spans="1:3" x14ac:dyDescent="0.25">
      <c r="B7" s="167" t="s">
        <v>514</v>
      </c>
    </row>
    <row r="9" spans="1:3" x14ac:dyDescent="0.25">
      <c r="B9" s="19" t="s">
        <v>523</v>
      </c>
    </row>
    <row r="10" spans="1:3" x14ac:dyDescent="0.25">
      <c r="B10" s="19" t="s">
        <v>524</v>
      </c>
    </row>
    <row r="11" spans="1:3" x14ac:dyDescent="0.25">
      <c r="B11" s="19"/>
    </row>
    <row r="12" spans="1:3" x14ac:dyDescent="0.25">
      <c r="B12" s="19" t="s">
        <v>525</v>
      </c>
    </row>
    <row r="13" spans="1:3" x14ac:dyDescent="0.25">
      <c r="B13" s="19" t="s">
        <v>526</v>
      </c>
    </row>
    <row r="14" spans="1:3" x14ac:dyDescent="0.25">
      <c r="B14" s="19" t="s">
        <v>527</v>
      </c>
    </row>
    <row r="15" spans="1:3" x14ac:dyDescent="0.25">
      <c r="B15" s="19" t="s">
        <v>528</v>
      </c>
    </row>
    <row r="16" spans="1:3" x14ac:dyDescent="0.25">
      <c r="B16" s="19" t="s">
        <v>529</v>
      </c>
    </row>
    <row r="17" spans="2:2" x14ac:dyDescent="0.25">
      <c r="B17" s="19" t="s">
        <v>530</v>
      </c>
    </row>
    <row r="18" spans="2:2" x14ac:dyDescent="0.25">
      <c r="B18" s="17"/>
    </row>
    <row r="19" spans="2:2" x14ac:dyDescent="0.25">
      <c r="B19" s="19" t="s">
        <v>531</v>
      </c>
    </row>
    <row r="20" spans="2:2" x14ac:dyDescent="0.25">
      <c r="B20" s="19" t="s">
        <v>532</v>
      </c>
    </row>
    <row r="21" spans="2:2" x14ac:dyDescent="0.25">
      <c r="B21" s="19" t="s">
        <v>533</v>
      </c>
    </row>
    <row r="22" spans="2:2" x14ac:dyDescent="0.25">
      <c r="B22" s="17" t="s">
        <v>534</v>
      </c>
    </row>
    <row r="23" spans="2:2" x14ac:dyDescent="0.25">
      <c r="B23" s="19" t="s">
        <v>222</v>
      </c>
    </row>
    <row r="24" spans="2:2" x14ac:dyDescent="0.25">
      <c r="B24" s="17" t="s">
        <v>535</v>
      </c>
    </row>
    <row r="25" spans="2:2" x14ac:dyDescent="0.25">
      <c r="B25" s="20" t="s">
        <v>536</v>
      </c>
    </row>
    <row r="26" spans="2:2" x14ac:dyDescent="0.25">
      <c r="B26" s="19" t="s">
        <v>537</v>
      </c>
    </row>
    <row r="27" spans="2:2" x14ac:dyDescent="0.25">
      <c r="B27" s="18" t="s">
        <v>538</v>
      </c>
    </row>
    <row r="28" spans="2:2" x14ac:dyDescent="0.25">
      <c r="B28" s="18"/>
    </row>
    <row r="29" spans="2:2" x14ac:dyDescent="0.25">
      <c r="B29" s="18"/>
    </row>
    <row r="30" spans="2:2" x14ac:dyDescent="0.25">
      <c r="B30" s="19" t="s">
        <v>539</v>
      </c>
    </row>
    <row r="31" spans="2:2" x14ac:dyDescent="0.25">
      <c r="B31" s="19" t="s">
        <v>540</v>
      </c>
    </row>
    <row r="32" spans="2:2" x14ac:dyDescent="0.25">
      <c r="B32" s="19" t="s">
        <v>533</v>
      </c>
    </row>
    <row r="33" spans="2:4" x14ac:dyDescent="0.25">
      <c r="B33" s="17" t="s">
        <v>534</v>
      </c>
    </row>
    <row r="34" spans="2:4" x14ac:dyDescent="0.25">
      <c r="B34" s="19" t="s">
        <v>222</v>
      </c>
    </row>
    <row r="35" spans="2:4" x14ac:dyDescent="0.25">
      <c r="B35" s="17" t="s">
        <v>541</v>
      </c>
    </row>
    <row r="36" spans="2:4" x14ac:dyDescent="0.25">
      <c r="B36" s="20" t="s">
        <v>536</v>
      </c>
    </row>
    <row r="37" spans="2:4" x14ac:dyDescent="0.25">
      <c r="B37" s="19" t="s">
        <v>537</v>
      </c>
    </row>
    <row r="38" spans="2:4" x14ac:dyDescent="0.25">
      <c r="B38" s="18" t="s">
        <v>542</v>
      </c>
    </row>
    <row r="39" spans="2:4" x14ac:dyDescent="0.25">
      <c r="B39" s="18"/>
    </row>
    <row r="40" spans="2:4" x14ac:dyDescent="0.25">
      <c r="B40" s="18"/>
    </row>
    <row r="41" spans="2:4" x14ac:dyDescent="0.25">
      <c r="B41" s="18"/>
    </row>
    <row r="42" spans="2:4" x14ac:dyDescent="0.25">
      <c r="B42" s="18" t="s">
        <v>543</v>
      </c>
    </row>
    <row r="43" spans="2:4" x14ac:dyDescent="0.25">
      <c r="B43" s="19" t="s">
        <v>544</v>
      </c>
    </row>
    <row r="44" spans="2:4" x14ac:dyDescent="0.25">
      <c r="B44" s="19" t="s">
        <v>545</v>
      </c>
    </row>
    <row r="45" spans="2:4" x14ac:dyDescent="0.25">
      <c r="B45" s="19" t="s">
        <v>546</v>
      </c>
    </row>
    <row r="46" spans="2:4" x14ac:dyDescent="0.25">
      <c r="C46" s="17" t="s">
        <v>547</v>
      </c>
    </row>
    <row r="47" spans="2:4" x14ac:dyDescent="0.25">
      <c r="D47" s="17" t="s">
        <v>534</v>
      </c>
    </row>
    <row r="48" spans="2:4" x14ac:dyDescent="0.25">
      <c r="C48" s="17" t="s">
        <v>548</v>
      </c>
    </row>
    <row r="49" spans="2:4" x14ac:dyDescent="0.25">
      <c r="D49" s="17" t="s">
        <v>549</v>
      </c>
    </row>
    <row r="50" spans="2:4" x14ac:dyDescent="0.25">
      <c r="D50" s="20" t="s">
        <v>536</v>
      </c>
    </row>
    <row r="51" spans="2:4" x14ac:dyDescent="0.25">
      <c r="D51" s="20" t="s">
        <v>550</v>
      </c>
    </row>
    <row r="52" spans="2:4" x14ac:dyDescent="0.25">
      <c r="D52" s="20" t="s">
        <v>551</v>
      </c>
    </row>
    <row r="53" spans="2:4" x14ac:dyDescent="0.25">
      <c r="D53" s="20" t="s">
        <v>552</v>
      </c>
    </row>
    <row r="54" spans="2:4" x14ac:dyDescent="0.25">
      <c r="C54" s="17" t="s">
        <v>547</v>
      </c>
    </row>
    <row r="55" spans="2:4" x14ac:dyDescent="0.25">
      <c r="D55" s="17" t="s">
        <v>534</v>
      </c>
    </row>
    <row r="56" spans="2:4" x14ac:dyDescent="0.25">
      <c r="C56" s="17" t="s">
        <v>548</v>
      </c>
    </row>
    <row r="57" spans="2:4" x14ac:dyDescent="0.25">
      <c r="D57" s="17" t="s">
        <v>553</v>
      </c>
    </row>
    <row r="58" spans="2:4" x14ac:dyDescent="0.25">
      <c r="D58" s="20" t="s">
        <v>536</v>
      </c>
    </row>
    <row r="59" spans="2:4" x14ac:dyDescent="0.25">
      <c r="D59" s="20" t="s">
        <v>554</v>
      </c>
    </row>
    <row r="60" spans="2:4" x14ac:dyDescent="0.25">
      <c r="B60" s="19" t="s">
        <v>555</v>
      </c>
    </row>
    <row r="61" spans="2:4" x14ac:dyDescent="0.25">
      <c r="B61" s="20" t="s">
        <v>556</v>
      </c>
    </row>
    <row r="62" spans="2:4" x14ac:dyDescent="0.25">
      <c r="B62" s="20" t="s">
        <v>557</v>
      </c>
    </row>
    <row r="63" spans="2:4" x14ac:dyDescent="0.25">
      <c r="B63" s="19" t="s">
        <v>558</v>
      </c>
    </row>
    <row r="64" spans="2:4" x14ac:dyDescent="0.25">
      <c r="B64" s="18" t="s">
        <v>559</v>
      </c>
    </row>
    <row r="65" spans="2:2" x14ac:dyDescent="0.25">
      <c r="B65" s="18"/>
    </row>
    <row r="66" spans="2:2" x14ac:dyDescent="0.25">
      <c r="B66" s="18"/>
    </row>
    <row r="67" spans="2:2" x14ac:dyDescent="0.25">
      <c r="B67" s="18" t="s">
        <v>560</v>
      </c>
    </row>
    <row r="68" spans="2:2" x14ac:dyDescent="0.25">
      <c r="B68" s="19" t="s">
        <v>561</v>
      </c>
    </row>
    <row r="69" spans="2:2" x14ac:dyDescent="0.25">
      <c r="B69" s="19" t="s">
        <v>562</v>
      </c>
    </row>
    <row r="70" spans="2:2" x14ac:dyDescent="0.25">
      <c r="B70" s="20" t="s">
        <v>563</v>
      </c>
    </row>
    <row r="71" spans="2:2" x14ac:dyDescent="0.25">
      <c r="B71" s="19" t="s">
        <v>564</v>
      </c>
    </row>
    <row r="72" spans="2:2" x14ac:dyDescent="0.25">
      <c r="B72" s="19" t="s">
        <v>565</v>
      </c>
    </row>
    <row r="73" spans="2:2" x14ac:dyDescent="0.25">
      <c r="B73" s="20" t="s">
        <v>566</v>
      </c>
    </row>
    <row r="74" spans="2:2" x14ac:dyDescent="0.25">
      <c r="B74" s="18" t="s">
        <v>559</v>
      </c>
    </row>
    <row r="75" spans="2:2" x14ac:dyDescent="0.25">
      <c r="B75" s="18"/>
    </row>
    <row r="76" spans="2:2" x14ac:dyDescent="0.25">
      <c r="B76" s="18"/>
    </row>
    <row r="77" spans="2:2" x14ac:dyDescent="0.25">
      <c r="B77" s="19" t="s">
        <v>567</v>
      </c>
    </row>
    <row r="78" spans="2:2" x14ac:dyDescent="0.25">
      <c r="B78" s="19" t="s">
        <v>568</v>
      </c>
    </row>
    <row r="79" spans="2:2" x14ac:dyDescent="0.25">
      <c r="B79" s="20" t="s">
        <v>563</v>
      </c>
    </row>
    <row r="80" spans="2:2" x14ac:dyDescent="0.25">
      <c r="B80" s="19" t="s">
        <v>569</v>
      </c>
    </row>
    <row r="81" spans="2:2" x14ac:dyDescent="0.25">
      <c r="B81" s="19" t="s">
        <v>570</v>
      </c>
    </row>
    <row r="82" spans="2:2" x14ac:dyDescent="0.25">
      <c r="B82" s="20" t="s">
        <v>571</v>
      </c>
    </row>
    <row r="83" spans="2:2" x14ac:dyDescent="0.25">
      <c r="B83" s="18" t="s">
        <v>559</v>
      </c>
    </row>
    <row r="84" spans="2:2" x14ac:dyDescent="0.25">
      <c r="B84" s="18"/>
    </row>
    <row r="85" spans="2:2" x14ac:dyDescent="0.25">
      <c r="B85" s="18"/>
    </row>
    <row r="86" spans="2:2" x14ac:dyDescent="0.25">
      <c r="B86" s="18" t="s">
        <v>572</v>
      </c>
    </row>
    <row r="87" spans="2:2" x14ac:dyDescent="0.25">
      <c r="B87" s="19" t="s">
        <v>573</v>
      </c>
    </row>
    <row r="88" spans="2:2" x14ac:dyDescent="0.25">
      <c r="B88" s="19" t="s">
        <v>574</v>
      </c>
    </row>
    <row r="89" spans="2:2" x14ac:dyDescent="0.25">
      <c r="B89" s="19" t="s">
        <v>575</v>
      </c>
    </row>
    <row r="90" spans="2:2" x14ac:dyDescent="0.25">
      <c r="B90" s="19" t="s">
        <v>576</v>
      </c>
    </row>
    <row r="91" spans="2:2" x14ac:dyDescent="0.25">
      <c r="B91" s="19" t="s">
        <v>577</v>
      </c>
    </row>
    <row r="92" spans="2:2" x14ac:dyDescent="0.25">
      <c r="B92" s="19" t="s">
        <v>578</v>
      </c>
    </row>
    <row r="93" spans="2:2" x14ac:dyDescent="0.25">
      <c r="B93" s="18" t="s">
        <v>579</v>
      </c>
    </row>
    <row r="94" spans="2:2" x14ac:dyDescent="0.25">
      <c r="B94" s="18"/>
    </row>
    <row r="95" spans="2:2" x14ac:dyDescent="0.25">
      <c r="B95" s="18"/>
    </row>
    <row r="96" spans="2:2" x14ac:dyDescent="0.25">
      <c r="B96" s="19" t="s">
        <v>573</v>
      </c>
    </row>
    <row r="97" spans="2:2" x14ac:dyDescent="0.25">
      <c r="B97" s="19" t="s">
        <v>580</v>
      </c>
    </row>
    <row r="98" spans="2:2" x14ac:dyDescent="0.25">
      <c r="B98" s="19" t="s">
        <v>581</v>
      </c>
    </row>
    <row r="99" spans="2:2" x14ac:dyDescent="0.25">
      <c r="B99" s="19" t="s">
        <v>576</v>
      </c>
    </row>
    <row r="100" spans="2:2" x14ac:dyDescent="0.25">
      <c r="B100" s="19" t="s">
        <v>577</v>
      </c>
    </row>
    <row r="101" spans="2:2" x14ac:dyDescent="0.25">
      <c r="B101" s="19" t="s">
        <v>578</v>
      </c>
    </row>
    <row r="102" spans="2:2" x14ac:dyDescent="0.25">
      <c r="B102" s="18" t="s">
        <v>582</v>
      </c>
    </row>
    <row r="103" spans="2:2" x14ac:dyDescent="0.25">
      <c r="B103" s="18"/>
    </row>
    <row r="104" spans="2:2" x14ac:dyDescent="0.25">
      <c r="B104" s="18" t="s">
        <v>583</v>
      </c>
    </row>
    <row r="105" spans="2:2" x14ac:dyDescent="0.25">
      <c r="B105" s="19" t="s">
        <v>584</v>
      </c>
    </row>
    <row r="106" spans="2:2" x14ac:dyDescent="0.25">
      <c r="B106" s="19" t="s">
        <v>585</v>
      </c>
    </row>
    <row r="107" spans="2:2" x14ac:dyDescent="0.25">
      <c r="B107" s="19" t="s">
        <v>586</v>
      </c>
    </row>
    <row r="108" spans="2:2" x14ac:dyDescent="0.25">
      <c r="B108" s="20" t="s">
        <v>587</v>
      </c>
    </row>
    <row r="109" spans="2:2" x14ac:dyDescent="0.25">
      <c r="B109" s="19" t="s">
        <v>588</v>
      </c>
    </row>
    <row r="110" spans="2:2" x14ac:dyDescent="0.25">
      <c r="B110" s="20" t="s">
        <v>589</v>
      </c>
    </row>
    <row r="111" spans="2:2" x14ac:dyDescent="0.25">
      <c r="B111" s="19" t="s">
        <v>590</v>
      </c>
    </row>
    <row r="112" spans="2:2" x14ac:dyDescent="0.25">
      <c r="B112" s="20" t="s">
        <v>591</v>
      </c>
    </row>
    <row r="113" spans="2:2" x14ac:dyDescent="0.25">
      <c r="B113" s="19" t="s">
        <v>592</v>
      </c>
    </row>
    <row r="114" spans="2:2" x14ac:dyDescent="0.25">
      <c r="B114" s="18" t="s">
        <v>593</v>
      </c>
    </row>
    <row r="115" spans="2:2" x14ac:dyDescent="0.25">
      <c r="B115" s="18"/>
    </row>
    <row r="116" spans="2:2" x14ac:dyDescent="0.25">
      <c r="B116" s="18"/>
    </row>
    <row r="117" spans="2:2" x14ac:dyDescent="0.25">
      <c r="B117" s="18" t="s">
        <v>594</v>
      </c>
    </row>
    <row r="118" spans="2:2" x14ac:dyDescent="0.25">
      <c r="B118" s="18"/>
    </row>
    <row r="119" spans="2:2" x14ac:dyDescent="0.25">
      <c r="B119" s="19" t="s">
        <v>595</v>
      </c>
    </row>
    <row r="120" spans="2:2" x14ac:dyDescent="0.25">
      <c r="B120" s="19" t="s">
        <v>596</v>
      </c>
    </row>
    <row r="121" spans="2:2" x14ac:dyDescent="0.25">
      <c r="B121" s="19" t="s">
        <v>586</v>
      </c>
    </row>
    <row r="122" spans="2:2" x14ac:dyDescent="0.25">
      <c r="B122" s="20" t="s">
        <v>587</v>
      </c>
    </row>
    <row r="123" spans="2:2" x14ac:dyDescent="0.25">
      <c r="B123" s="19" t="s">
        <v>588</v>
      </c>
    </row>
    <row r="124" spans="2:2" x14ac:dyDescent="0.25">
      <c r="B124" s="20" t="s">
        <v>589</v>
      </c>
    </row>
    <row r="125" spans="2:2" x14ac:dyDescent="0.25">
      <c r="B125" s="19" t="s">
        <v>590</v>
      </c>
    </row>
    <row r="126" spans="2:2" x14ac:dyDescent="0.25">
      <c r="B126" s="20" t="s">
        <v>591</v>
      </c>
    </row>
    <row r="127" spans="2:2" x14ac:dyDescent="0.25">
      <c r="B127" s="19" t="s">
        <v>592</v>
      </c>
    </row>
    <row r="128" spans="2:2" x14ac:dyDescent="0.25">
      <c r="B128" s="18" t="s">
        <v>593</v>
      </c>
    </row>
    <row r="129" spans="2:2" x14ac:dyDescent="0.25">
      <c r="B129" s="18"/>
    </row>
    <row r="130" spans="2:2" x14ac:dyDescent="0.25">
      <c r="B130" s="19" t="s">
        <v>561</v>
      </c>
    </row>
    <row r="131" spans="2:2" x14ac:dyDescent="0.25">
      <c r="B131" s="19" t="s">
        <v>586</v>
      </c>
    </row>
    <row r="132" spans="2:2" x14ac:dyDescent="0.25">
      <c r="B132" s="20" t="s">
        <v>597</v>
      </c>
    </row>
    <row r="133" spans="2:2" x14ac:dyDescent="0.25">
      <c r="B133" s="19" t="s">
        <v>598</v>
      </c>
    </row>
    <row r="134" spans="2:2" x14ac:dyDescent="0.25">
      <c r="B134" s="20" t="s">
        <v>599</v>
      </c>
    </row>
    <row r="135" spans="2:2" x14ac:dyDescent="0.25">
      <c r="B135" s="20" t="s">
        <v>600</v>
      </c>
    </row>
    <row r="136" spans="2:2" x14ac:dyDescent="0.25">
      <c r="B136" s="18" t="s">
        <v>593</v>
      </c>
    </row>
    <row r="137" spans="2:2" x14ac:dyDescent="0.25">
      <c r="B137" s="18"/>
    </row>
    <row r="138" spans="2:2" x14ac:dyDescent="0.25">
      <c r="B138" s="19" t="s">
        <v>567</v>
      </c>
    </row>
    <row r="139" spans="2:2" x14ac:dyDescent="0.25">
      <c r="B139" s="19" t="s">
        <v>601</v>
      </c>
    </row>
    <row r="140" spans="2:2" x14ac:dyDescent="0.25">
      <c r="B140" s="20" t="s">
        <v>597</v>
      </c>
    </row>
    <row r="141" spans="2:2" x14ac:dyDescent="0.25">
      <c r="B141" s="19" t="s">
        <v>602</v>
      </c>
    </row>
    <row r="142" spans="2:2" x14ac:dyDescent="0.25">
      <c r="B142" s="20" t="s">
        <v>603</v>
      </c>
    </row>
    <row r="143" spans="2:2" x14ac:dyDescent="0.25">
      <c r="B143" s="20" t="s">
        <v>604</v>
      </c>
    </row>
    <row r="144" spans="2:2" x14ac:dyDescent="0.25">
      <c r="B144" s="18" t="s">
        <v>593</v>
      </c>
    </row>
    <row r="145" spans="2:2" x14ac:dyDescent="0.25">
      <c r="B145" s="18"/>
    </row>
    <row r="146" spans="2:2" x14ac:dyDescent="0.25">
      <c r="B146" s="18"/>
    </row>
    <row r="147" spans="2:2" x14ac:dyDescent="0.25">
      <c r="B147" s="19" t="s">
        <v>605</v>
      </c>
    </row>
    <row r="148" spans="2:2" x14ac:dyDescent="0.25">
      <c r="B148" s="19" t="s">
        <v>606</v>
      </c>
    </row>
    <row r="149" spans="2:2" x14ac:dyDescent="0.25">
      <c r="B149" s="19" t="s">
        <v>607</v>
      </c>
    </row>
    <row r="150" spans="2:2" x14ac:dyDescent="0.25">
      <c r="B150" s="19"/>
    </row>
    <row r="151" spans="2:2" x14ac:dyDescent="0.25">
      <c r="B151" s="19" t="s">
        <v>608</v>
      </c>
    </row>
    <row r="152" spans="2:2" x14ac:dyDescent="0.25">
      <c r="B152" s="19" t="s">
        <v>609</v>
      </c>
    </row>
    <row r="153" spans="2:2" x14ac:dyDescent="0.25">
      <c r="B153" s="19"/>
    </row>
    <row r="154" spans="2:2" x14ac:dyDescent="0.25">
      <c r="B154" s="19" t="s">
        <v>610</v>
      </c>
    </row>
    <row r="155" spans="2:2" x14ac:dyDescent="0.25">
      <c r="B155" s="19" t="s">
        <v>611</v>
      </c>
    </row>
    <row r="156" spans="2:2" x14ac:dyDescent="0.25">
      <c r="B156" s="19" t="s">
        <v>612</v>
      </c>
    </row>
    <row r="157" spans="2:2" x14ac:dyDescent="0.25">
      <c r="B157" s="19" t="s">
        <v>581</v>
      </c>
    </row>
    <row r="158" spans="2:2" x14ac:dyDescent="0.25">
      <c r="B158" s="19" t="s">
        <v>578</v>
      </c>
    </row>
    <row r="159" spans="2:2" x14ac:dyDescent="0.25">
      <c r="B159" s="17"/>
    </row>
    <row r="160" spans="2:2" x14ac:dyDescent="0.25">
      <c r="B160" s="19" t="s">
        <v>613</v>
      </c>
    </row>
    <row r="161" spans="2:6" x14ac:dyDescent="0.25">
      <c r="B161" s="19" t="s">
        <v>614</v>
      </c>
    </row>
    <row r="162" spans="2:6" x14ac:dyDescent="0.25">
      <c r="B162" s="19" t="s">
        <v>615</v>
      </c>
    </row>
    <row r="163" spans="2:6" x14ac:dyDescent="0.25">
      <c r="B163" s="19" t="s">
        <v>616</v>
      </c>
    </row>
    <row r="164" spans="2:6" x14ac:dyDescent="0.25">
      <c r="B164" s="17"/>
    </row>
    <row r="165" spans="2:6" x14ac:dyDescent="0.25">
      <c r="C165" s="19" t="s">
        <v>617</v>
      </c>
    </row>
    <row r="166" spans="2:6" x14ac:dyDescent="0.25">
      <c r="D166" s="19" t="s">
        <v>618</v>
      </c>
    </row>
    <row r="167" spans="2:6" x14ac:dyDescent="0.25">
      <c r="E167" s="19" t="s">
        <v>617</v>
      </c>
    </row>
    <row r="168" spans="2:6" x14ac:dyDescent="0.25">
      <c r="F168" s="19" t="s">
        <v>619</v>
      </c>
    </row>
    <row r="169" spans="2:6" x14ac:dyDescent="0.25">
      <c r="F169" s="19" t="s">
        <v>620</v>
      </c>
    </row>
    <row r="170" spans="2:6" x14ac:dyDescent="0.25">
      <c r="F170" s="19" t="s">
        <v>584</v>
      </c>
    </row>
    <row r="171" spans="2:6" x14ac:dyDescent="0.25">
      <c r="F171" s="19" t="s">
        <v>621</v>
      </c>
    </row>
    <row r="172" spans="2:6" x14ac:dyDescent="0.25">
      <c r="F172" s="19" t="s">
        <v>622</v>
      </c>
    </row>
    <row r="173" spans="2:6" x14ac:dyDescent="0.25">
      <c r="F173" s="19" t="s">
        <v>623</v>
      </c>
    </row>
    <row r="174" spans="2:6" x14ac:dyDescent="0.25">
      <c r="F174" s="19" t="s">
        <v>624</v>
      </c>
    </row>
    <row r="175" spans="2:6" x14ac:dyDescent="0.25">
      <c r="F175" s="19" t="s">
        <v>625</v>
      </c>
    </row>
    <row r="176" spans="2:6" x14ac:dyDescent="0.25">
      <c r="B176" s="17"/>
    </row>
    <row r="177" spans="4:6" x14ac:dyDescent="0.25">
      <c r="E177" s="19" t="s">
        <v>626</v>
      </c>
    </row>
    <row r="178" spans="4:6" x14ac:dyDescent="0.25">
      <c r="D178" s="19" t="s">
        <v>627</v>
      </c>
    </row>
    <row r="179" spans="4:6" x14ac:dyDescent="0.25">
      <c r="E179" s="19" t="s">
        <v>617</v>
      </c>
    </row>
    <row r="180" spans="4:6" x14ac:dyDescent="0.25">
      <c r="F180" s="19" t="s">
        <v>628</v>
      </c>
    </row>
    <row r="181" spans="4:6" x14ac:dyDescent="0.25">
      <c r="F181" s="19" t="s">
        <v>629</v>
      </c>
    </row>
    <row r="182" spans="4:6" x14ac:dyDescent="0.25">
      <c r="F182" s="19" t="s">
        <v>584</v>
      </c>
    </row>
    <row r="183" spans="4:6" x14ac:dyDescent="0.25">
      <c r="F183" s="19" t="s">
        <v>630</v>
      </c>
    </row>
    <row r="184" spans="4:6" x14ac:dyDescent="0.25">
      <c r="F184" s="19" t="s">
        <v>622</v>
      </c>
    </row>
    <row r="185" spans="4:6" x14ac:dyDescent="0.25">
      <c r="F185" s="19" t="s">
        <v>631</v>
      </c>
    </row>
    <row r="186" spans="4:6" x14ac:dyDescent="0.25">
      <c r="F186" s="19" t="s">
        <v>624</v>
      </c>
    </row>
    <row r="187" spans="4:6" x14ac:dyDescent="0.25">
      <c r="F187" s="19" t="s">
        <v>632</v>
      </c>
    </row>
    <row r="188" spans="4:6" x14ac:dyDescent="0.25">
      <c r="E188" s="19" t="s">
        <v>626</v>
      </c>
    </row>
    <row r="189" spans="4:6" x14ac:dyDescent="0.25">
      <c r="D189" s="19" t="s">
        <v>633</v>
      </c>
    </row>
    <row r="190" spans="4:6" x14ac:dyDescent="0.25">
      <c r="E190" s="19" t="s">
        <v>617</v>
      </c>
    </row>
    <row r="191" spans="4:6" x14ac:dyDescent="0.25">
      <c r="F191" s="19" t="s">
        <v>634</v>
      </c>
    </row>
    <row r="192" spans="4:6" x14ac:dyDescent="0.25">
      <c r="F192" s="19" t="s">
        <v>635</v>
      </c>
    </row>
    <row r="193" spans="2:6" x14ac:dyDescent="0.25">
      <c r="F193" s="19" t="s">
        <v>636</v>
      </c>
    </row>
    <row r="194" spans="2:6" x14ac:dyDescent="0.25">
      <c r="F194" s="19" t="s">
        <v>624</v>
      </c>
    </row>
    <row r="195" spans="2:6" x14ac:dyDescent="0.25">
      <c r="F195" s="19" t="s">
        <v>637</v>
      </c>
    </row>
    <row r="196" spans="2:6" x14ac:dyDescent="0.25">
      <c r="F196" s="20" t="s">
        <v>638</v>
      </c>
    </row>
    <row r="197" spans="2:6" x14ac:dyDescent="0.25">
      <c r="E197" s="19" t="s">
        <v>626</v>
      </c>
    </row>
    <row r="198" spans="2:6" x14ac:dyDescent="0.25">
      <c r="C198" s="19" t="s">
        <v>614</v>
      </c>
    </row>
    <row r="199" spans="2:6" x14ac:dyDescent="0.25">
      <c r="C199" s="19" t="s">
        <v>615</v>
      </c>
    </row>
    <row r="200" spans="2:6" x14ac:dyDescent="0.25">
      <c r="C200" s="19" t="s">
        <v>626</v>
      </c>
    </row>
    <row r="201" spans="2:6" x14ac:dyDescent="0.25">
      <c r="B201" s="19" t="s">
        <v>639</v>
      </c>
    </row>
    <row r="202" spans="2:6" x14ac:dyDescent="0.25">
      <c r="B202" s="19" t="s">
        <v>640</v>
      </c>
    </row>
    <row r="203" spans="2:6" x14ac:dyDescent="0.25">
      <c r="B203" s="17"/>
    </row>
    <row r="204" spans="2:6" x14ac:dyDescent="0.25">
      <c r="B204" s="19" t="s">
        <v>641</v>
      </c>
    </row>
    <row r="205" spans="2:6" x14ac:dyDescent="0.25">
      <c r="B205" s="19" t="s">
        <v>642</v>
      </c>
    </row>
    <row r="206" spans="2:6" x14ac:dyDescent="0.25">
      <c r="B206" s="19" t="s">
        <v>643</v>
      </c>
    </row>
    <row r="207" spans="2:6" x14ac:dyDescent="0.25">
      <c r="B207" s="19" t="s">
        <v>578</v>
      </c>
    </row>
  </sheetData>
  <hyperlinks>
    <hyperlink ref="A1" location="Navigation!A1" display="Home"/>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sheetPr>
  <dimension ref="A1:F111"/>
  <sheetViews>
    <sheetView zoomScaleNormal="100" workbookViewId="0"/>
  </sheetViews>
  <sheetFormatPr defaultRowHeight="15" x14ac:dyDescent="0.25"/>
  <sheetData>
    <row r="1" spans="1:6" x14ac:dyDescent="0.25">
      <c r="A1" s="173" t="s">
        <v>377</v>
      </c>
      <c r="B1" s="167"/>
      <c r="C1" s="167"/>
    </row>
    <row r="2" spans="1:6" ht="18.75" x14ac:dyDescent="0.3">
      <c r="A2" s="167"/>
      <c r="B2" s="1" t="s">
        <v>478</v>
      </c>
      <c r="C2" s="167"/>
      <c r="D2" s="167"/>
      <c r="E2" s="167"/>
      <c r="F2" s="167"/>
    </row>
    <row r="3" spans="1:6" x14ac:dyDescent="0.25">
      <c r="A3" s="167"/>
      <c r="B3" s="167"/>
      <c r="C3" s="167"/>
      <c r="D3" s="167"/>
      <c r="E3" s="167"/>
      <c r="F3" s="167"/>
    </row>
    <row r="4" spans="1:6" x14ac:dyDescent="0.25">
      <c r="A4" s="167"/>
      <c r="B4" s="26"/>
      <c r="C4" s="167"/>
      <c r="D4" s="167"/>
      <c r="E4" s="167"/>
      <c r="F4" s="167"/>
    </row>
    <row r="5" spans="1:6" x14ac:dyDescent="0.25">
      <c r="A5" s="167"/>
      <c r="B5" s="26" t="s">
        <v>232</v>
      </c>
      <c r="C5" s="24" t="s">
        <v>479</v>
      </c>
      <c r="D5" s="167"/>
      <c r="E5" s="167"/>
      <c r="F5" s="167"/>
    </row>
    <row r="6" spans="1:6" x14ac:dyDescent="0.25">
      <c r="B6" s="167"/>
      <c r="C6" s="167"/>
      <c r="D6" s="167"/>
      <c r="E6" s="167"/>
      <c r="F6" s="167"/>
    </row>
    <row r="7" spans="1:6" x14ac:dyDescent="0.25">
      <c r="B7" s="18" t="s">
        <v>440</v>
      </c>
    </row>
    <row r="8" spans="1:6" x14ac:dyDescent="0.25">
      <c r="B8" s="18" t="s">
        <v>199</v>
      </c>
    </row>
    <row r="9" spans="1:6" x14ac:dyDescent="0.25">
      <c r="B9" s="18" t="s">
        <v>200</v>
      </c>
    </row>
    <row r="10" spans="1:6" x14ac:dyDescent="0.25">
      <c r="B10" s="18" t="s">
        <v>201</v>
      </c>
    </row>
    <row r="11" spans="1:6" x14ac:dyDescent="0.25">
      <c r="B11" s="18" t="s">
        <v>202</v>
      </c>
    </row>
    <row r="12" spans="1:6" x14ac:dyDescent="0.25">
      <c r="B12" s="18" t="s">
        <v>203</v>
      </c>
    </row>
    <row r="13" spans="1:6" x14ac:dyDescent="0.25">
      <c r="B13" s="18" t="s">
        <v>204</v>
      </c>
    </row>
    <row r="14" spans="1:6" x14ac:dyDescent="0.25">
      <c r="B14" s="18" t="s">
        <v>205</v>
      </c>
    </row>
    <row r="15" spans="1:6" x14ac:dyDescent="0.25">
      <c r="B15" s="18" t="s">
        <v>480</v>
      </c>
    </row>
    <row r="16" spans="1:6" x14ac:dyDescent="0.25">
      <c r="B16" s="18" t="s">
        <v>216</v>
      </c>
    </row>
    <row r="17" spans="2:4" x14ac:dyDescent="0.25">
      <c r="B17" s="18"/>
    </row>
    <row r="18" spans="2:4" x14ac:dyDescent="0.25">
      <c r="B18" s="18"/>
    </row>
    <row r="19" spans="2:4" x14ac:dyDescent="0.25">
      <c r="B19" s="17" t="s">
        <v>236</v>
      </c>
    </row>
    <row r="20" spans="2:4" x14ac:dyDescent="0.25">
      <c r="B20" s="17" t="s">
        <v>856</v>
      </c>
    </row>
    <row r="21" spans="2:4" x14ac:dyDescent="0.25">
      <c r="B21" s="17" t="s">
        <v>857</v>
      </c>
    </row>
    <row r="22" spans="2:4" x14ac:dyDescent="0.25">
      <c r="B22" s="17" t="s">
        <v>858</v>
      </c>
    </row>
    <row r="23" spans="2:4" x14ac:dyDescent="0.25">
      <c r="D23" s="17" t="s">
        <v>859</v>
      </c>
    </row>
    <row r="24" spans="2:4" x14ac:dyDescent="0.25">
      <c r="D24" s="17" t="s">
        <v>801</v>
      </c>
    </row>
    <row r="25" spans="2:4" x14ac:dyDescent="0.25">
      <c r="D25" s="17" t="s">
        <v>802</v>
      </c>
    </row>
    <row r="26" spans="2:4" x14ac:dyDescent="0.25">
      <c r="D26" s="17" t="s">
        <v>803</v>
      </c>
    </row>
    <row r="27" spans="2:4" x14ac:dyDescent="0.25">
      <c r="D27" s="17" t="s">
        <v>804</v>
      </c>
    </row>
    <row r="28" spans="2:4" x14ac:dyDescent="0.25">
      <c r="D28" s="17" t="s">
        <v>212</v>
      </c>
    </row>
    <row r="29" spans="2:4" x14ac:dyDescent="0.25">
      <c r="B29" s="19" t="s">
        <v>894</v>
      </c>
    </row>
    <row r="30" spans="2:4" x14ac:dyDescent="0.25">
      <c r="B30" s="19" t="s">
        <v>860</v>
      </c>
    </row>
    <row r="31" spans="2:4" x14ac:dyDescent="0.25">
      <c r="B31" s="17" t="s">
        <v>208</v>
      </c>
    </row>
    <row r="32" spans="2:4" x14ac:dyDescent="0.25">
      <c r="B32" s="18" t="s">
        <v>237</v>
      </c>
    </row>
    <row r="33" spans="2:4" x14ac:dyDescent="0.25">
      <c r="B33" s="19" t="s">
        <v>861</v>
      </c>
    </row>
    <row r="34" spans="2:4" x14ac:dyDescent="0.25">
      <c r="C34" s="20" t="s">
        <v>862</v>
      </c>
    </row>
    <row r="35" spans="2:4" x14ac:dyDescent="0.25">
      <c r="C35" s="17" t="s">
        <v>863</v>
      </c>
    </row>
    <row r="36" spans="2:4" x14ac:dyDescent="0.25">
      <c r="C36" s="17" t="s">
        <v>864</v>
      </c>
    </row>
    <row r="37" spans="2:4" x14ac:dyDescent="0.25">
      <c r="C37" s="17" t="s">
        <v>865</v>
      </c>
    </row>
    <row r="38" spans="2:4" x14ac:dyDescent="0.25">
      <c r="C38" s="17" t="s">
        <v>866</v>
      </c>
    </row>
    <row r="39" spans="2:4" x14ac:dyDescent="0.25">
      <c r="C39" s="17" t="s">
        <v>867</v>
      </c>
    </row>
    <row r="40" spans="2:4" x14ac:dyDescent="0.25">
      <c r="C40" s="17" t="s">
        <v>505</v>
      </c>
    </row>
    <row r="41" spans="2:4" x14ac:dyDescent="0.25">
      <c r="C41" s="17" t="s">
        <v>506</v>
      </c>
    </row>
    <row r="42" spans="2:4" x14ac:dyDescent="0.25">
      <c r="C42" s="17" t="s">
        <v>507</v>
      </c>
    </row>
    <row r="43" spans="2:4" x14ac:dyDescent="0.25">
      <c r="B43" s="17" t="s">
        <v>868</v>
      </c>
    </row>
    <row r="44" spans="2:4" x14ac:dyDescent="0.25">
      <c r="B44" s="17" t="s">
        <v>869</v>
      </c>
    </row>
    <row r="45" spans="2:4" x14ac:dyDescent="0.25">
      <c r="B45" s="17" t="s">
        <v>898</v>
      </c>
    </row>
    <row r="46" spans="2:4" x14ac:dyDescent="0.25">
      <c r="D46" s="17" t="s">
        <v>870</v>
      </c>
    </row>
    <row r="47" spans="2:4" x14ac:dyDescent="0.25">
      <c r="B47" s="18"/>
    </row>
    <row r="48" spans="2:4" x14ac:dyDescent="0.25">
      <c r="B48" s="18" t="s">
        <v>238</v>
      </c>
    </row>
    <row r="49" spans="2:4" x14ac:dyDescent="0.25">
      <c r="B49" s="17" t="s">
        <v>871</v>
      </c>
    </row>
    <row r="50" spans="2:4" x14ac:dyDescent="0.25">
      <c r="B50" s="17" t="s">
        <v>872</v>
      </c>
    </row>
    <row r="51" spans="2:4" x14ac:dyDescent="0.25">
      <c r="B51" s="17" t="s">
        <v>873</v>
      </c>
    </row>
    <row r="52" spans="2:4" x14ac:dyDescent="0.25">
      <c r="B52" s="17" t="s">
        <v>874</v>
      </c>
    </row>
    <row r="53" spans="2:4" x14ac:dyDescent="0.25">
      <c r="B53" s="17" t="s">
        <v>875</v>
      </c>
    </row>
    <row r="54" spans="2:4" x14ac:dyDescent="0.25">
      <c r="B54" s="17" t="s">
        <v>208</v>
      </c>
    </row>
    <row r="55" spans="2:4" x14ac:dyDescent="0.25">
      <c r="B55" s="17" t="s">
        <v>239</v>
      </c>
    </row>
    <row r="56" spans="2:4" x14ac:dyDescent="0.25">
      <c r="C56" s="19" t="s">
        <v>876</v>
      </c>
    </row>
    <row r="57" spans="2:4" x14ac:dyDescent="0.25">
      <c r="B57" s="17" t="s">
        <v>807</v>
      </c>
    </row>
    <row r="58" spans="2:4" x14ac:dyDescent="0.25">
      <c r="B58" s="17" t="s">
        <v>816</v>
      </c>
    </row>
    <row r="59" spans="2:4" x14ac:dyDescent="0.25">
      <c r="C59" s="19" t="s">
        <v>817</v>
      </c>
    </row>
    <row r="60" spans="2:4" x14ac:dyDescent="0.25">
      <c r="C60" s="19" t="s">
        <v>818</v>
      </c>
    </row>
    <row r="61" spans="2:4" x14ac:dyDescent="0.25">
      <c r="D61" s="17" t="s">
        <v>819</v>
      </c>
    </row>
    <row r="62" spans="2:4" x14ac:dyDescent="0.25">
      <c r="D62" s="17" t="s">
        <v>820</v>
      </c>
    </row>
    <row r="63" spans="2:4" x14ac:dyDescent="0.25">
      <c r="D63" s="19" t="s">
        <v>821</v>
      </c>
    </row>
    <row r="64" spans="2:4" x14ac:dyDescent="0.25">
      <c r="C64" s="17" t="s">
        <v>822</v>
      </c>
    </row>
    <row r="65" spans="2:4" x14ac:dyDescent="0.25">
      <c r="D65" s="17" t="s">
        <v>823</v>
      </c>
    </row>
    <row r="66" spans="2:4" x14ac:dyDescent="0.25">
      <c r="D66" s="17" t="s">
        <v>877</v>
      </c>
    </row>
    <row r="67" spans="2:4" x14ac:dyDescent="0.25">
      <c r="C67" s="19" t="s">
        <v>222</v>
      </c>
    </row>
    <row r="68" spans="2:4" x14ac:dyDescent="0.25">
      <c r="D68" s="20" t="s">
        <v>826</v>
      </c>
    </row>
    <row r="69" spans="2:4" x14ac:dyDescent="0.25">
      <c r="D69" s="17" t="s">
        <v>827</v>
      </c>
    </row>
    <row r="71" spans="2:4" x14ac:dyDescent="0.25">
      <c r="B71" s="17" t="s">
        <v>936</v>
      </c>
    </row>
    <row r="72" spans="2:4" x14ac:dyDescent="0.25">
      <c r="B72" s="19" t="s">
        <v>878</v>
      </c>
    </row>
    <row r="73" spans="2:4" x14ac:dyDescent="0.25">
      <c r="C73" s="17" t="s">
        <v>829</v>
      </c>
    </row>
    <row r="74" spans="2:4" x14ac:dyDescent="0.25">
      <c r="B74" s="19" t="s">
        <v>830</v>
      </c>
    </row>
    <row r="75" spans="2:4" x14ac:dyDescent="0.25">
      <c r="B75" s="19" t="s">
        <v>818</v>
      </c>
    </row>
    <row r="76" spans="2:4" x14ac:dyDescent="0.25">
      <c r="C76" s="17" t="s">
        <v>831</v>
      </c>
    </row>
    <row r="77" spans="2:4" x14ac:dyDescent="0.25">
      <c r="C77" s="17" t="s">
        <v>508</v>
      </c>
    </row>
    <row r="78" spans="2:4" x14ac:dyDescent="0.25">
      <c r="B78" s="17" t="s">
        <v>879</v>
      </c>
    </row>
    <row r="79" spans="2:4" x14ac:dyDescent="0.25">
      <c r="B79" s="17" t="s">
        <v>880</v>
      </c>
    </row>
    <row r="80" spans="2:4" x14ac:dyDescent="0.25">
      <c r="B80" s="19" t="s">
        <v>832</v>
      </c>
    </row>
    <row r="81" spans="2:3" x14ac:dyDescent="0.25">
      <c r="B81" s="19" t="s">
        <v>853</v>
      </c>
    </row>
    <row r="82" spans="2:3" x14ac:dyDescent="0.25">
      <c r="C82" s="17" t="s">
        <v>831</v>
      </c>
    </row>
    <row r="83" spans="2:3" x14ac:dyDescent="0.25">
      <c r="C83" s="17" t="s">
        <v>16</v>
      </c>
    </row>
    <row r="84" spans="2:3" x14ac:dyDescent="0.25">
      <c r="B84" s="17"/>
    </row>
    <row r="85" spans="2:3" x14ac:dyDescent="0.25">
      <c r="B85" s="17" t="s">
        <v>241</v>
      </c>
    </row>
    <row r="86" spans="2:3" x14ac:dyDescent="0.25">
      <c r="B86" s="17" t="s">
        <v>212</v>
      </c>
    </row>
    <row r="87" spans="2:3" x14ac:dyDescent="0.25">
      <c r="B87" s="19" t="s">
        <v>847</v>
      </c>
    </row>
    <row r="88" spans="2:3" x14ac:dyDescent="0.25">
      <c r="B88" s="17" t="s">
        <v>226</v>
      </c>
    </row>
    <row r="89" spans="2:3" x14ac:dyDescent="0.25">
      <c r="B89" s="19" t="s">
        <v>834</v>
      </c>
    </row>
    <row r="90" spans="2:3" x14ac:dyDescent="0.25">
      <c r="B90" s="19" t="s">
        <v>835</v>
      </c>
    </row>
    <row r="91" spans="2:3" x14ac:dyDescent="0.25">
      <c r="B91" s="19" t="s">
        <v>836</v>
      </c>
    </row>
    <row r="92" spans="2:3" x14ac:dyDescent="0.25">
      <c r="B92" s="17" t="s">
        <v>212</v>
      </c>
    </row>
    <row r="93" spans="2:3" x14ac:dyDescent="0.25">
      <c r="B93" s="18" t="s">
        <v>242</v>
      </c>
    </row>
    <row r="94" spans="2:3" x14ac:dyDescent="0.25">
      <c r="B94" s="19" t="s">
        <v>837</v>
      </c>
    </row>
    <row r="95" spans="2:3" x14ac:dyDescent="0.25">
      <c r="B95" s="17" t="s">
        <v>226</v>
      </c>
    </row>
    <row r="96" spans="2:3" x14ac:dyDescent="0.25">
      <c r="B96" s="19" t="s">
        <v>838</v>
      </c>
    </row>
    <row r="97" spans="2:4" x14ac:dyDescent="0.25">
      <c r="B97" s="19" t="s">
        <v>881</v>
      </c>
    </row>
    <row r="98" spans="2:4" x14ac:dyDescent="0.25">
      <c r="D98" s="21" t="s">
        <v>882</v>
      </c>
    </row>
    <row r="99" spans="2:4" x14ac:dyDescent="0.25">
      <c r="B99" s="19" t="s">
        <v>836</v>
      </c>
    </row>
    <row r="100" spans="2:4" x14ac:dyDescent="0.25">
      <c r="B100" s="17" t="s">
        <v>226</v>
      </c>
    </row>
    <row r="101" spans="2:4" x14ac:dyDescent="0.25">
      <c r="B101" s="18" t="s">
        <v>243</v>
      </c>
    </row>
    <row r="102" spans="2:4" x14ac:dyDescent="0.25">
      <c r="B102" s="17" t="s">
        <v>226</v>
      </c>
    </row>
    <row r="103" spans="2:4" x14ac:dyDescent="0.25">
      <c r="B103" s="19" t="s">
        <v>883</v>
      </c>
    </row>
    <row r="104" spans="2:4" x14ac:dyDescent="0.25">
      <c r="C104" s="17" t="s">
        <v>842</v>
      </c>
    </row>
    <row r="105" spans="2:4" x14ac:dyDescent="0.25">
      <c r="B105" s="19" t="s">
        <v>884</v>
      </c>
    </row>
    <row r="106" spans="2:4" x14ac:dyDescent="0.25">
      <c r="B106" s="19" t="s">
        <v>885</v>
      </c>
    </row>
    <row r="107" spans="2:4" x14ac:dyDescent="0.25">
      <c r="D107" s="17" t="s">
        <v>886</v>
      </c>
    </row>
    <row r="108" spans="2:4" x14ac:dyDescent="0.25">
      <c r="D108" s="17" t="s">
        <v>887</v>
      </c>
    </row>
    <row r="109" spans="2:4" x14ac:dyDescent="0.25">
      <c r="B109" s="19" t="s">
        <v>896</v>
      </c>
    </row>
    <row r="110" spans="2:4" x14ac:dyDescent="0.25">
      <c r="B110" s="19" t="s">
        <v>888</v>
      </c>
    </row>
    <row r="111" spans="2:4" x14ac:dyDescent="0.25">
      <c r="B111" s="19" t="s">
        <v>889</v>
      </c>
    </row>
  </sheetData>
  <hyperlinks>
    <hyperlink ref="A1" location="Navigation!A1" display="Home"/>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sheetPr>
  <dimension ref="A1:J63"/>
  <sheetViews>
    <sheetView zoomScaleNormal="100" workbookViewId="0"/>
  </sheetViews>
  <sheetFormatPr defaultRowHeight="15" x14ac:dyDescent="0.25"/>
  <cols>
    <col min="1" max="1" width="1.140625" style="11" customWidth="1"/>
    <col min="2" max="2" width="4.42578125" customWidth="1"/>
    <col min="3" max="3" width="26.140625" customWidth="1"/>
    <col min="5" max="5" width="10.42578125" bestFit="1" customWidth="1"/>
    <col min="6" max="7" width="22" bestFit="1" customWidth="1"/>
    <col min="8" max="8" width="12.42578125" bestFit="1" customWidth="1"/>
    <col min="9" max="9" width="12.85546875" bestFit="1" customWidth="1"/>
    <col min="10" max="10" width="4.42578125" customWidth="1"/>
  </cols>
  <sheetData>
    <row r="1" spans="1:10" x14ac:dyDescent="0.25">
      <c r="A1" s="173" t="s">
        <v>377</v>
      </c>
    </row>
    <row r="2" spans="1:10" ht="18.75" x14ac:dyDescent="0.3">
      <c r="B2" s="1" t="s">
        <v>463</v>
      </c>
    </row>
    <row r="3" spans="1:10" x14ac:dyDescent="0.25">
      <c r="C3" s="11"/>
    </row>
    <row r="4" spans="1:10" x14ac:dyDescent="0.25">
      <c r="C4" s="26" t="s">
        <v>57</v>
      </c>
      <c r="D4" s="24" t="s">
        <v>893</v>
      </c>
      <c r="E4" s="11"/>
    </row>
    <row r="5" spans="1:10" x14ac:dyDescent="0.25">
      <c r="C5" s="26" t="s">
        <v>232</v>
      </c>
      <c r="D5" s="24" t="s">
        <v>952</v>
      </c>
      <c r="E5" s="11"/>
    </row>
    <row r="6" spans="1:10" x14ac:dyDescent="0.25">
      <c r="C6" s="2"/>
      <c r="D6" s="11"/>
      <c r="E6" s="11"/>
    </row>
    <row r="7" spans="1:10" x14ac:dyDescent="0.25">
      <c r="C7" s="14"/>
      <c r="D7" s="14"/>
      <c r="E7" s="14"/>
      <c r="F7" s="14"/>
      <c r="G7" s="14"/>
      <c r="H7" s="14"/>
      <c r="I7" s="14"/>
      <c r="J7" s="14"/>
    </row>
    <row r="8" spans="1:10" x14ac:dyDescent="0.25">
      <c r="B8" s="14"/>
      <c r="C8" s="14"/>
      <c r="D8" s="14"/>
      <c r="E8" s="14"/>
      <c r="F8" s="14"/>
      <c r="G8" s="14"/>
      <c r="H8" s="14"/>
      <c r="I8" s="14"/>
      <c r="J8" s="14"/>
    </row>
    <row r="9" spans="1:10" x14ac:dyDescent="0.25">
      <c r="B9" s="14"/>
      <c r="C9" s="14"/>
      <c r="D9" s="14"/>
      <c r="E9" s="14"/>
      <c r="F9" s="14"/>
      <c r="G9" s="14"/>
      <c r="H9" s="14"/>
      <c r="I9" s="14"/>
      <c r="J9" s="14"/>
    </row>
    <row r="10" spans="1:10" x14ac:dyDescent="0.25">
      <c r="B10" s="71"/>
      <c r="C10" s="524"/>
      <c r="D10" s="524"/>
      <c r="E10" s="524"/>
      <c r="F10" s="524"/>
      <c r="G10" s="524"/>
      <c r="H10" s="524"/>
      <c r="I10" s="524"/>
      <c r="J10" s="72"/>
    </row>
    <row r="11" spans="1:10" x14ac:dyDescent="0.25">
      <c r="B11" s="73"/>
      <c r="C11" s="3"/>
      <c r="D11" s="3"/>
      <c r="E11" s="3"/>
      <c r="F11" s="3"/>
      <c r="G11" s="3"/>
      <c r="H11" s="3"/>
      <c r="I11" s="3"/>
      <c r="J11" s="74"/>
    </row>
    <row r="12" spans="1:10" x14ac:dyDescent="0.25">
      <c r="B12" s="73"/>
      <c r="C12" s="3"/>
      <c r="D12" s="3"/>
      <c r="E12" s="3"/>
      <c r="F12" s="3">
        <v>2</v>
      </c>
      <c r="G12" s="3">
        <v>3</v>
      </c>
      <c r="H12" s="3">
        <v>4</v>
      </c>
      <c r="I12" s="15">
        <v>5</v>
      </c>
      <c r="J12" s="74"/>
    </row>
    <row r="13" spans="1:10" x14ac:dyDescent="0.25">
      <c r="B13" s="73"/>
      <c r="C13" s="437" t="s">
        <v>14</v>
      </c>
      <c r="D13" s="437" t="s">
        <v>15</v>
      </c>
      <c r="E13" s="437" t="s">
        <v>16</v>
      </c>
      <c r="F13" s="437" t="s">
        <v>17</v>
      </c>
      <c r="G13" s="437" t="s">
        <v>18</v>
      </c>
      <c r="H13" s="437" t="s">
        <v>435</v>
      </c>
      <c r="I13" s="437" t="s">
        <v>19</v>
      </c>
      <c r="J13" s="16"/>
    </row>
    <row r="14" spans="1:10" x14ac:dyDescent="0.25">
      <c r="B14" s="73"/>
      <c r="C14" s="438" t="s">
        <v>20</v>
      </c>
      <c r="D14" s="438" t="s">
        <v>21</v>
      </c>
      <c r="E14" s="438" t="s">
        <v>22</v>
      </c>
      <c r="F14" s="439">
        <v>106119</v>
      </c>
      <c r="G14" s="440">
        <v>27163096.992067602</v>
      </c>
      <c r="H14" s="440">
        <v>255.97</v>
      </c>
      <c r="I14" s="439">
        <v>256</v>
      </c>
      <c r="J14" s="74"/>
    </row>
    <row r="15" spans="1:10" x14ac:dyDescent="0.25">
      <c r="B15" s="73"/>
      <c r="C15" s="438" t="s">
        <v>20</v>
      </c>
      <c r="D15" s="438" t="s">
        <v>21</v>
      </c>
      <c r="E15" s="438" t="s">
        <v>23</v>
      </c>
      <c r="F15" s="439">
        <v>158186</v>
      </c>
      <c r="G15" s="440">
        <v>47814162.936343603</v>
      </c>
      <c r="H15" s="440">
        <v>302.27</v>
      </c>
      <c r="I15" s="439">
        <v>302</v>
      </c>
      <c r="J15" s="74"/>
    </row>
    <row r="16" spans="1:10" x14ac:dyDescent="0.25">
      <c r="B16" s="73"/>
      <c r="C16" s="438" t="s">
        <v>20</v>
      </c>
      <c r="D16" s="438" t="s">
        <v>21</v>
      </c>
      <c r="E16" s="438" t="s">
        <v>24</v>
      </c>
      <c r="F16" s="439">
        <v>59084</v>
      </c>
      <c r="G16" s="440">
        <v>22435628.002588201</v>
      </c>
      <c r="H16" s="440">
        <v>379.72</v>
      </c>
      <c r="I16" s="439">
        <v>380</v>
      </c>
      <c r="J16" s="74"/>
    </row>
    <row r="17" spans="2:10" x14ac:dyDescent="0.25">
      <c r="B17" s="73"/>
      <c r="C17" s="438" t="s">
        <v>20</v>
      </c>
      <c r="D17" s="438" t="s">
        <v>21</v>
      </c>
      <c r="E17" s="438" t="s">
        <v>25</v>
      </c>
      <c r="F17" s="439">
        <v>51463</v>
      </c>
      <c r="G17" s="440">
        <v>22394028.413678698</v>
      </c>
      <c r="H17" s="440">
        <v>435.15</v>
      </c>
      <c r="I17" s="439">
        <v>435</v>
      </c>
      <c r="J17" s="74"/>
    </row>
    <row r="18" spans="2:10" x14ac:dyDescent="0.25">
      <c r="B18" s="73"/>
      <c r="C18" s="438" t="s">
        <v>20</v>
      </c>
      <c r="D18" s="438" t="s">
        <v>21</v>
      </c>
      <c r="E18" s="438" t="s">
        <v>26</v>
      </c>
      <c r="F18" s="439">
        <v>26552</v>
      </c>
      <c r="G18" s="440">
        <v>16795111.482599001</v>
      </c>
      <c r="H18" s="440">
        <v>632.54</v>
      </c>
      <c r="I18" s="439">
        <v>633</v>
      </c>
      <c r="J18" s="74"/>
    </row>
    <row r="19" spans="2:10" x14ac:dyDescent="0.25">
      <c r="B19" s="73"/>
      <c r="C19" s="438" t="s">
        <v>20</v>
      </c>
      <c r="D19" s="438" t="s">
        <v>21</v>
      </c>
      <c r="E19" s="438" t="s">
        <v>27</v>
      </c>
      <c r="F19" s="439">
        <v>90833</v>
      </c>
      <c r="G19" s="440">
        <v>50079832.450596601</v>
      </c>
      <c r="H19" s="440">
        <v>551.34</v>
      </c>
      <c r="I19" s="439">
        <v>551</v>
      </c>
      <c r="J19" s="74"/>
    </row>
    <row r="20" spans="2:10" x14ac:dyDescent="0.25">
      <c r="B20" s="73"/>
      <c r="C20" s="438" t="s">
        <v>20</v>
      </c>
      <c r="D20" s="438" t="s">
        <v>21</v>
      </c>
      <c r="E20" s="438" t="s">
        <v>28</v>
      </c>
      <c r="F20" s="439">
        <v>24177</v>
      </c>
      <c r="G20" s="440">
        <v>17777740.156169701</v>
      </c>
      <c r="H20" s="440">
        <v>735.32</v>
      </c>
      <c r="I20" s="439">
        <v>735</v>
      </c>
      <c r="J20" s="74"/>
    </row>
    <row r="21" spans="2:10" x14ac:dyDescent="0.25">
      <c r="B21" s="73"/>
      <c r="C21" s="438" t="s">
        <v>20</v>
      </c>
      <c r="D21" s="438" t="s">
        <v>21</v>
      </c>
      <c r="E21" s="438" t="s">
        <v>29</v>
      </c>
      <c r="F21" s="439">
        <v>105255</v>
      </c>
      <c r="G21" s="440">
        <v>137737474.82125199</v>
      </c>
      <c r="H21" s="440">
        <v>1308.6099999999999</v>
      </c>
      <c r="I21" s="439">
        <v>1309</v>
      </c>
      <c r="J21" s="74"/>
    </row>
    <row r="22" spans="2:10" x14ac:dyDescent="0.25">
      <c r="B22" s="73"/>
      <c r="C22" s="438" t="s">
        <v>20</v>
      </c>
      <c r="D22" s="438" t="s">
        <v>21</v>
      </c>
      <c r="E22" s="438" t="s">
        <v>30</v>
      </c>
      <c r="F22" s="439">
        <v>61200</v>
      </c>
      <c r="G22" s="440">
        <v>70433124.090873495</v>
      </c>
      <c r="H22" s="440">
        <v>1150.8699999999999</v>
      </c>
      <c r="I22" s="439">
        <v>1151</v>
      </c>
      <c r="J22" s="74"/>
    </row>
    <row r="23" spans="2:10" x14ac:dyDescent="0.25">
      <c r="B23" s="73"/>
      <c r="C23" s="438" t="s">
        <v>20</v>
      </c>
      <c r="D23" s="438" t="s">
        <v>21</v>
      </c>
      <c r="E23" s="438" t="s">
        <v>31</v>
      </c>
      <c r="F23" s="439">
        <v>147321</v>
      </c>
      <c r="G23" s="440">
        <v>281952615.55829698</v>
      </c>
      <c r="H23" s="440">
        <v>1913.87</v>
      </c>
      <c r="I23" s="439">
        <v>1914</v>
      </c>
      <c r="J23" s="74"/>
    </row>
    <row r="24" spans="2:10" x14ac:dyDescent="0.25">
      <c r="B24" s="73"/>
      <c r="C24" s="438" t="s">
        <v>20</v>
      </c>
      <c r="D24" s="438" t="s">
        <v>21</v>
      </c>
      <c r="E24" s="438" t="s">
        <v>32</v>
      </c>
      <c r="F24" s="439">
        <v>124004</v>
      </c>
      <c r="G24" s="440">
        <v>18177659.668724101</v>
      </c>
      <c r="H24" s="440">
        <v>146.59</v>
      </c>
      <c r="I24" s="439">
        <v>147</v>
      </c>
      <c r="J24" s="74"/>
    </row>
    <row r="25" spans="2:10" x14ac:dyDescent="0.25">
      <c r="B25" s="73"/>
      <c r="C25" s="438" t="s">
        <v>20</v>
      </c>
      <c r="D25" s="438" t="s">
        <v>21</v>
      </c>
      <c r="E25" s="438" t="s">
        <v>33</v>
      </c>
      <c r="F25" s="439">
        <v>283812</v>
      </c>
      <c r="G25" s="440">
        <v>60172558.390887201</v>
      </c>
      <c r="H25" s="440">
        <v>212.02</v>
      </c>
      <c r="I25" s="439">
        <v>212</v>
      </c>
      <c r="J25" s="74"/>
    </row>
    <row r="26" spans="2:10" x14ac:dyDescent="0.25">
      <c r="B26" s="73"/>
      <c r="C26" s="438" t="s">
        <v>20</v>
      </c>
      <c r="D26" s="438" t="s">
        <v>21</v>
      </c>
      <c r="E26" s="438" t="s">
        <v>34</v>
      </c>
      <c r="F26" s="439">
        <v>160409</v>
      </c>
      <c r="G26" s="440">
        <v>44756321.113845803</v>
      </c>
      <c r="H26" s="440">
        <v>279.01</v>
      </c>
      <c r="I26" s="439">
        <v>279</v>
      </c>
      <c r="J26" s="74"/>
    </row>
    <row r="27" spans="2:10" x14ac:dyDescent="0.25">
      <c r="B27" s="73"/>
      <c r="C27" s="438" t="s">
        <v>20</v>
      </c>
      <c r="D27" s="438" t="s">
        <v>21</v>
      </c>
      <c r="E27" s="438" t="s">
        <v>35</v>
      </c>
      <c r="F27" s="439">
        <v>193281</v>
      </c>
      <c r="G27" s="440">
        <v>66933245.235567398</v>
      </c>
      <c r="H27" s="440">
        <v>346.3</v>
      </c>
      <c r="I27" s="439">
        <v>346</v>
      </c>
      <c r="J27" s="74"/>
    </row>
    <row r="28" spans="2:10" x14ac:dyDescent="0.25">
      <c r="B28" s="73"/>
      <c r="C28" s="438" t="s">
        <v>20</v>
      </c>
      <c r="D28" s="438" t="s">
        <v>21</v>
      </c>
      <c r="E28" s="438" t="s">
        <v>36</v>
      </c>
      <c r="F28" s="439">
        <v>210886</v>
      </c>
      <c r="G28" s="440">
        <v>62752361.213306502</v>
      </c>
      <c r="H28" s="440">
        <v>297.57</v>
      </c>
      <c r="I28" s="439">
        <v>298</v>
      </c>
      <c r="J28" s="74"/>
    </row>
    <row r="29" spans="2:10" x14ac:dyDescent="0.25">
      <c r="B29" s="73"/>
      <c r="C29" s="438" t="s">
        <v>20</v>
      </c>
      <c r="D29" s="438" t="s">
        <v>21</v>
      </c>
      <c r="E29" s="438" t="s">
        <v>37</v>
      </c>
      <c r="F29" s="439">
        <v>56355</v>
      </c>
      <c r="G29" s="440">
        <v>52488343.118246801</v>
      </c>
      <c r="H29" s="440">
        <v>931.39</v>
      </c>
      <c r="I29" s="439">
        <v>931</v>
      </c>
      <c r="J29" s="74"/>
    </row>
    <row r="30" spans="2:10" x14ac:dyDescent="0.25">
      <c r="B30" s="73"/>
      <c r="C30" s="438" t="s">
        <v>20</v>
      </c>
      <c r="D30" s="438" t="s">
        <v>21</v>
      </c>
      <c r="E30" s="438" t="s">
        <v>38</v>
      </c>
      <c r="F30" s="439">
        <v>56185</v>
      </c>
      <c r="G30" s="440">
        <v>10170539.3809187</v>
      </c>
      <c r="H30" s="440">
        <v>181.02</v>
      </c>
      <c r="I30" s="439">
        <v>181</v>
      </c>
      <c r="J30" s="74"/>
    </row>
    <row r="31" spans="2:10" x14ac:dyDescent="0.25">
      <c r="B31" s="73"/>
      <c r="C31" s="438" t="s">
        <v>39</v>
      </c>
      <c r="D31" s="438" t="s">
        <v>21</v>
      </c>
      <c r="E31" s="438" t="s">
        <v>0</v>
      </c>
      <c r="F31" s="439">
        <v>27538</v>
      </c>
      <c r="G31" s="440">
        <v>2817959.4713673401</v>
      </c>
      <c r="H31" s="440">
        <v>102.33</v>
      </c>
      <c r="I31" s="439">
        <v>102</v>
      </c>
      <c r="J31" s="74"/>
    </row>
    <row r="32" spans="2:10" x14ac:dyDescent="0.25">
      <c r="B32" s="73"/>
      <c r="C32" s="438" t="s">
        <v>39</v>
      </c>
      <c r="D32" s="438" t="s">
        <v>21</v>
      </c>
      <c r="E32" s="438" t="s">
        <v>1</v>
      </c>
      <c r="F32" s="439">
        <v>259359</v>
      </c>
      <c r="G32" s="440">
        <v>24758158.747202199</v>
      </c>
      <c r="H32" s="440">
        <v>95.46</v>
      </c>
      <c r="I32" s="439">
        <v>95</v>
      </c>
      <c r="J32" s="74"/>
    </row>
    <row r="33" spans="2:10" x14ac:dyDescent="0.25">
      <c r="B33" s="73"/>
      <c r="C33" s="438" t="s">
        <v>39</v>
      </c>
      <c r="D33" s="438" t="s">
        <v>21</v>
      </c>
      <c r="E33" s="438" t="s">
        <v>2</v>
      </c>
      <c r="F33" s="439">
        <v>1138930</v>
      </c>
      <c r="G33" s="440">
        <v>138444762.182515</v>
      </c>
      <c r="H33" s="440">
        <v>121.56</v>
      </c>
      <c r="I33" s="439">
        <v>122</v>
      </c>
      <c r="J33" s="74"/>
    </row>
    <row r="34" spans="2:10" x14ac:dyDescent="0.25">
      <c r="B34" s="73"/>
      <c r="C34" s="438" t="s">
        <v>39</v>
      </c>
      <c r="D34" s="438" t="s">
        <v>21</v>
      </c>
      <c r="E34" s="438" t="s">
        <v>3</v>
      </c>
      <c r="F34" s="439">
        <v>1591</v>
      </c>
      <c r="G34" s="440">
        <v>827183.35213674197</v>
      </c>
      <c r="H34" s="440">
        <v>519.91</v>
      </c>
      <c r="I34" s="439">
        <v>520</v>
      </c>
      <c r="J34" s="74"/>
    </row>
    <row r="35" spans="2:10" x14ac:dyDescent="0.25">
      <c r="B35" s="73"/>
      <c r="C35" s="438" t="s">
        <v>39</v>
      </c>
      <c r="D35" s="438" t="s">
        <v>21</v>
      </c>
      <c r="E35" s="438" t="s">
        <v>4</v>
      </c>
      <c r="F35" s="439">
        <v>1905</v>
      </c>
      <c r="G35" s="440">
        <v>746621.31913309195</v>
      </c>
      <c r="H35" s="440">
        <v>391.93</v>
      </c>
      <c r="I35" s="439">
        <v>392</v>
      </c>
      <c r="J35" s="74"/>
    </row>
    <row r="36" spans="2:10" x14ac:dyDescent="0.25">
      <c r="B36" s="73"/>
      <c r="C36" s="438" t="s">
        <v>39</v>
      </c>
      <c r="D36" s="438" t="s">
        <v>21</v>
      </c>
      <c r="E36" s="438" t="s">
        <v>40</v>
      </c>
      <c r="F36" s="439">
        <v>4265</v>
      </c>
      <c r="G36" s="440">
        <v>2775439.2863749601</v>
      </c>
      <c r="H36" s="440">
        <v>650.75</v>
      </c>
      <c r="I36" s="439">
        <v>651</v>
      </c>
      <c r="J36" s="74"/>
    </row>
    <row r="37" spans="2:10" x14ac:dyDescent="0.25">
      <c r="B37" s="73"/>
      <c r="C37" s="438" t="s">
        <v>39</v>
      </c>
      <c r="D37" s="438" t="s">
        <v>21</v>
      </c>
      <c r="E37" s="438" t="s">
        <v>41</v>
      </c>
      <c r="F37" s="439">
        <v>1815</v>
      </c>
      <c r="G37" s="440">
        <v>1058042.05163046</v>
      </c>
      <c r="H37" s="440">
        <v>582.94000000000005</v>
      </c>
      <c r="I37" s="439">
        <v>583</v>
      </c>
      <c r="J37" s="74"/>
    </row>
    <row r="38" spans="2:10" x14ac:dyDescent="0.25">
      <c r="B38" s="73"/>
      <c r="C38" s="438" t="s">
        <v>39</v>
      </c>
      <c r="D38" s="438" t="s">
        <v>21</v>
      </c>
      <c r="E38" s="438" t="s">
        <v>42</v>
      </c>
      <c r="F38" s="439">
        <v>2752</v>
      </c>
      <c r="G38" s="440">
        <v>4962958.1389497202</v>
      </c>
      <c r="H38" s="440">
        <v>1803.4</v>
      </c>
      <c r="I38" s="439">
        <v>1803</v>
      </c>
      <c r="J38" s="74"/>
    </row>
    <row r="39" spans="2:10" x14ac:dyDescent="0.25">
      <c r="B39" s="73"/>
      <c r="C39" s="438" t="s">
        <v>39</v>
      </c>
      <c r="D39" s="438" t="s">
        <v>21</v>
      </c>
      <c r="E39" s="438" t="s">
        <v>43</v>
      </c>
      <c r="F39" s="439">
        <v>51338</v>
      </c>
      <c r="G39" s="440">
        <v>10307831.600899501</v>
      </c>
      <c r="H39" s="440">
        <v>200.78</v>
      </c>
      <c r="I39" s="439">
        <v>201</v>
      </c>
      <c r="J39" s="74"/>
    </row>
    <row r="40" spans="2:10" x14ac:dyDescent="0.25">
      <c r="B40" s="73"/>
      <c r="C40" s="438" t="s">
        <v>39</v>
      </c>
      <c r="D40" s="438" t="s">
        <v>21</v>
      </c>
      <c r="E40" s="438" t="s">
        <v>44</v>
      </c>
      <c r="F40" s="439">
        <v>600</v>
      </c>
      <c r="G40" s="440">
        <v>833421.70987176802</v>
      </c>
      <c r="H40" s="440">
        <v>1389.04</v>
      </c>
      <c r="I40" s="439">
        <v>1389</v>
      </c>
      <c r="J40" s="74"/>
    </row>
    <row r="41" spans="2:10" x14ac:dyDescent="0.25">
      <c r="B41" s="73"/>
      <c r="C41" s="438" t="s">
        <v>39</v>
      </c>
      <c r="D41" s="438" t="s">
        <v>21</v>
      </c>
      <c r="E41" s="438" t="s">
        <v>5</v>
      </c>
      <c r="F41" s="439">
        <v>337065</v>
      </c>
      <c r="G41" s="440">
        <v>53959944.023990601</v>
      </c>
      <c r="H41" s="440">
        <v>160.09</v>
      </c>
      <c r="I41" s="439">
        <v>160</v>
      </c>
      <c r="J41" s="74"/>
    </row>
    <row r="42" spans="2:10" x14ac:dyDescent="0.25">
      <c r="B42" s="73"/>
      <c r="C42" s="438" t="s">
        <v>39</v>
      </c>
      <c r="D42" s="438" t="s">
        <v>21</v>
      </c>
      <c r="E42" s="438" t="s">
        <v>45</v>
      </c>
      <c r="F42" s="439">
        <v>14755</v>
      </c>
      <c r="G42" s="440">
        <v>15958143.465674801</v>
      </c>
      <c r="H42" s="440">
        <v>1081.54</v>
      </c>
      <c r="I42" s="439">
        <v>1082</v>
      </c>
      <c r="J42" s="74"/>
    </row>
    <row r="43" spans="2:10" x14ac:dyDescent="0.25">
      <c r="B43" s="73"/>
      <c r="C43" s="438" t="s">
        <v>39</v>
      </c>
      <c r="D43" s="438" t="s">
        <v>21</v>
      </c>
      <c r="E43" s="438" t="s">
        <v>46</v>
      </c>
      <c r="F43" s="439">
        <v>6403</v>
      </c>
      <c r="G43" s="440">
        <v>10297236.869986</v>
      </c>
      <c r="H43" s="440">
        <v>1608.19</v>
      </c>
      <c r="I43" s="439">
        <v>1608</v>
      </c>
      <c r="J43" s="74"/>
    </row>
    <row r="44" spans="2:10" x14ac:dyDescent="0.25">
      <c r="B44" s="73"/>
      <c r="C44" s="438" t="s">
        <v>39</v>
      </c>
      <c r="D44" s="438" t="s">
        <v>21</v>
      </c>
      <c r="E44" s="438" t="s">
        <v>6</v>
      </c>
      <c r="F44" s="439">
        <v>177</v>
      </c>
      <c r="G44" s="440">
        <v>282689.17683497601</v>
      </c>
      <c r="H44" s="440">
        <v>1597.11</v>
      </c>
      <c r="I44" s="439">
        <v>1597</v>
      </c>
      <c r="J44" s="74"/>
    </row>
    <row r="45" spans="2:10" x14ac:dyDescent="0.25">
      <c r="B45" s="73"/>
      <c r="C45" s="438" t="s">
        <v>39</v>
      </c>
      <c r="D45" s="438" t="s">
        <v>21</v>
      </c>
      <c r="E45" s="438" t="s">
        <v>7</v>
      </c>
      <c r="F45" s="439">
        <v>146</v>
      </c>
      <c r="G45" s="440">
        <v>180525.033234773</v>
      </c>
      <c r="H45" s="440">
        <v>1236.47</v>
      </c>
      <c r="I45" s="439">
        <v>1236</v>
      </c>
      <c r="J45" s="74"/>
    </row>
    <row r="46" spans="2:10" x14ac:dyDescent="0.25">
      <c r="B46" s="73"/>
      <c r="C46" s="438" t="s">
        <v>39</v>
      </c>
      <c r="D46" s="438" t="s">
        <v>21</v>
      </c>
      <c r="E46" s="438" t="s">
        <v>47</v>
      </c>
      <c r="F46" s="439">
        <v>17</v>
      </c>
      <c r="G46" s="440">
        <v>11675.6691577905</v>
      </c>
      <c r="H46" s="440">
        <v>686.8</v>
      </c>
      <c r="I46" s="439">
        <v>687</v>
      </c>
      <c r="J46" s="74"/>
    </row>
    <row r="47" spans="2:10" x14ac:dyDescent="0.25">
      <c r="B47" s="73"/>
      <c r="C47" s="438" t="s">
        <v>39</v>
      </c>
      <c r="D47" s="438" t="s">
        <v>21</v>
      </c>
      <c r="E47" s="438" t="s">
        <v>8</v>
      </c>
      <c r="F47" s="439">
        <v>9701</v>
      </c>
      <c r="G47" s="440">
        <v>3807839.5458341101</v>
      </c>
      <c r="H47" s="440">
        <v>392.52</v>
      </c>
      <c r="I47" s="439">
        <v>393</v>
      </c>
      <c r="J47" s="74"/>
    </row>
    <row r="48" spans="2:10" x14ac:dyDescent="0.25">
      <c r="B48" s="73"/>
      <c r="C48" s="438" t="s">
        <v>39</v>
      </c>
      <c r="D48" s="438" t="s">
        <v>21</v>
      </c>
      <c r="E48" s="438" t="s">
        <v>9</v>
      </c>
      <c r="F48" s="439">
        <v>1586</v>
      </c>
      <c r="G48" s="440">
        <v>939415.61158147804</v>
      </c>
      <c r="H48" s="440">
        <v>592.32000000000005</v>
      </c>
      <c r="I48" s="439">
        <v>592</v>
      </c>
      <c r="J48" s="74"/>
    </row>
    <row r="49" spans="2:10" x14ac:dyDescent="0.25">
      <c r="B49" s="73"/>
      <c r="C49" s="438" t="s">
        <v>39</v>
      </c>
      <c r="D49" s="438" t="s">
        <v>21</v>
      </c>
      <c r="E49" s="438" t="s">
        <v>10</v>
      </c>
      <c r="F49" s="439">
        <v>37853</v>
      </c>
      <c r="G49" s="440">
        <v>11123962.746501001</v>
      </c>
      <c r="H49" s="440">
        <v>293.87</v>
      </c>
      <c r="I49" s="439">
        <v>294</v>
      </c>
      <c r="J49" s="74"/>
    </row>
    <row r="50" spans="2:10" x14ac:dyDescent="0.25">
      <c r="B50" s="73"/>
      <c r="C50" s="438" t="s">
        <v>39</v>
      </c>
      <c r="D50" s="438" t="s">
        <v>21</v>
      </c>
      <c r="E50" s="438" t="s">
        <v>11</v>
      </c>
      <c r="F50" s="439">
        <v>6672</v>
      </c>
      <c r="G50" s="440">
        <v>3254275.22548373</v>
      </c>
      <c r="H50" s="440">
        <v>487.75</v>
      </c>
      <c r="I50" s="439">
        <v>488</v>
      </c>
      <c r="J50" s="74"/>
    </row>
    <row r="51" spans="2:10" x14ac:dyDescent="0.25">
      <c r="B51" s="73"/>
      <c r="C51" s="438" t="s">
        <v>39</v>
      </c>
      <c r="D51" s="438" t="s">
        <v>21</v>
      </c>
      <c r="E51" s="438" t="s">
        <v>12</v>
      </c>
      <c r="F51" s="439">
        <v>4875</v>
      </c>
      <c r="G51" s="440">
        <v>1149372.80543823</v>
      </c>
      <c r="H51" s="440">
        <v>235.77</v>
      </c>
      <c r="I51" s="439">
        <v>236</v>
      </c>
      <c r="J51" s="74"/>
    </row>
    <row r="52" spans="2:10" x14ac:dyDescent="0.25">
      <c r="B52" s="73"/>
      <c r="C52" s="438" t="s">
        <v>39</v>
      </c>
      <c r="D52" s="438" t="s">
        <v>21</v>
      </c>
      <c r="E52" s="438" t="s">
        <v>13</v>
      </c>
      <c r="F52" s="439">
        <v>1621</v>
      </c>
      <c r="G52" s="440">
        <v>593910.25507195597</v>
      </c>
      <c r="H52" s="440">
        <v>366.39</v>
      </c>
      <c r="I52" s="439">
        <v>366</v>
      </c>
      <c r="J52" s="74"/>
    </row>
    <row r="53" spans="2:10" x14ac:dyDescent="0.25">
      <c r="B53" s="73"/>
      <c r="C53" s="438" t="s">
        <v>39</v>
      </c>
      <c r="D53" s="438" t="s">
        <v>21</v>
      </c>
      <c r="E53" s="438" t="s">
        <v>48</v>
      </c>
      <c r="F53" s="439">
        <v>47911</v>
      </c>
      <c r="G53" s="440">
        <v>35751749.711712502</v>
      </c>
      <c r="H53" s="440">
        <v>746.21</v>
      </c>
      <c r="I53" s="439">
        <v>746</v>
      </c>
      <c r="J53" s="74"/>
    </row>
    <row r="54" spans="2:10" x14ac:dyDescent="0.25">
      <c r="B54" s="73"/>
      <c r="C54" s="438" t="s">
        <v>39</v>
      </c>
      <c r="D54" s="438" t="s">
        <v>21</v>
      </c>
      <c r="E54" s="438" t="s">
        <v>49</v>
      </c>
      <c r="F54" s="439">
        <v>9176</v>
      </c>
      <c r="G54" s="440">
        <v>8094319.4756601499</v>
      </c>
      <c r="H54" s="440">
        <v>882.12</v>
      </c>
      <c r="I54" s="439">
        <v>882</v>
      </c>
      <c r="J54" s="74"/>
    </row>
    <row r="55" spans="2:10" x14ac:dyDescent="0.25">
      <c r="B55" s="73"/>
      <c r="C55" s="438" t="s">
        <v>39</v>
      </c>
      <c r="D55" s="438" t="s">
        <v>21</v>
      </c>
      <c r="E55" s="438" t="s">
        <v>50</v>
      </c>
      <c r="F55" s="439">
        <v>166</v>
      </c>
      <c r="G55" s="440">
        <v>167235.796658509</v>
      </c>
      <c r="H55" s="440">
        <v>1007.44</v>
      </c>
      <c r="I55" s="439">
        <v>1007</v>
      </c>
      <c r="J55" s="74"/>
    </row>
    <row r="56" spans="2:10" x14ac:dyDescent="0.25">
      <c r="B56" s="73"/>
      <c r="C56" s="438" t="s">
        <v>39</v>
      </c>
      <c r="D56" s="438" t="s">
        <v>21</v>
      </c>
      <c r="E56" s="438" t="s">
        <v>52</v>
      </c>
      <c r="F56" s="439">
        <v>2753</v>
      </c>
      <c r="G56" s="440">
        <v>2463848.2590908702</v>
      </c>
      <c r="H56" s="440">
        <v>894.97</v>
      </c>
      <c r="I56" s="439">
        <v>895</v>
      </c>
      <c r="J56" s="74"/>
    </row>
    <row r="57" spans="2:10" x14ac:dyDescent="0.25">
      <c r="B57" s="73"/>
      <c r="C57" s="438" t="s">
        <v>39</v>
      </c>
      <c r="D57" s="438" t="s">
        <v>21</v>
      </c>
      <c r="E57" s="438" t="s">
        <v>53</v>
      </c>
      <c r="F57" s="439">
        <v>1928</v>
      </c>
      <c r="G57" s="440">
        <v>2230659.1600946402</v>
      </c>
      <c r="H57" s="440">
        <v>1156.98</v>
      </c>
      <c r="I57" s="439">
        <v>1157</v>
      </c>
      <c r="J57" s="74"/>
    </row>
    <row r="58" spans="2:10" x14ac:dyDescent="0.25">
      <c r="B58" s="73"/>
      <c r="C58" s="438" t="s">
        <v>39</v>
      </c>
      <c r="D58" s="438" t="s">
        <v>21</v>
      </c>
      <c r="E58" s="438" t="s">
        <v>51</v>
      </c>
      <c r="F58" s="439">
        <v>546</v>
      </c>
      <c r="G58" s="440">
        <v>512577.38041980303</v>
      </c>
      <c r="H58" s="440">
        <v>938.79</v>
      </c>
      <c r="I58" s="439">
        <v>939</v>
      </c>
      <c r="J58" s="74"/>
    </row>
    <row r="59" spans="2:10" x14ac:dyDescent="0.25">
      <c r="B59" s="73"/>
      <c r="C59" s="438" t="s">
        <v>39</v>
      </c>
      <c r="D59" s="438" t="s">
        <v>21</v>
      </c>
      <c r="E59" s="438" t="s">
        <v>54</v>
      </c>
      <c r="F59" s="439">
        <v>181</v>
      </c>
      <c r="G59" s="440">
        <v>193748.03442630201</v>
      </c>
      <c r="H59" s="440">
        <v>1070.43</v>
      </c>
      <c r="I59" s="439">
        <v>1070</v>
      </c>
      <c r="J59" s="74"/>
    </row>
    <row r="60" spans="2:10" s="167" customFormat="1" x14ac:dyDescent="0.25">
      <c r="B60" s="73"/>
      <c r="C60" s="15"/>
      <c r="D60" s="15"/>
      <c r="E60" s="877" t="s">
        <v>456</v>
      </c>
      <c r="F60" s="878">
        <f>SUMIF($C$14:$C$59,"CHEMTHPY",F$14:F$59)</f>
        <v>1915122</v>
      </c>
      <c r="G60" s="878">
        <f>SUMIF($C$14:$C$59,"CHEMTHPY",G$14:G$59)</f>
        <v>1010033843.0259626</v>
      </c>
      <c r="H60" s="879"/>
      <c r="I60" s="879"/>
      <c r="J60" s="74"/>
    </row>
    <row r="61" spans="2:10" s="167" customFormat="1" x14ac:dyDescent="0.25">
      <c r="B61" s="73"/>
      <c r="C61" s="15"/>
      <c r="D61" s="15"/>
      <c r="E61" s="877" t="s">
        <v>457</v>
      </c>
      <c r="F61" s="878">
        <f>SUMIF($C$14:$C$59,"RADTHPY",F$14:F$59)</f>
        <v>1973625</v>
      </c>
      <c r="G61" s="878">
        <f>SUMIF($C$14:$C$59,"RADTHPY",G$14:G$59)</f>
        <v>338505506.10693294</v>
      </c>
      <c r="H61" s="879"/>
      <c r="I61" s="879"/>
      <c r="J61" s="74"/>
    </row>
    <row r="62" spans="2:10" x14ac:dyDescent="0.25">
      <c r="B62" s="73"/>
      <c r="C62" s="15"/>
      <c r="D62" s="15"/>
      <c r="E62" s="877" t="s">
        <v>458</v>
      </c>
      <c r="F62" s="878">
        <f>SUM(F14:F59)</f>
        <v>3888747</v>
      </c>
      <c r="G62" s="880">
        <f>SUM(G14:G59)</f>
        <v>1348539349.1328957</v>
      </c>
      <c r="H62" s="879">
        <f>SUM(H14:H59)</f>
        <v>31353.42</v>
      </c>
      <c r="I62" s="879">
        <f>SUM(I14:I59)</f>
        <v>31353</v>
      </c>
      <c r="J62" s="74"/>
    </row>
    <row r="63" spans="2:10" x14ac:dyDescent="0.25">
      <c r="B63" s="75"/>
      <c r="C63" s="76"/>
      <c r="D63" s="76"/>
      <c r="E63" s="306" t="s">
        <v>459</v>
      </c>
      <c r="F63" s="307">
        <f>F62-F60-F61</f>
        <v>0</v>
      </c>
      <c r="G63" s="308">
        <f>G62-G60-G61</f>
        <v>0</v>
      </c>
      <c r="H63" s="76">
        <f>AVERAGE(H14:H59)</f>
        <v>681.59608695652173</v>
      </c>
      <c r="I63" s="76"/>
      <c r="J63" s="77"/>
    </row>
  </sheetData>
  <hyperlinks>
    <hyperlink ref="A1" location="Navigation!A1" display="Home"/>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sheetPr>
  <dimension ref="A1:I59"/>
  <sheetViews>
    <sheetView zoomScaleNormal="100" workbookViewId="0"/>
  </sheetViews>
  <sheetFormatPr defaultRowHeight="15" x14ac:dyDescent="0.25"/>
  <cols>
    <col min="1" max="1" width="1.140625" customWidth="1"/>
    <col min="2" max="2" width="13.140625" customWidth="1"/>
    <col min="3" max="3" width="7.42578125" bestFit="1" customWidth="1"/>
    <col min="4" max="4" width="10.5703125" bestFit="1" customWidth="1"/>
    <col min="5" max="5" width="15.5703125" bestFit="1" customWidth="1"/>
    <col min="6" max="6" width="13.85546875" bestFit="1" customWidth="1"/>
    <col min="7" max="7" width="9.140625" bestFit="1" customWidth="1"/>
    <col min="8" max="8" width="5.5703125" bestFit="1" customWidth="1"/>
    <col min="9" max="9" width="13.5703125" bestFit="1" customWidth="1"/>
  </cols>
  <sheetData>
    <row r="1" spans="1:9" x14ac:dyDescent="0.25">
      <c r="A1" s="173" t="s">
        <v>377</v>
      </c>
    </row>
    <row r="2" spans="1:9" ht="18" x14ac:dyDescent="0.35">
      <c r="B2" s="1" t="s">
        <v>464</v>
      </c>
      <c r="C2" s="11"/>
      <c r="D2" s="11"/>
    </row>
    <row r="3" spans="1:9" ht="14.45" x14ac:dyDescent="0.3">
      <c r="B3" s="11"/>
      <c r="C3" s="11"/>
      <c r="D3" s="11"/>
    </row>
    <row r="4" spans="1:9" ht="14.45" x14ac:dyDescent="0.3">
      <c r="B4" s="26" t="s">
        <v>57</v>
      </c>
      <c r="C4" s="24" t="s">
        <v>897</v>
      </c>
      <c r="D4" s="11"/>
    </row>
    <row r="5" spans="1:9" ht="14.45" x14ac:dyDescent="0.3">
      <c r="B5" s="26" t="s">
        <v>232</v>
      </c>
      <c r="C5" s="24" t="s">
        <v>362</v>
      </c>
      <c r="D5" s="4"/>
    </row>
    <row r="6" spans="1:9" ht="14.45" x14ac:dyDescent="0.3">
      <c r="B6" s="10"/>
      <c r="C6" s="11"/>
      <c r="D6" s="4"/>
    </row>
    <row r="8" spans="1:9" x14ac:dyDescent="0.25">
      <c r="D8" t="s">
        <v>455</v>
      </c>
      <c r="E8" s="431">
        <f>SUM(E$10:E$58)</f>
        <v>9568751</v>
      </c>
      <c r="F8" s="431">
        <f>SUM(F$10:F$58)</f>
        <v>822480116.46126938</v>
      </c>
      <c r="G8" s="431">
        <f t="shared" ref="G8:H8" si="0">SUM(G$10:G$58)</f>
        <v>7947.9670999999998</v>
      </c>
      <c r="H8" s="431">
        <f t="shared" si="0"/>
        <v>7949</v>
      </c>
    </row>
    <row r="9" spans="1:9" x14ac:dyDescent="0.25">
      <c r="B9" s="25" t="s">
        <v>14</v>
      </c>
      <c r="C9" s="25" t="s">
        <v>15</v>
      </c>
      <c r="D9" s="25" t="s">
        <v>16</v>
      </c>
      <c r="E9" s="25" t="s">
        <v>17</v>
      </c>
      <c r="F9" s="25" t="s">
        <v>18</v>
      </c>
      <c r="G9" s="25" t="s">
        <v>435</v>
      </c>
      <c r="H9" s="25" t="s">
        <v>19</v>
      </c>
    </row>
    <row r="10" spans="1:9" x14ac:dyDescent="0.25">
      <c r="B10" s="167" t="s">
        <v>171</v>
      </c>
      <c r="C10" s="167" t="s">
        <v>21</v>
      </c>
      <c r="D10" s="82" t="s">
        <v>179</v>
      </c>
      <c r="E10" s="177">
        <v>1251944</v>
      </c>
      <c r="F10" s="223">
        <v>164709437.57731101</v>
      </c>
      <c r="G10" s="223">
        <v>131.56290000000001</v>
      </c>
      <c r="H10" s="167">
        <v>132</v>
      </c>
      <c r="I10" s="82"/>
    </row>
    <row r="11" spans="1:9" x14ac:dyDescent="0.25">
      <c r="B11" s="167" t="s">
        <v>171</v>
      </c>
      <c r="C11" s="167" t="s">
        <v>21</v>
      </c>
      <c r="D11" s="82" t="s">
        <v>180</v>
      </c>
      <c r="E11" s="177">
        <v>49671</v>
      </c>
      <c r="F11" s="223">
        <v>6803895.9544373797</v>
      </c>
      <c r="G11" s="223">
        <v>136.97919999999999</v>
      </c>
      <c r="H11" s="167">
        <v>137</v>
      </c>
    </row>
    <row r="12" spans="1:9" x14ac:dyDescent="0.25">
      <c r="B12" s="167" t="s">
        <v>171</v>
      </c>
      <c r="C12" s="167" t="s">
        <v>21</v>
      </c>
      <c r="D12" s="82" t="s">
        <v>181</v>
      </c>
      <c r="E12" s="177">
        <v>7171</v>
      </c>
      <c r="F12" s="223">
        <v>915783.52525900805</v>
      </c>
      <c r="G12" s="223">
        <v>127.70650000000001</v>
      </c>
      <c r="H12" s="167">
        <v>128</v>
      </c>
    </row>
    <row r="13" spans="1:9" x14ac:dyDescent="0.25">
      <c r="B13" s="167" t="s">
        <v>171</v>
      </c>
      <c r="C13" s="167" t="s">
        <v>21</v>
      </c>
      <c r="D13" s="82" t="s">
        <v>182</v>
      </c>
      <c r="E13" s="177">
        <v>164277</v>
      </c>
      <c r="F13" s="223">
        <v>24900154.9913367</v>
      </c>
      <c r="G13" s="223">
        <v>151.57419999999999</v>
      </c>
      <c r="H13" s="167">
        <v>152</v>
      </c>
    </row>
    <row r="14" spans="1:9" x14ac:dyDescent="0.25">
      <c r="B14" s="167" t="s">
        <v>171</v>
      </c>
      <c r="C14" s="167" t="s">
        <v>21</v>
      </c>
      <c r="D14" s="82" t="s">
        <v>183</v>
      </c>
      <c r="E14" s="177">
        <v>6236</v>
      </c>
      <c r="F14" s="223">
        <v>936581.26920705498</v>
      </c>
      <c r="G14" s="223">
        <v>150.18940000000001</v>
      </c>
      <c r="H14" s="167">
        <v>150</v>
      </c>
    </row>
    <row r="15" spans="1:9" x14ac:dyDescent="0.25">
      <c r="B15" s="167" t="s">
        <v>171</v>
      </c>
      <c r="C15" s="167" t="s">
        <v>21</v>
      </c>
      <c r="D15" s="82" t="s">
        <v>184</v>
      </c>
      <c r="E15" s="177">
        <v>6526</v>
      </c>
      <c r="F15" s="223">
        <v>1257756.6654131</v>
      </c>
      <c r="G15" s="223">
        <v>192.73009999999999</v>
      </c>
      <c r="H15" s="167">
        <v>193</v>
      </c>
    </row>
    <row r="16" spans="1:9" x14ac:dyDescent="0.25">
      <c r="B16" s="167" t="s">
        <v>171</v>
      </c>
      <c r="C16" s="167" t="s">
        <v>21</v>
      </c>
      <c r="D16" s="82" t="s">
        <v>97</v>
      </c>
      <c r="E16" s="177">
        <v>92964</v>
      </c>
      <c r="F16" s="223">
        <v>16955659.892029699</v>
      </c>
      <c r="G16" s="223">
        <v>182.3895</v>
      </c>
      <c r="H16" s="167">
        <v>182</v>
      </c>
    </row>
    <row r="17" spans="2:8" x14ac:dyDescent="0.25">
      <c r="B17" s="167" t="s">
        <v>171</v>
      </c>
      <c r="C17" s="167" t="s">
        <v>21</v>
      </c>
      <c r="D17" s="82" t="s">
        <v>99</v>
      </c>
      <c r="E17" s="177">
        <v>133228</v>
      </c>
      <c r="F17" s="223">
        <v>20212686.2986084</v>
      </c>
      <c r="G17" s="223">
        <v>151.715</v>
      </c>
      <c r="H17" s="167">
        <v>152</v>
      </c>
    </row>
    <row r="18" spans="2:8" x14ac:dyDescent="0.25">
      <c r="B18" s="167" t="s">
        <v>171</v>
      </c>
      <c r="C18" s="167" t="s">
        <v>21</v>
      </c>
      <c r="D18" s="82" t="s">
        <v>101</v>
      </c>
      <c r="E18" s="177">
        <v>68322</v>
      </c>
      <c r="F18" s="223">
        <v>10420520.6324185</v>
      </c>
      <c r="G18" s="223">
        <v>152.52070000000001</v>
      </c>
      <c r="H18" s="167">
        <v>153</v>
      </c>
    </row>
    <row r="19" spans="2:8" x14ac:dyDescent="0.25">
      <c r="B19" s="167" t="s">
        <v>171</v>
      </c>
      <c r="C19" s="167" t="s">
        <v>21</v>
      </c>
      <c r="D19" s="82" t="s">
        <v>103</v>
      </c>
      <c r="E19" s="177">
        <v>12684</v>
      </c>
      <c r="F19" s="223">
        <v>2364622.47807201</v>
      </c>
      <c r="G19" s="223">
        <v>186.4256</v>
      </c>
      <c r="H19" s="167">
        <v>186</v>
      </c>
    </row>
    <row r="20" spans="2:8" x14ac:dyDescent="0.25">
      <c r="B20" s="167" t="s">
        <v>171</v>
      </c>
      <c r="C20" s="167" t="s">
        <v>21</v>
      </c>
      <c r="D20" s="82" t="s">
        <v>105</v>
      </c>
      <c r="E20" s="177">
        <v>9610</v>
      </c>
      <c r="F20" s="223">
        <v>2276461.4032241302</v>
      </c>
      <c r="G20" s="223">
        <v>236.88460000000001</v>
      </c>
      <c r="H20" s="167">
        <v>237</v>
      </c>
    </row>
    <row r="21" spans="2:8" x14ac:dyDescent="0.25">
      <c r="B21" s="167" t="s">
        <v>171</v>
      </c>
      <c r="C21" s="167" t="s">
        <v>21</v>
      </c>
      <c r="D21" s="82" t="s">
        <v>185</v>
      </c>
      <c r="E21" s="177">
        <v>615032</v>
      </c>
      <c r="F21" s="223">
        <v>51027684.963383801</v>
      </c>
      <c r="G21" s="223">
        <v>82.967500000000001</v>
      </c>
      <c r="H21" s="167">
        <v>83</v>
      </c>
    </row>
    <row r="22" spans="2:8" x14ac:dyDescent="0.25">
      <c r="B22" s="167" t="s">
        <v>171</v>
      </c>
      <c r="C22" s="167" t="s">
        <v>21</v>
      </c>
      <c r="D22" s="82" t="s">
        <v>186</v>
      </c>
      <c r="E22" s="177">
        <v>13582</v>
      </c>
      <c r="F22" s="223">
        <v>1265718.0725756099</v>
      </c>
      <c r="G22" s="223">
        <v>93.190799999999996</v>
      </c>
      <c r="H22" s="167">
        <v>93</v>
      </c>
    </row>
    <row r="23" spans="2:8" x14ac:dyDescent="0.25">
      <c r="B23" s="167" t="s">
        <v>171</v>
      </c>
      <c r="C23" s="167" t="s">
        <v>21</v>
      </c>
      <c r="D23" s="82" t="s">
        <v>187</v>
      </c>
      <c r="E23" s="177">
        <v>2279</v>
      </c>
      <c r="F23" s="223">
        <v>149678.704583702</v>
      </c>
      <c r="G23" s="223">
        <v>65.677400000000006</v>
      </c>
      <c r="H23" s="167">
        <v>66</v>
      </c>
    </row>
    <row r="24" spans="2:8" x14ac:dyDescent="0.25">
      <c r="B24" s="167" t="s">
        <v>171</v>
      </c>
      <c r="C24" s="167" t="s">
        <v>21</v>
      </c>
      <c r="D24" s="82" t="s">
        <v>188</v>
      </c>
      <c r="E24" s="177">
        <v>242287</v>
      </c>
      <c r="F24" s="223">
        <v>22391011.034669202</v>
      </c>
      <c r="G24" s="223">
        <v>92.415199999999999</v>
      </c>
      <c r="H24" s="167">
        <v>92</v>
      </c>
    </row>
    <row r="25" spans="2:8" x14ac:dyDescent="0.25">
      <c r="B25" s="167" t="s">
        <v>171</v>
      </c>
      <c r="C25" s="167" t="s">
        <v>21</v>
      </c>
      <c r="D25" s="82" t="s">
        <v>189</v>
      </c>
      <c r="E25" s="177">
        <v>1917</v>
      </c>
      <c r="F25" s="223">
        <v>137700.93195127699</v>
      </c>
      <c r="G25" s="223">
        <v>71.831500000000005</v>
      </c>
      <c r="H25" s="167">
        <v>72</v>
      </c>
    </row>
    <row r="26" spans="2:8" x14ac:dyDescent="0.25">
      <c r="B26" s="167" t="s">
        <v>171</v>
      </c>
      <c r="C26" s="167" t="s">
        <v>21</v>
      </c>
      <c r="D26" s="82" t="s">
        <v>190</v>
      </c>
      <c r="E26" s="177">
        <v>2337</v>
      </c>
      <c r="F26" s="223">
        <v>222503.94198657601</v>
      </c>
      <c r="G26" s="223">
        <v>95.209199999999996</v>
      </c>
      <c r="H26" s="167">
        <v>95</v>
      </c>
    </row>
    <row r="27" spans="2:8" x14ac:dyDescent="0.25">
      <c r="B27" s="167" t="s">
        <v>171</v>
      </c>
      <c r="C27" s="167" t="s">
        <v>21</v>
      </c>
      <c r="D27" s="82" t="s">
        <v>107</v>
      </c>
      <c r="E27" s="177">
        <v>95449</v>
      </c>
      <c r="F27" s="223">
        <v>10291602.846676599</v>
      </c>
      <c r="G27" s="223">
        <v>107.8231</v>
      </c>
      <c r="H27" s="167">
        <v>108</v>
      </c>
    </row>
    <row r="28" spans="2:8" x14ac:dyDescent="0.25">
      <c r="B28" s="167" t="s">
        <v>171</v>
      </c>
      <c r="C28" s="167" t="s">
        <v>21</v>
      </c>
      <c r="D28" s="82" t="s">
        <v>109</v>
      </c>
      <c r="E28" s="177">
        <v>77127</v>
      </c>
      <c r="F28" s="223">
        <v>7246671.70350172</v>
      </c>
      <c r="G28" s="223">
        <v>93.957700000000003</v>
      </c>
      <c r="H28" s="167">
        <v>94</v>
      </c>
    </row>
    <row r="29" spans="2:8" x14ac:dyDescent="0.25">
      <c r="B29" s="167" t="s">
        <v>171</v>
      </c>
      <c r="C29" s="167" t="s">
        <v>21</v>
      </c>
      <c r="D29" s="82" t="s">
        <v>111</v>
      </c>
      <c r="E29" s="177">
        <v>256650</v>
      </c>
      <c r="F29" s="223">
        <v>28388073.9884138</v>
      </c>
      <c r="G29" s="223">
        <v>110.6101</v>
      </c>
      <c r="H29" s="167">
        <v>111</v>
      </c>
    </row>
    <row r="30" spans="2:8" x14ac:dyDescent="0.25">
      <c r="B30" s="167" t="s">
        <v>171</v>
      </c>
      <c r="C30" s="167" t="s">
        <v>21</v>
      </c>
      <c r="D30" s="82" t="s">
        <v>115</v>
      </c>
      <c r="E30" s="177">
        <v>322104</v>
      </c>
      <c r="F30" s="223">
        <v>39206044.537808903</v>
      </c>
      <c r="G30" s="223">
        <v>121.7186</v>
      </c>
      <c r="H30" s="167">
        <v>122</v>
      </c>
    </row>
    <row r="31" spans="2:8" x14ac:dyDescent="0.25">
      <c r="B31" s="167" t="s">
        <v>171</v>
      </c>
      <c r="C31" s="167" t="s">
        <v>21</v>
      </c>
      <c r="D31" s="82" t="s">
        <v>117</v>
      </c>
      <c r="E31" s="177">
        <v>46988</v>
      </c>
      <c r="F31" s="223">
        <v>6360658.1041094996</v>
      </c>
      <c r="G31" s="223">
        <v>135.36770000000001</v>
      </c>
      <c r="H31" s="167">
        <v>135</v>
      </c>
    </row>
    <row r="32" spans="2:8" x14ac:dyDescent="0.25">
      <c r="B32" s="167" t="s">
        <v>171</v>
      </c>
      <c r="C32" s="167" t="s">
        <v>21</v>
      </c>
      <c r="D32" s="82" t="s">
        <v>119</v>
      </c>
      <c r="E32" s="177">
        <v>250053</v>
      </c>
      <c r="F32" s="223">
        <v>16248267.0509503</v>
      </c>
      <c r="G32" s="223">
        <v>64.979299999999995</v>
      </c>
      <c r="H32" s="167">
        <v>65</v>
      </c>
    </row>
    <row r="33" spans="2:8" x14ac:dyDescent="0.25">
      <c r="B33" s="167" t="s">
        <v>171</v>
      </c>
      <c r="C33" s="167" t="s">
        <v>21</v>
      </c>
      <c r="D33" s="82" t="s">
        <v>121</v>
      </c>
      <c r="E33" s="177">
        <v>151215</v>
      </c>
      <c r="F33" s="223">
        <v>13670126.1867694</v>
      </c>
      <c r="G33" s="223">
        <v>90.401899999999998</v>
      </c>
      <c r="H33" s="167">
        <v>90</v>
      </c>
    </row>
    <row r="34" spans="2:8" x14ac:dyDescent="0.25">
      <c r="B34" s="167" t="s">
        <v>171</v>
      </c>
      <c r="C34" s="167" t="s">
        <v>21</v>
      </c>
      <c r="D34" s="82" t="s">
        <v>123</v>
      </c>
      <c r="E34" s="177">
        <v>75452</v>
      </c>
      <c r="F34" s="223">
        <v>10215474.428631</v>
      </c>
      <c r="G34" s="223">
        <v>135.3904</v>
      </c>
      <c r="H34" s="167">
        <v>135</v>
      </c>
    </row>
    <row r="35" spans="2:8" x14ac:dyDescent="0.25">
      <c r="B35" s="167" t="s">
        <v>171</v>
      </c>
      <c r="C35" s="167" t="s">
        <v>21</v>
      </c>
      <c r="D35" s="82" t="s">
        <v>125</v>
      </c>
      <c r="E35" s="177">
        <v>33057</v>
      </c>
      <c r="F35" s="223">
        <v>6051361.8957281299</v>
      </c>
      <c r="G35" s="223">
        <v>183.05840000000001</v>
      </c>
      <c r="H35" s="167">
        <v>183</v>
      </c>
    </row>
    <row r="36" spans="2:8" x14ac:dyDescent="0.25">
      <c r="B36" s="167" t="s">
        <v>171</v>
      </c>
      <c r="C36" s="167" t="s">
        <v>21</v>
      </c>
      <c r="D36" s="82" t="s">
        <v>172</v>
      </c>
      <c r="E36" s="177">
        <v>1924</v>
      </c>
      <c r="F36" s="223">
        <v>126794.41565815599</v>
      </c>
      <c r="G36" s="223">
        <v>65.901499999999999</v>
      </c>
      <c r="H36" s="167">
        <v>66</v>
      </c>
    </row>
    <row r="37" spans="2:8" x14ac:dyDescent="0.25">
      <c r="B37" s="167" t="s">
        <v>171</v>
      </c>
      <c r="C37" s="167" t="s">
        <v>21</v>
      </c>
      <c r="D37" s="82" t="s">
        <v>173</v>
      </c>
      <c r="E37" s="177">
        <v>1857</v>
      </c>
      <c r="F37" s="223">
        <v>217093.79842191201</v>
      </c>
      <c r="G37" s="223">
        <v>116.9057</v>
      </c>
      <c r="H37" s="167">
        <v>117</v>
      </c>
    </row>
    <row r="38" spans="2:8" x14ac:dyDescent="0.25">
      <c r="B38" s="167" t="s">
        <v>171</v>
      </c>
      <c r="C38" s="167" t="s">
        <v>21</v>
      </c>
      <c r="D38" s="82" t="s">
        <v>174</v>
      </c>
      <c r="E38" s="177">
        <v>4200</v>
      </c>
      <c r="F38" s="223">
        <v>563062.30534508696</v>
      </c>
      <c r="G38" s="223">
        <v>134.0625</v>
      </c>
      <c r="H38" s="167">
        <v>134</v>
      </c>
    </row>
    <row r="39" spans="2:8" x14ac:dyDescent="0.25">
      <c r="B39" s="167" t="s">
        <v>171</v>
      </c>
      <c r="C39" s="167" t="s">
        <v>21</v>
      </c>
      <c r="D39" s="82" t="s">
        <v>127</v>
      </c>
      <c r="E39" s="177">
        <v>3758253</v>
      </c>
      <c r="F39" s="223">
        <v>170310872.40760499</v>
      </c>
      <c r="G39" s="223">
        <v>45.316499999999998</v>
      </c>
      <c r="H39" s="167">
        <v>45</v>
      </c>
    </row>
    <row r="40" spans="2:8" x14ac:dyDescent="0.25">
      <c r="B40" s="167" t="s">
        <v>171</v>
      </c>
      <c r="C40" s="167" t="s">
        <v>21</v>
      </c>
      <c r="D40" s="82" t="s">
        <v>129</v>
      </c>
      <c r="E40" s="177">
        <v>1099632</v>
      </c>
      <c r="F40" s="223">
        <v>61041007.4753858</v>
      </c>
      <c r="G40" s="223">
        <v>55.510399999999997</v>
      </c>
      <c r="H40" s="167">
        <v>56</v>
      </c>
    </row>
    <row r="41" spans="2:8" x14ac:dyDescent="0.25">
      <c r="B41" s="167" t="s">
        <v>171</v>
      </c>
      <c r="C41" s="167" t="s">
        <v>21</v>
      </c>
      <c r="D41" s="82" t="s">
        <v>175</v>
      </c>
      <c r="E41" s="177">
        <v>6488</v>
      </c>
      <c r="F41" s="223">
        <v>450367.536109915</v>
      </c>
      <c r="G41" s="223">
        <v>69.415499999999994</v>
      </c>
      <c r="H41" s="167">
        <v>69</v>
      </c>
    </row>
    <row r="42" spans="2:8" x14ac:dyDescent="0.25">
      <c r="B42" s="167" t="s">
        <v>171</v>
      </c>
      <c r="C42" s="167" t="s">
        <v>21</v>
      </c>
      <c r="D42" s="82" t="s">
        <v>176</v>
      </c>
      <c r="E42" s="177">
        <v>23202</v>
      </c>
      <c r="F42" s="223">
        <v>2228709.3933224999</v>
      </c>
      <c r="G42" s="223">
        <v>96.056799999999996</v>
      </c>
      <c r="H42" s="167">
        <v>96</v>
      </c>
    </row>
    <row r="43" spans="2:8" x14ac:dyDescent="0.25">
      <c r="B43" s="167" t="s">
        <v>171</v>
      </c>
      <c r="C43" s="167" t="s">
        <v>21</v>
      </c>
      <c r="D43" s="82" t="s">
        <v>177</v>
      </c>
      <c r="E43" s="177">
        <v>1557</v>
      </c>
      <c r="F43" s="223">
        <v>110978.215735523</v>
      </c>
      <c r="G43" s="223">
        <v>71.277000000000001</v>
      </c>
      <c r="H43" s="167">
        <v>71</v>
      </c>
    </row>
    <row r="44" spans="2:8" x14ac:dyDescent="0.25">
      <c r="B44" s="167" t="s">
        <v>171</v>
      </c>
      <c r="C44" s="167" t="s">
        <v>21</v>
      </c>
      <c r="D44" s="82" t="s">
        <v>131</v>
      </c>
      <c r="E44" s="177">
        <v>37609</v>
      </c>
      <c r="F44" s="223">
        <v>5966093.7592216199</v>
      </c>
      <c r="G44" s="223">
        <v>158.63470000000001</v>
      </c>
      <c r="H44" s="167">
        <v>159</v>
      </c>
    </row>
    <row r="45" spans="2:8" x14ac:dyDescent="0.25">
      <c r="B45" s="167" t="s">
        <v>171</v>
      </c>
      <c r="C45" s="167" t="s">
        <v>21</v>
      </c>
      <c r="D45" s="82" t="s">
        <v>133</v>
      </c>
      <c r="E45" s="177">
        <v>185239</v>
      </c>
      <c r="F45" s="223">
        <v>35219302.097767703</v>
      </c>
      <c r="G45" s="223">
        <v>190.12899999999999</v>
      </c>
      <c r="H45" s="167">
        <v>190</v>
      </c>
    </row>
    <row r="46" spans="2:8" x14ac:dyDescent="0.25">
      <c r="B46" s="167" t="s">
        <v>171</v>
      </c>
      <c r="C46" s="167" t="s">
        <v>21</v>
      </c>
      <c r="D46" s="82" t="s">
        <v>135</v>
      </c>
      <c r="E46" s="177">
        <v>76791</v>
      </c>
      <c r="F46" s="223">
        <v>16586751.587544801</v>
      </c>
      <c r="G46" s="223">
        <v>215.99860000000001</v>
      </c>
      <c r="H46" s="167">
        <v>216</v>
      </c>
    </row>
    <row r="47" spans="2:8" x14ac:dyDescent="0.25">
      <c r="B47" s="167" t="s">
        <v>171</v>
      </c>
      <c r="C47" s="167" t="s">
        <v>21</v>
      </c>
      <c r="D47" s="82" t="s">
        <v>137</v>
      </c>
      <c r="E47" s="177">
        <v>51973</v>
      </c>
      <c r="F47" s="223">
        <v>14737124.100872699</v>
      </c>
      <c r="G47" s="223">
        <v>283.55349999999999</v>
      </c>
      <c r="H47" s="167">
        <v>284</v>
      </c>
    </row>
    <row r="48" spans="2:8" x14ac:dyDescent="0.25">
      <c r="B48" s="167" t="s">
        <v>171</v>
      </c>
      <c r="C48" s="167" t="s">
        <v>21</v>
      </c>
      <c r="D48" s="82" t="s">
        <v>139</v>
      </c>
      <c r="E48" s="177">
        <v>41982</v>
      </c>
      <c r="F48" s="223">
        <v>13426180.6246217</v>
      </c>
      <c r="G48" s="223">
        <v>319.80799999999999</v>
      </c>
      <c r="H48" s="167">
        <v>320</v>
      </c>
    </row>
    <row r="49" spans="2:8" x14ac:dyDescent="0.25">
      <c r="B49" s="167" t="s">
        <v>171</v>
      </c>
      <c r="C49" s="167" t="s">
        <v>21</v>
      </c>
      <c r="D49" s="82" t="s">
        <v>141</v>
      </c>
      <c r="E49" s="177">
        <v>11356</v>
      </c>
      <c r="F49" s="223">
        <v>4690970.9343493897</v>
      </c>
      <c r="G49" s="223">
        <v>413.08300000000003</v>
      </c>
      <c r="H49" s="167">
        <v>413</v>
      </c>
    </row>
    <row r="50" spans="2:8" x14ac:dyDescent="0.25">
      <c r="B50" s="167" t="s">
        <v>171</v>
      </c>
      <c r="C50" s="167" t="s">
        <v>21</v>
      </c>
      <c r="D50" s="82" t="s">
        <v>170</v>
      </c>
      <c r="E50" s="177">
        <v>12885</v>
      </c>
      <c r="F50" s="223">
        <v>7445764.5237623397</v>
      </c>
      <c r="G50" s="223">
        <v>577.86300000000006</v>
      </c>
      <c r="H50" s="167">
        <v>578</v>
      </c>
    </row>
    <row r="51" spans="2:8" x14ac:dyDescent="0.25">
      <c r="B51" s="167" t="s">
        <v>171</v>
      </c>
      <c r="C51" s="167" t="s">
        <v>21</v>
      </c>
      <c r="D51" s="82" t="s">
        <v>113</v>
      </c>
      <c r="E51" s="177">
        <v>33583</v>
      </c>
      <c r="F51" s="223">
        <v>3019876.63184383</v>
      </c>
      <c r="G51" s="223">
        <v>89.922799999999995</v>
      </c>
      <c r="H51" s="167">
        <v>90</v>
      </c>
    </row>
    <row r="52" spans="2:8" x14ac:dyDescent="0.25">
      <c r="B52" s="167" t="s">
        <v>171</v>
      </c>
      <c r="C52" s="167" t="s">
        <v>21</v>
      </c>
      <c r="D52" s="82" t="s">
        <v>191</v>
      </c>
      <c r="E52" s="177">
        <v>191705</v>
      </c>
      <c r="F52" s="223">
        <v>11019213.841751199</v>
      </c>
      <c r="G52" s="223">
        <v>57.4801</v>
      </c>
      <c r="H52" s="167">
        <v>57</v>
      </c>
    </row>
    <row r="53" spans="2:8" x14ac:dyDescent="0.25">
      <c r="B53" s="167" t="s">
        <v>171</v>
      </c>
      <c r="C53" s="167" t="s">
        <v>21</v>
      </c>
      <c r="D53" s="82" t="s">
        <v>192</v>
      </c>
      <c r="E53" s="177">
        <v>4243</v>
      </c>
      <c r="F53" s="223">
        <v>247542.747844211</v>
      </c>
      <c r="G53" s="223">
        <v>58.3414</v>
      </c>
      <c r="H53" s="167">
        <v>58</v>
      </c>
    </row>
    <row r="54" spans="2:8" x14ac:dyDescent="0.25">
      <c r="B54" s="167" t="s">
        <v>171</v>
      </c>
      <c r="C54" s="167" t="s">
        <v>21</v>
      </c>
      <c r="D54" s="82" t="s">
        <v>193</v>
      </c>
      <c r="E54" s="177">
        <v>1945</v>
      </c>
      <c r="F54" s="223">
        <v>161037.84368411699</v>
      </c>
      <c r="G54" s="223">
        <v>82.7958</v>
      </c>
      <c r="H54" s="167">
        <v>83</v>
      </c>
    </row>
    <row r="55" spans="2:8" x14ac:dyDescent="0.25">
      <c r="B55" s="167" t="s">
        <v>171</v>
      </c>
      <c r="C55" s="167" t="s">
        <v>21</v>
      </c>
      <c r="D55" s="82" t="s">
        <v>194</v>
      </c>
      <c r="E55" s="177">
        <v>14173</v>
      </c>
      <c r="F55" s="223">
        <v>4940190.6037450004</v>
      </c>
      <c r="G55" s="223">
        <v>348.56349999999998</v>
      </c>
      <c r="H55" s="167">
        <v>349</v>
      </c>
    </row>
    <row r="56" spans="2:8" s="167" customFormat="1" x14ac:dyDescent="0.25">
      <c r="B56" s="167" t="s">
        <v>171</v>
      </c>
      <c r="C56" s="167" t="s">
        <v>21</v>
      </c>
      <c r="D56" s="82" t="s">
        <v>195</v>
      </c>
      <c r="E56" s="177">
        <v>1371</v>
      </c>
      <c r="F56" s="223">
        <v>605014.43913946301</v>
      </c>
      <c r="G56" s="223">
        <v>441.29430000000002</v>
      </c>
      <c r="H56" s="167">
        <v>441</v>
      </c>
    </row>
    <row r="57" spans="2:8" x14ac:dyDescent="0.25">
      <c r="B57" s="167" t="s">
        <v>171</v>
      </c>
      <c r="C57" s="167" t="s">
        <v>21</v>
      </c>
      <c r="D57" s="82" t="s">
        <v>196</v>
      </c>
      <c r="E57" s="177">
        <v>2020</v>
      </c>
      <c r="F57" s="223">
        <v>978009.17780492199</v>
      </c>
      <c r="G57" s="223">
        <v>484.16300000000001</v>
      </c>
      <c r="H57" s="167">
        <v>484</v>
      </c>
    </row>
    <row r="58" spans="2:8" x14ac:dyDescent="0.25">
      <c r="B58" s="167" t="s">
        <v>171</v>
      </c>
      <c r="C58" s="167" t="s">
        <v>21</v>
      </c>
      <c r="D58" s="82" t="s">
        <v>378</v>
      </c>
      <c r="E58" s="177">
        <v>16601</v>
      </c>
      <c r="F58" s="223">
        <v>3762018.9206756898</v>
      </c>
      <c r="G58" s="223">
        <v>226.614</v>
      </c>
      <c r="H58" s="167">
        <v>227</v>
      </c>
    </row>
    <row r="59" spans="2:8" x14ac:dyDescent="0.25">
      <c r="E59" s="177"/>
      <c r="F59" s="177"/>
      <c r="G59" s="177"/>
      <c r="H59" s="177"/>
    </row>
  </sheetData>
  <hyperlinks>
    <hyperlink ref="A1" location="Navigation!A1" display="Hom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24b9e12-2d1b-4f77-9736-60357fca002d"/>
    <TaxKeywordTaxHTField xmlns="2d516e8f-cd88-438e-9193-3a5ad45be173">
      <Terms xmlns="http://schemas.microsoft.com/office/infopath/2007/PartnerControls"/>
    </TaxKeywordTaxHTField>
    <WTWorkSpaceDocumentTypeTaxHTField0 xmlns="9fd3b3b4-c26c-42ac-bf53-15d48f5070a6">
      <Terms xmlns="http://schemas.microsoft.com/office/infopath/2007/PartnerControls"/>
    </WTWorkSpaceDocumentTypeTaxHTField0>
  </documentManagement>
</p:properties>
</file>

<file path=customXml/item3.xml><?xml version="1.0" encoding="utf-8"?>
<ct:contentTypeSchema xmlns:ct="http://schemas.microsoft.com/office/2006/metadata/contentType" xmlns:ma="http://schemas.microsoft.com/office/2006/metadata/properties/metaAttributes" ct:_="" ma:_="" ma:contentTypeName="Monitor Word Document" ma:contentTypeID="0x010100F1112C5CD2F24FADB3E9B4D483CB0EE6004784DCC49DD0874EB256D0B2181CBA67" ma:contentTypeVersion="2" ma:contentTypeDescription="Monitor Word Document" ma:contentTypeScope="" ma:versionID="d6d7490398cd9ac53135ab413de4b2f4">
  <xsd:schema xmlns:xsd="http://www.w3.org/2001/XMLSchema" xmlns:xs="http://www.w3.org/2001/XMLSchema" xmlns:p="http://schemas.microsoft.com/office/2006/metadata/properties" xmlns:ns2="9fd3b3b4-c26c-42ac-bf53-15d48f5070a6" xmlns:ns3="2d516e8f-cd88-438e-9193-3a5ad45be173" xmlns:ns4="824b9e12-2d1b-4f77-9736-60357fca002d" targetNamespace="http://schemas.microsoft.com/office/2006/metadata/properties" ma:root="true" ma:fieldsID="64187a6f192601489587cf84263a4192" ns2:_="" ns3:_="" ns4:_="">
    <xsd:import namespace="9fd3b3b4-c26c-42ac-bf53-15d48f5070a6"/>
    <xsd:import namespace="2d516e8f-cd88-438e-9193-3a5ad45be173"/>
    <xsd:import namespace="824b9e12-2d1b-4f77-9736-60357fca002d"/>
    <xsd:element name="properties">
      <xsd:complexType>
        <xsd:sequence>
          <xsd:element name="documentManagement">
            <xsd:complexType>
              <xsd:all>
                <xsd:element ref="ns2:WTWorkSpaceDocumentTypeTaxHTField0" minOccurs="0"/>
                <xsd:element ref="ns3: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3b3b4-c26c-42ac-bf53-15d48f5070a6" elementFormDefault="qualified">
    <xsd:import namespace="http://schemas.microsoft.com/office/2006/documentManagement/types"/>
    <xsd:import namespace="http://schemas.microsoft.com/office/infopath/2007/PartnerControls"/>
    <xsd:element name="WTWorkSpaceDocumentTypeTaxHTField0" ma:index="9" nillable="true" ma:taxonomy="true" ma:internalName="WTWorkSpaceDocumentTypeTaxHTField0" ma:taxonomyFieldName="WTWorkSpaceDocumentType" ma:displayName="Monitor Document Type" ma:readOnly="false" ma:fieldId="{4ec57060-14aa-4678-911c-23fa9dcf7552}" ma:sspId="b9f3bada-ef23-4a97-91ad-c11a3d1e25f7" ma:termSetId="d85c8600-4493-46b9-bd68-d80f632f21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516e8f-cd88-438e-9193-3a5ad45be173"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b9f3bada-ef23-4a97-91ad-c11a3d1e25f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5b080b9e-aae4-456e-8c3d-f89c49b39775}" ma:internalName="TaxCatchAll" ma:showField="CatchAllData" ma:web="2d516e8f-cd88-438e-9193-3a5ad45be1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19EED0-574F-46DB-9813-20C6277F5F0F}">
  <ds:schemaRefs>
    <ds:schemaRef ds:uri="http://schemas.microsoft.com/sharepoint/v3/contenttype/forms"/>
  </ds:schemaRefs>
</ds:datastoreItem>
</file>

<file path=customXml/itemProps2.xml><?xml version="1.0" encoding="utf-8"?>
<ds:datastoreItem xmlns:ds="http://schemas.openxmlformats.org/officeDocument/2006/customXml" ds:itemID="{46D3E51E-4B9D-4C1B-84A4-467FF1E57BDD}">
  <ds:schemaRefs>
    <ds:schemaRef ds:uri="http://schemas.openxmlformats.org/package/2006/metadata/core-properties"/>
    <ds:schemaRef ds:uri="http://purl.org/dc/dcmitype/"/>
    <ds:schemaRef ds:uri="http://schemas.microsoft.com/office/2006/metadata/properties"/>
    <ds:schemaRef ds:uri="http://www.w3.org/XML/1998/namespace"/>
    <ds:schemaRef ds:uri="http://schemas.microsoft.com/office/infopath/2007/PartnerControls"/>
    <ds:schemaRef ds:uri="824b9e12-2d1b-4f77-9736-60357fca002d"/>
    <ds:schemaRef ds:uri="http://purl.org/dc/terms/"/>
    <ds:schemaRef ds:uri="http://schemas.microsoft.com/office/2006/documentManagement/types"/>
    <ds:schemaRef ds:uri="2d516e8f-cd88-438e-9193-3a5ad45be173"/>
    <ds:schemaRef ds:uri="9fd3b3b4-c26c-42ac-bf53-15d48f5070a6"/>
    <ds:schemaRef ds:uri="http://purl.org/dc/elements/1.1/"/>
  </ds:schemaRefs>
</ds:datastoreItem>
</file>

<file path=customXml/itemProps3.xml><?xml version="1.0" encoding="utf-8"?>
<ds:datastoreItem xmlns:ds="http://schemas.openxmlformats.org/officeDocument/2006/customXml" ds:itemID="{05B6065A-0420-448C-BE78-ED1936FAD5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3b3b4-c26c-42ac-bf53-15d48f5070a6"/>
    <ds:schemaRef ds:uri="2d516e8f-cd88-438e-9193-3a5ad45be173"/>
    <ds:schemaRef ds:uri="824b9e12-2d1b-4f77-9736-60357fca0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Disclaimer</vt:lpstr>
      <vt:lpstr>Navigation</vt:lpstr>
      <vt:lpstr>Linked Sheet</vt:lpstr>
      <vt:lpstr>Radio_&amp;_Chemo_SQL</vt:lpstr>
      <vt:lpstr>DI_SQL</vt:lpstr>
      <vt:lpstr>DI_activity_mapping_SQL</vt:lpstr>
      <vt:lpstr>AKI_SQL</vt:lpstr>
      <vt:lpstr>Input_Rad</vt:lpstr>
      <vt:lpstr>Input_DI</vt:lpstr>
      <vt:lpstr>Input_DI_activity_mapping</vt:lpstr>
      <vt:lpstr>Input_AKI</vt:lpstr>
      <vt:lpstr>2015-16 Tariff</vt:lpstr>
      <vt:lpstr>Price Adjustments</vt:lpstr>
      <vt:lpstr>Manual adjustment requests</vt:lpstr>
      <vt:lpstr>DI Cost of reporting</vt:lpstr>
      <vt:lpstr>Rad_Calc</vt:lpstr>
      <vt:lpstr>Chem_Calc</vt:lpstr>
      <vt:lpstr>DI_Calc</vt:lpstr>
      <vt:lpstr>DI Activity Mapping_Calc</vt:lpstr>
      <vt:lpstr>AKI_Calc </vt:lpstr>
      <vt:lpstr>Manual adjustments</vt:lpstr>
      <vt:lpstr>AKI_Tariff_Calc</vt:lpstr>
      <vt:lpstr>Chem_Tariff_Calc</vt:lpstr>
      <vt:lpstr>DI_Cost_of_Rep_Calc</vt:lpstr>
      <vt:lpstr>DI_Tariff_Calc</vt:lpstr>
      <vt:lpstr>Efficiency_2016_17</vt:lpstr>
      <vt:lpstr>Inflation_2016_17</vt:lpstr>
      <vt:lpstr>Inflation_Efficiency_2016_17</vt:lpstr>
      <vt:lpstr>'2015-16 Tariff'!Print_Area</vt:lpstr>
      <vt:lpstr>'Linked Sheet'!Print_Area</vt:lpstr>
      <vt:lpstr>QR1_Unbundled</vt:lpstr>
      <vt:lpstr>Rad_Tariff_Calc</vt:lpstr>
      <vt:lpstr>Scaling_AKI</vt:lpstr>
      <vt:lpstr>Scaling_Chemo</vt:lpstr>
      <vt:lpstr>Scaling_DI</vt:lpstr>
      <vt:lpstr>Scaling_Radio</vt:lpstr>
      <vt:lpstr>Tariff_CHEMO_1617</vt:lpstr>
      <vt:lpstr>Tariff_Diagim_1617</vt:lpstr>
      <vt:lpstr>Tariff_RADIO_1617</vt:lpstr>
      <vt:lpstr>Unbundled_2015_16_Tariff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Tariff calculation team</dc:creator>
  <cp:lastModifiedBy>James Lorigan</cp:lastModifiedBy>
  <cp:lastPrinted>2014-11-11T10:09:59Z</cp:lastPrinted>
  <dcterms:created xsi:type="dcterms:W3CDTF">2014-03-10T16:26:52Z</dcterms:created>
  <dcterms:modified xsi:type="dcterms:W3CDTF">2015-08-12T14:20:10Z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0x010100F1112C5CD2F24FADB3E9B4D483CB0EE6004784DCC49DD0874EB256D0B2181CBA67</vt:lpwstr>
  </property>
  <property fmtid="{D5CDD505-2E9C-101B-9397-08002B2CF9AE}" pid="3" name="TaxKeyword">
    <vt:lpwstr/>
  </property>
  <property fmtid="{D5CDD505-2E9C-101B-9397-08002B2CF9AE}" pid="4" name="WTTeamSiteDocumentType">
    <vt:lpwstr/>
  </property>
  <property fmtid="{D5CDD505-2E9C-101B-9397-08002B2CF9AE}" pid="5" name="WTWorkSpaceDocumentType">
    <vt:lpwstr/>
  </property>
</Properties>
</file>