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95" yWindow="135" windowWidth="19035" windowHeight="11700" firstSheet="2" activeTab="2"/>
  </bookViews>
  <sheets>
    <sheet name="Cover" sheetId="1" state="hidden" r:id="rId1"/>
    <sheet name="Version control" sheetId="4" state="hidden" r:id="rId2"/>
    <sheet name="Inputs and outputs" sheetId="50" r:id="rId3"/>
    <sheet name="Parameters" sheetId="51" state="hidden" r:id="rId4"/>
    <sheet name="Tapers" sheetId="53" state="hidden" r:id="rId5"/>
    <sheet name="PPS and NPPS calcs" sheetId="52" state="hidden" r:id="rId6"/>
    <sheet name="CARE calcs" sheetId="54" state="hidden" r:id="rId7"/>
    <sheet name="Summary" sheetId="55" state="hidden" r:id="rId8"/>
  </sheets>
  <externalReferences>
    <externalReference r:id="rId9"/>
  </externalReferences>
  <definedNames>
    <definedName name="Acc_CARE">Parameters!$F$21</definedName>
    <definedName name="Acc_NPPS">Parameters!$F$20</definedName>
    <definedName name="Acc_PPS">Parameters!$F$19</definedName>
    <definedName name="Age38Taper">Tapers!$M$15:$T$62</definedName>
    <definedName name="Age45Taper">Tapers!$B$15:$K$62</definedName>
    <definedName name="ChosenRA">'Inputs and outputs'!$I$25</definedName>
    <definedName name="Class_Select">Cover!$A$54:$A$57</definedName>
    <definedName name="Classification_Key">Cover!$A$66</definedName>
    <definedName name="CornerTaper">Tapers!$B$66:$AX$114</definedName>
    <definedName name="CurrentSal">'Inputs and outputs'!$I$23</definedName>
    <definedName name="CurrentScheme">'Inputs and outputs'!$I$16</definedName>
    <definedName name="DefDec">Parameters!$F$50</definedName>
    <definedName name="Descriptor_Key">Cover!$A$67</definedName>
    <definedName name="Descriptor_Select">Cover!$A$58:$A$65</definedName>
    <definedName name="DJS">'Inputs and outputs'!$I$18</definedName>
    <definedName name="DoB">'Inputs and outputs'!$I$14</definedName>
    <definedName name="DoY">Parameters!$E$14</definedName>
    <definedName name="ERF">Parameters!$F$27</definedName>
    <definedName name="ERFfactor">Parameters!$F$39</definedName>
    <definedName name="Factors">'[1]Factor Calculation'!$A$148:$W$207</definedName>
    <definedName name="LRF">Parameters!$F$33</definedName>
    <definedName name="LRFfactor">Parameters!$F$40</definedName>
    <definedName name="LS_NPPS">Parameters!$F$23</definedName>
    <definedName name="NewSchDate">Parameters!$E$12</definedName>
    <definedName name="NonUplifted">Parameters!$G$54</definedName>
    <definedName name="NPPSmax">Parameters!$F$17</definedName>
    <definedName name="NPPSstart">Parameters!$E$52</definedName>
    <definedName name="PPSmax">Parameters!$F$16</definedName>
    <definedName name="_xlnm.Print_Area" localSheetId="2">'Inputs and outputs'!$A$1:$N$183</definedName>
    <definedName name="_xlnm.Print_Titles" localSheetId="1">'Version control'!$A:$A</definedName>
    <definedName name="ProtectDate">Parameters!$E$10</definedName>
    <definedName name="Service20Taper">Tapers!$V$15:$AC$62</definedName>
    <definedName name="TaperSize">Tapers!$C$9</definedName>
    <definedName name="title">Cover!$A$2</definedName>
    <definedName name="TVinDays">'Inputs and outputs'!$I$21</definedName>
    <definedName name="TVinYears">'Inputs and outputs'!$I$20</definedName>
    <definedName name="Uplift55andover">Parameters!$H$60:$I$70</definedName>
    <definedName name="Upliftunder55">Parameters!$G$60:$I$70</definedName>
    <definedName name="ValidSchemes">Parameters!$E$7:$E$8</definedName>
  </definedNames>
  <calcPr calcId="125725"/>
</workbook>
</file>

<file path=xl/calcChain.xml><?xml version="1.0" encoding="utf-8"?>
<calcChain xmlns="http://schemas.openxmlformats.org/spreadsheetml/2006/main">
  <c r="D145" i="50"/>
  <c r="B54"/>
  <c r="F20" i="51"/>
  <c r="D153" i="50"/>
  <c r="D152"/>
  <c r="E13" i="52"/>
  <c r="F15" s="1"/>
  <c r="F18" s="1"/>
  <c r="B55" i="50"/>
  <c r="J52"/>
  <c r="D177" s="1"/>
  <c r="D150"/>
  <c r="D149"/>
  <c r="E177"/>
  <c r="E12" i="52"/>
  <c r="F16" s="1"/>
  <c r="F17" s="1"/>
  <c r="E6"/>
  <c r="E7" s="1"/>
  <c r="E27"/>
  <c r="F27" s="1"/>
  <c r="B156" i="50"/>
  <c r="E10" i="52"/>
  <c r="E9" i="55" s="1"/>
  <c r="F9" s="1"/>
  <c r="G9" s="1"/>
  <c r="E32" i="52"/>
  <c r="H32"/>
  <c r="F28"/>
  <c r="H28" s="1"/>
  <c r="G12" i="55" s="1"/>
  <c r="G54" i="51"/>
  <c r="E16" i="52"/>
  <c r="E17" s="1"/>
  <c r="B111" i="50"/>
  <c r="B112" s="1"/>
  <c r="D105"/>
  <c r="B113" s="1"/>
  <c r="C116"/>
  <c r="F39" i="51"/>
  <c r="I36"/>
  <c r="I35"/>
  <c r="I34"/>
  <c r="I33"/>
  <c r="I60"/>
  <c r="D132" i="50"/>
  <c r="C136" s="1"/>
  <c r="C117"/>
  <c r="D115"/>
  <c r="B115" s="1"/>
  <c r="C118"/>
  <c r="D124"/>
  <c r="B124"/>
  <c r="C124" s="1"/>
  <c r="C135"/>
  <c r="C137"/>
  <c r="B128"/>
  <c r="I27" i="51"/>
  <c r="I29"/>
  <c r="I31"/>
  <c r="I32"/>
  <c r="F32" s="1"/>
  <c r="I28"/>
  <c r="I30"/>
  <c r="F27"/>
  <c r="G13" i="55"/>
  <c r="F13"/>
  <c r="G8"/>
  <c r="F8"/>
  <c r="H14" i="54"/>
  <c r="F50" i="51"/>
  <c r="E8" i="55"/>
  <c r="E28" i="52"/>
  <c r="A4" i="55"/>
  <c r="A2"/>
  <c r="E6" i="54"/>
  <c r="F13"/>
  <c r="H13" s="1"/>
  <c r="E13"/>
  <c r="A4"/>
  <c r="A2"/>
  <c r="F23" i="51"/>
  <c r="A4" i="53"/>
  <c r="A2"/>
  <c r="F21" i="51"/>
  <c r="F19"/>
  <c r="A4" i="52"/>
  <c r="A2"/>
  <c r="A4" i="51"/>
  <c r="A2"/>
  <c r="A2" i="50"/>
  <c r="A2" i="4"/>
  <c r="A4"/>
  <c r="A4" i="1"/>
  <c r="H52" i="54"/>
  <c r="F26" i="55" s="1"/>
  <c r="H42" i="52"/>
  <c r="H40"/>
  <c r="H44"/>
  <c r="H45" i="54"/>
  <c r="F25" i="55" s="1"/>
  <c r="H42" i="54"/>
  <c r="H58" i="50" s="1"/>
  <c r="E54" i="54"/>
  <c r="F34" i="52" l="1"/>
  <c r="H34" s="1"/>
  <c r="D140" i="50" s="1"/>
  <c r="E176" s="1"/>
  <c r="E178" s="1"/>
  <c r="E25" i="55"/>
  <c r="F54" i="54"/>
  <c r="H54" s="1"/>
  <c r="F27" i="55" s="1"/>
  <c r="C133" i="50"/>
  <c r="L155" s="1"/>
  <c r="L54" s="1"/>
  <c r="H27" i="52"/>
  <c r="F12" i="55" s="1"/>
  <c r="C138" i="50"/>
  <c r="E15" i="52"/>
  <c r="E18" s="1"/>
  <c r="E20" s="1"/>
  <c r="E22" i="55"/>
  <c r="F22" s="1"/>
  <c r="G22" s="1"/>
  <c r="C134" i="50"/>
  <c r="E8" i="52"/>
  <c r="F25"/>
  <c r="D176" i="50" l="1"/>
  <c r="D178" s="1"/>
  <c r="F46" i="52"/>
  <c r="F50" s="1"/>
  <c r="F55"/>
  <c r="H55" s="1"/>
  <c r="F36"/>
  <c r="H36" s="1"/>
  <c r="B43" i="50"/>
  <c r="D130"/>
  <c r="B127" s="1"/>
  <c r="B130"/>
  <c r="L156"/>
  <c r="L55" s="1"/>
  <c r="L57"/>
  <c r="F56" i="52"/>
  <c r="H56" s="1"/>
  <c r="E66"/>
  <c r="E34"/>
  <c r="E10" i="55"/>
  <c r="F10" s="1"/>
  <c r="G10" s="1"/>
  <c r="E65" i="52"/>
  <c r="E25"/>
  <c r="E64" s="1"/>
  <c r="E85" s="1"/>
  <c r="J85" s="1"/>
  <c r="F12" i="54"/>
  <c r="H12" s="1"/>
  <c r="F26" i="52"/>
  <c r="H25"/>
  <c r="F54"/>
  <c r="H54" s="1"/>
  <c r="F64"/>
  <c r="F18" i="54" l="1"/>
  <c r="H18" s="1"/>
  <c r="F21" i="55" s="1"/>
  <c r="H50" i="52"/>
  <c r="F60"/>
  <c r="F75" s="1"/>
  <c r="H46"/>
  <c r="F20" i="54"/>
  <c r="F51" i="52"/>
  <c r="F61" s="1"/>
  <c r="E54"/>
  <c r="E26"/>
  <c r="E12" i="54"/>
  <c r="E93" i="52"/>
  <c r="J93" s="1"/>
  <c r="F66"/>
  <c r="E46"/>
  <c r="E20" i="54" s="1"/>
  <c r="E55" i="52"/>
  <c r="E36"/>
  <c r="E56"/>
  <c r="E89"/>
  <c r="J89" s="1"/>
  <c r="F65"/>
  <c r="F49"/>
  <c r="H26"/>
  <c r="E12" i="55" s="1"/>
  <c r="H64" i="52"/>
  <c r="E31" i="55" s="1"/>
  <c r="F85" i="52"/>
  <c r="E13" i="55"/>
  <c r="H52" i="50"/>
  <c r="D141" l="1"/>
  <c r="E11" i="55"/>
  <c r="F11" s="1"/>
  <c r="G11" s="1"/>
  <c r="H51" i="52"/>
  <c r="F31" i="54"/>
  <c r="F33" s="1"/>
  <c r="F34" s="1"/>
  <c r="H34" s="1"/>
  <c r="F24" i="55" s="1"/>
  <c r="F32" i="54"/>
  <c r="E49" i="52"/>
  <c r="E17" i="54" s="1"/>
  <c r="E26" s="1"/>
  <c r="H60" i="52"/>
  <c r="F14" i="55" s="1"/>
  <c r="F17" s="1"/>
  <c r="F19" i="54"/>
  <c r="F38" s="1"/>
  <c r="F49"/>
  <c r="F48"/>
  <c r="F50" s="1"/>
  <c r="H50" s="1"/>
  <c r="H20"/>
  <c r="H66" i="52"/>
  <c r="G31" i="55" s="1"/>
  <c r="F93" i="52"/>
  <c r="E51"/>
  <c r="E59"/>
  <c r="E71" s="1"/>
  <c r="J71" s="1"/>
  <c r="E48" i="54"/>
  <c r="E50" s="1"/>
  <c r="E49"/>
  <c r="E44" i="52"/>
  <c r="E40"/>
  <c r="E42"/>
  <c r="H65"/>
  <c r="F31" i="55" s="1"/>
  <c r="F89" i="52"/>
  <c r="H75"/>
  <c r="F15" i="55" s="1"/>
  <c r="F76" i="52"/>
  <c r="H76" s="1"/>
  <c r="F16" i="55" s="1"/>
  <c r="F79" i="52"/>
  <c r="H61"/>
  <c r="G14" i="55" s="1"/>
  <c r="E50" i="52"/>
  <c r="F17" i="54"/>
  <c r="F59" i="52"/>
  <c r="H49"/>
  <c r="J156" i="50"/>
  <c r="J55" s="1"/>
  <c r="J155"/>
  <c r="J54" s="1"/>
  <c r="J58"/>
  <c r="C177"/>
  <c r="C176" s="1"/>
  <c r="C178" s="1"/>
  <c r="F86" i="52"/>
  <c r="H86" s="1"/>
  <c r="E33" i="55" s="1"/>
  <c r="H85" i="52"/>
  <c r="E32" i="55" s="1"/>
  <c r="E141" i="50" l="1"/>
  <c r="D146" s="1"/>
  <c r="D142"/>
  <c r="E142" s="1"/>
  <c r="F35" i="55"/>
  <c r="E25" i="54"/>
  <c r="E27" s="1"/>
  <c r="E28" s="1"/>
  <c r="E42" s="1"/>
  <c r="H33"/>
  <c r="F23" i="55" s="1"/>
  <c r="F37" i="54"/>
  <c r="F39" s="1"/>
  <c r="H39" s="1"/>
  <c r="G23" i="55" s="1"/>
  <c r="G24" s="1"/>
  <c r="H19" i="54"/>
  <c r="G21" i="55" s="1"/>
  <c r="H79" i="52"/>
  <c r="G15" i="55" s="1"/>
  <c r="G17" s="1"/>
  <c r="F80" i="52"/>
  <c r="H80" s="1"/>
  <c r="G16" i="55" s="1"/>
  <c r="E19" i="54"/>
  <c r="E61" i="52"/>
  <c r="E79" s="1"/>
  <c r="J79" s="1"/>
  <c r="E60"/>
  <c r="E75" s="1"/>
  <c r="J75" s="1"/>
  <c r="E18" i="54"/>
  <c r="F94" i="52"/>
  <c r="H94" s="1"/>
  <c r="G33" i="55" s="1"/>
  <c r="H93" i="52"/>
  <c r="G32" i="55" s="1"/>
  <c r="G35"/>
  <c r="H89" i="52"/>
  <c r="F32" i="55" s="1"/>
  <c r="F90" i="52"/>
  <c r="H90" s="1"/>
  <c r="F33" i="55" s="1"/>
  <c r="J57" i="50"/>
  <c r="H59" i="52"/>
  <c r="E14" i="55" s="1"/>
  <c r="F71" i="52"/>
  <c r="F26" i="54"/>
  <c r="H17"/>
  <c r="E21" i="55" s="1"/>
  <c r="F25" i="54"/>
  <c r="F27" l="1"/>
  <c r="F28" s="1"/>
  <c r="H28" s="1"/>
  <c r="E37"/>
  <c r="E39" s="1"/>
  <c r="E38"/>
  <c r="E32"/>
  <c r="E31"/>
  <c r="E35" i="55"/>
  <c r="H71" i="52"/>
  <c r="F72"/>
  <c r="H72" s="1"/>
  <c r="H27" i="54" l="1"/>
  <c r="E23" i="55" s="1"/>
  <c r="E33" i="54"/>
  <c r="H155" i="50"/>
  <c r="H54" s="1"/>
  <c r="E15" i="55"/>
  <c r="E17" s="1"/>
  <c r="H156" i="50"/>
  <c r="H55" s="1"/>
  <c r="E16" i="55"/>
  <c r="E24"/>
  <c r="H57" i="50"/>
  <c r="E34" i="54" l="1"/>
  <c r="E45" s="1"/>
  <c r="E52"/>
</calcChain>
</file>

<file path=xl/comments1.xml><?xml version="1.0" encoding="utf-8"?>
<comments xmlns="http://schemas.openxmlformats.org/spreadsheetml/2006/main">
  <authors>
    <author>Michael Crabtree</author>
    <author>mara</author>
    <author>Brian Allan</author>
  </authors>
  <commentList>
    <comment ref="K16" authorId="0">
      <text>
        <r>
          <rPr>
            <sz val="9"/>
            <color indexed="81"/>
            <rFont val="Tahoma"/>
            <family val="2"/>
          </rPr>
          <t xml:space="preserve">Choose the scheme you were a member of immediately prior to 1 April 2015, not the scheme you originally joined if you have switched schemes. This can either be the Police Pension Scheme 1987 ("PPS") or the New Police Pension Scheme 2006 ("NPPS").
</t>
        </r>
      </text>
    </comment>
    <comment ref="K18" authorId="0">
      <text>
        <r>
          <rPr>
            <sz val="9"/>
            <color indexed="81"/>
            <rFont val="Tahoma"/>
            <family val="2"/>
          </rPr>
          <t>We use this to calculate your service to retirement and assume you always work full-time and have had no career breaks.</t>
        </r>
      </text>
    </comment>
    <comment ref="K20" authorId="0">
      <text>
        <r>
          <rPr>
            <sz val="9"/>
            <color indexed="81"/>
            <rFont val="Tahoma"/>
            <family val="2"/>
          </rPr>
          <t xml:space="preserve">If part-time, please do not include transferred-in service granted in the PPS which was then transferred to the NPPS after 6 April 2006.
</t>
        </r>
      </text>
    </comment>
    <comment ref="K21" authorId="0">
      <text>
        <r>
          <rPr>
            <sz val="9"/>
            <color indexed="81"/>
            <rFont val="Tahoma"/>
            <family val="2"/>
          </rPr>
          <t>The calculator assumes that all transferred in service entered in these cells was awarded before April 2015.  Therefore, for PPS members this service is being considered when determining your eligibility for transitional protection. If the transferred in service was awarded after April 2015 the results produced by the calculator may be incorrect.
If you have ever worked part-time, please do not enter any transferred in service here.</t>
        </r>
      </text>
    </comment>
    <comment ref="K25" authorId="0">
      <text>
        <r>
          <rPr>
            <sz val="9"/>
            <color indexed="81"/>
            <rFont val="Tahoma"/>
            <family val="2"/>
          </rPr>
          <t xml:space="preserve">Use this to input any age (in whole years) at which you wish to see your estimated retirement benefits.
</t>
        </r>
      </text>
    </comment>
    <comment ref="K27" authorId="0">
      <text>
        <r>
          <rPr>
            <sz val="9"/>
            <color indexed="81"/>
            <rFont val="Tahoma"/>
            <family val="2"/>
          </rPr>
          <t>Please select "Part-time" if you currently work part time or if you have worked part time at some point during your career.</t>
        </r>
      </text>
    </comment>
    <comment ref="K33" authorId="0">
      <text>
        <r>
          <rPr>
            <sz val="9"/>
            <color indexed="81"/>
            <rFont val="Tahoma"/>
            <family val="2"/>
          </rPr>
          <t>Please include here all reckonable service (including transferred in service) from the final salary police pension scheme you were in immediately prior to 1 April 2015.</t>
        </r>
      </text>
    </comment>
    <comment ref="K36" authorId="0">
      <text>
        <r>
          <rPr>
            <sz val="9"/>
            <color indexed="81"/>
            <rFont val="Tahoma"/>
            <family val="2"/>
          </rPr>
          <t xml:space="preserve">Please input the hours you currently work per week as a percentage of full-time hours. If you currently work full-time, please input 100%.
</t>
        </r>
      </text>
    </comment>
    <comment ref="D132" authorId="1">
      <text>
        <r>
          <rPr>
            <b/>
            <sz val="9"/>
            <color indexed="81"/>
            <rFont val="Tahoma"/>
            <family val="2"/>
          </rPr>
          <t>mara:</t>
        </r>
        <r>
          <rPr>
            <sz val="9"/>
            <color indexed="81"/>
            <rFont val="Tahoma"/>
            <family val="2"/>
          </rPr>
          <t xml:space="preserve">
this date includes transfer in service.</t>
        </r>
      </text>
    </comment>
    <comment ref="B166" authorId="2">
      <text>
        <r>
          <rPr>
            <b/>
            <sz val="9"/>
            <color indexed="81"/>
            <rFont val="Tahoma"/>
            <family val="2"/>
          </rPr>
          <t>Brian Allan:</t>
        </r>
        <r>
          <rPr>
            <sz val="9"/>
            <color indexed="81"/>
            <rFont val="Tahoma"/>
            <family val="2"/>
          </rPr>
          <t xml:space="preserve">
updated max to 65 to reflect Peter Spreadbury email 14Aug2012</t>
        </r>
      </text>
    </comment>
    <comment ref="B167" authorId="2">
      <text>
        <r>
          <rPr>
            <b/>
            <sz val="9"/>
            <color indexed="81"/>
            <rFont val="Tahoma"/>
            <family val="2"/>
          </rPr>
          <t>Brian Allan:</t>
        </r>
        <r>
          <rPr>
            <sz val="9"/>
            <color indexed="81"/>
            <rFont val="Tahoma"/>
            <family val="2"/>
          </rPr>
          <t xml:space="preserve">
updated max to 65 to reflect Peter Spreadbury email 14Aug2012</t>
        </r>
      </text>
    </comment>
  </commentList>
</comments>
</file>

<file path=xl/comments2.xml><?xml version="1.0" encoding="utf-8"?>
<comments xmlns="http://schemas.openxmlformats.org/spreadsheetml/2006/main">
  <authors>
    <author>Michael Crabtree</author>
  </authors>
  <commentList>
    <comment ref="F23" authorId="0">
      <text>
        <r>
          <rPr>
            <b/>
            <sz val="9"/>
            <color indexed="81"/>
            <rFont val="Tahoma"/>
            <family val="2"/>
          </rPr>
          <t>Michael Crabtree:</t>
        </r>
        <r>
          <rPr>
            <sz val="9"/>
            <color indexed="81"/>
            <rFont val="Tahoma"/>
            <family val="2"/>
          </rPr>
          <t xml:space="preserve">
Not used in calcs - just given for info and checking purposes</t>
        </r>
      </text>
    </comment>
  </commentList>
</comments>
</file>

<file path=xl/comments3.xml><?xml version="1.0" encoding="utf-8"?>
<comments xmlns="http://schemas.openxmlformats.org/spreadsheetml/2006/main">
  <authors>
    <author>Michael Crabtree</author>
  </authors>
  <commentList>
    <comment ref="E12" authorId="0">
      <text>
        <r>
          <rPr>
            <b/>
            <sz val="9"/>
            <color indexed="81"/>
            <rFont val="Tahoma"/>
            <family val="2"/>
          </rPr>
          <t>Michael Crabtree:</t>
        </r>
        <r>
          <rPr>
            <sz val="9"/>
            <color indexed="81"/>
            <rFont val="Tahoma"/>
            <family val="2"/>
          </rPr>
          <t xml:space="preserve">
I put transfer in service from other schemes here but this could just as easily go in E18</t>
        </r>
      </text>
    </comment>
  </commentList>
</comments>
</file>

<file path=xl/sharedStrings.xml><?xml version="1.0" encoding="utf-8"?>
<sst xmlns="http://schemas.openxmlformats.org/spreadsheetml/2006/main" count="751" uniqueCount="544">
  <si>
    <t>Version Control</t>
  </si>
  <si>
    <t>Version number</t>
  </si>
  <si>
    <t>Date</t>
  </si>
  <si>
    <t>Comments</t>
  </si>
  <si>
    <t>Sheet</t>
  </si>
  <si>
    <t>Description</t>
  </si>
  <si>
    <t>Checked by</t>
  </si>
  <si>
    <t>Internal or external documents based on this version</t>
  </si>
  <si>
    <t>Paper file</t>
  </si>
  <si>
    <t>eBis code</t>
  </si>
  <si>
    <t>Author or Editor</t>
  </si>
  <si>
    <t>Specification</t>
  </si>
  <si>
    <t>User instructions</t>
  </si>
  <si>
    <t>Explanation</t>
  </si>
  <si>
    <t>1_1</t>
  </si>
  <si>
    <t>External links checked?</t>
  </si>
  <si>
    <t>External links: Links from other workbooks to this workbook</t>
  </si>
  <si>
    <t>&gt; Enter hyperlinks to workbooks here</t>
  </si>
  <si>
    <t>&gt; If necessary, enter instructions on how other users should use or update this workbook here.  Include warnings in particular if the spreadsheet requires Goal Seek or Macros to be rerun if the any of the inputs are changed.</t>
  </si>
  <si>
    <t>Government Actuary's Department</t>
  </si>
  <si>
    <t>Cover</t>
  </si>
  <si>
    <t>Legend</t>
  </si>
  <si>
    <t>Black text</t>
  </si>
  <si>
    <t>Blue text</t>
  </si>
  <si>
    <t>Pink text</t>
  </si>
  <si>
    <t>Grey text</t>
  </si>
  <si>
    <t>Green text</t>
  </si>
  <si>
    <t>Red text</t>
  </si>
  <si>
    <t>Orange background</t>
  </si>
  <si>
    <t>Turquoise background</t>
  </si>
  <si>
    <t>Input data</t>
  </si>
  <si>
    <t>Links from another cell within this workbook</t>
  </si>
  <si>
    <t>Calculations</t>
  </si>
  <si>
    <t>Checks</t>
  </si>
  <si>
    <t>Linked upwards to other workbooks</t>
  </si>
  <si>
    <t>Quoted in external advice</t>
  </si>
  <si>
    <t>File pathname</t>
  </si>
  <si>
    <t>Assumptions</t>
  </si>
  <si>
    <t>Links from another (external) workbook</t>
  </si>
  <si>
    <t>&gt; Enter a brief description of what each sheet actually does here</t>
  </si>
  <si>
    <t>Material assumptions</t>
  </si>
  <si>
    <t>List of workbooks which link into this workbook (nb workbooks which this workbook links to can be viewed by selecting Data&gt;Edit Links):</t>
  </si>
  <si>
    <t xml:space="preserve">Security classification </t>
  </si>
  <si>
    <t>Descriptor</t>
  </si>
  <si>
    <t>UNCLASSIFIED</t>
  </si>
  <si>
    <t>PROTECT</t>
  </si>
  <si>
    <t>RESTRICTED</t>
  </si>
  <si>
    <t>CONFIDENTIAL</t>
  </si>
  <si>
    <t>&lt;No Descriptor&gt;</t>
  </si>
  <si>
    <t>COMMERCIAL in CONFIDENCE</t>
  </si>
  <si>
    <t>CONTRACTS</t>
  </si>
  <si>
    <t>MANAGEMENT</t>
  </si>
  <si>
    <t>PERSONAL</t>
  </si>
  <si>
    <t>POLICY</t>
  </si>
  <si>
    <t>SCHEME MANAGEMENT</t>
  </si>
  <si>
    <t>STAFF</t>
  </si>
  <si>
    <t>&gt; Enter a brief description of any material implicit assumptions used within the workbook (explicit assumptions can be identified by their pink colouring as below)</t>
  </si>
  <si>
    <t>K:\a2clients\Police Pensions\0140-00972 Home Office Police\Cost Ceiling\Pension estimator\[Pension calculator v0.01.xlsm]Version control</t>
  </si>
  <si>
    <t>Michael Crabtree</t>
  </si>
  <si>
    <t>Current schemes</t>
  </si>
  <si>
    <t>PPS</t>
  </si>
  <si>
    <t>NPPS</t>
  </si>
  <si>
    <t>Accrual rates</t>
  </si>
  <si>
    <t>CARE</t>
  </si>
  <si>
    <t>Lump sum (NPPS only)</t>
  </si>
  <si>
    <t>Early retirement factor (CARE only)</t>
  </si>
  <si>
    <t>Date of Birth</t>
  </si>
  <si>
    <t>Age at 1 Apr 2012</t>
  </si>
  <si>
    <t>Days of protection</t>
  </si>
  <si>
    <t>Age at end of protection</t>
  </si>
  <si>
    <t>Date of end of protection</t>
  </si>
  <si>
    <t>From</t>
  </si>
  <si>
    <t>To</t>
  </si>
  <si>
    <t>year</t>
  </si>
  <si>
    <t>month</t>
  </si>
  <si>
    <t>Age 45 taper</t>
  </si>
  <si>
    <t>years</t>
  </si>
  <si>
    <t>Service start date</t>
  </si>
  <si>
    <t>Yrs at 1 Apr 2012</t>
  </si>
  <si>
    <t>Yrs at end of protection</t>
  </si>
  <si>
    <t>Age 38 taper</t>
  </si>
  <si>
    <t>Yrs/Age at 1 Apr 2012</t>
  </si>
  <si>
    <t xml:space="preserve"> 37&amp;11 </t>
  </si>
  <si>
    <t xml:space="preserve"> 37&amp;10 </t>
  </si>
  <si>
    <t xml:space="preserve"> 37&amp;9 </t>
  </si>
  <si>
    <t xml:space="preserve"> 37&amp;8 </t>
  </si>
  <si>
    <t xml:space="preserve"> 37&amp;7 </t>
  </si>
  <si>
    <t xml:space="preserve"> 37&amp;6 </t>
  </si>
  <si>
    <t xml:space="preserve"> 37&amp;5 </t>
  </si>
  <si>
    <t xml:space="preserve"> 37&amp;4 </t>
  </si>
  <si>
    <t xml:space="preserve"> 37&amp;3 </t>
  </si>
  <si>
    <t xml:space="preserve"> 37&amp;2 </t>
  </si>
  <si>
    <t xml:space="preserve"> 37&amp;1 </t>
  </si>
  <si>
    <t xml:space="preserve"> 37&amp;0 </t>
  </si>
  <si>
    <t xml:space="preserve"> 36&amp;11 </t>
  </si>
  <si>
    <t xml:space="preserve"> 36&amp;10 </t>
  </si>
  <si>
    <t xml:space="preserve"> 36&amp;9 </t>
  </si>
  <si>
    <t xml:space="preserve"> 36&amp;8 </t>
  </si>
  <si>
    <t xml:space="preserve"> 36&amp;7 </t>
  </si>
  <si>
    <t xml:space="preserve"> 36&amp;6 </t>
  </si>
  <si>
    <t xml:space="preserve"> 36&amp;5 </t>
  </si>
  <si>
    <t xml:space="preserve"> 36&amp;4 </t>
  </si>
  <si>
    <t xml:space="preserve"> 36&amp;3 </t>
  </si>
  <si>
    <t xml:space="preserve"> 36&amp;2 </t>
  </si>
  <si>
    <t xml:space="preserve"> 36&amp;1 </t>
  </si>
  <si>
    <t xml:space="preserve"> 36&amp;0 </t>
  </si>
  <si>
    <t xml:space="preserve"> 35&amp;11 </t>
  </si>
  <si>
    <t xml:space="preserve"> 35&amp;10 </t>
  </si>
  <si>
    <t xml:space="preserve"> 35&amp;9 </t>
  </si>
  <si>
    <t xml:space="preserve"> 35&amp;8 </t>
  </si>
  <si>
    <t xml:space="preserve"> 35&amp;7 </t>
  </si>
  <si>
    <t xml:space="preserve"> 35&amp;6 </t>
  </si>
  <si>
    <t xml:space="preserve"> 35&amp;5 </t>
  </si>
  <si>
    <t xml:space="preserve"> 35&amp;4 </t>
  </si>
  <si>
    <t xml:space="preserve"> 35&amp;3 </t>
  </si>
  <si>
    <t xml:space="preserve"> 35&amp;2 </t>
  </si>
  <si>
    <t xml:space="preserve"> 35&amp;1 </t>
  </si>
  <si>
    <t xml:space="preserve"> 35&amp;0 </t>
  </si>
  <si>
    <t xml:space="preserve"> 34&amp;11 </t>
  </si>
  <si>
    <t xml:space="preserve"> 34&amp;10 </t>
  </si>
  <si>
    <t xml:space="preserve"> 34&amp;9 </t>
  </si>
  <si>
    <t xml:space="preserve"> 34&amp;8 </t>
  </si>
  <si>
    <t xml:space="preserve"> 34&amp;7 </t>
  </si>
  <si>
    <t xml:space="preserve"> 34&amp;6 </t>
  </si>
  <si>
    <t xml:space="preserve"> 34&amp;5 </t>
  </si>
  <si>
    <t xml:space="preserve"> 34&amp;4 </t>
  </si>
  <si>
    <t xml:space="preserve"> 34&amp;3 </t>
  </si>
  <si>
    <t xml:space="preserve"> 34&amp;2 </t>
  </si>
  <si>
    <t xml:space="preserve"> 34&amp;1 </t>
  </si>
  <si>
    <t xml:space="preserve"> 34&amp;0 </t>
  </si>
  <si>
    <t>19&amp;11</t>
  </si>
  <si>
    <t>19&amp;10</t>
  </si>
  <si>
    <t>19&amp;9</t>
  </si>
  <si>
    <t>19&amp;8</t>
  </si>
  <si>
    <t>19&amp;7</t>
  </si>
  <si>
    <t>19&amp;6</t>
  </si>
  <si>
    <t>19&amp;5</t>
  </si>
  <si>
    <t>19&amp;4</t>
  </si>
  <si>
    <t>19&amp;3</t>
  </si>
  <si>
    <t>19&amp;2</t>
  </si>
  <si>
    <t>19&amp;1</t>
  </si>
  <si>
    <t>19&amp;0</t>
  </si>
  <si>
    <t>18&amp;11</t>
  </si>
  <si>
    <t>18&amp;10</t>
  </si>
  <si>
    <t>18&amp;9</t>
  </si>
  <si>
    <t>18&amp;8</t>
  </si>
  <si>
    <t>18&amp;7</t>
  </si>
  <si>
    <t>18&amp;6</t>
  </si>
  <si>
    <t>18&amp;5</t>
  </si>
  <si>
    <t>18&amp;4</t>
  </si>
  <si>
    <t>18&amp;3</t>
  </si>
  <si>
    <t>18&amp;2</t>
  </si>
  <si>
    <t>18&amp;1</t>
  </si>
  <si>
    <t>18&amp;0</t>
  </si>
  <si>
    <t>17&amp;11</t>
  </si>
  <si>
    <t>17&amp;10</t>
  </si>
  <si>
    <t>17&amp;9</t>
  </si>
  <si>
    <t>17&amp;8</t>
  </si>
  <si>
    <t>17&amp;7</t>
  </si>
  <si>
    <t>17&amp;6</t>
  </si>
  <si>
    <t>17&amp;5</t>
  </si>
  <si>
    <t>17&amp;4</t>
  </si>
  <si>
    <t>17&amp;3</t>
  </si>
  <si>
    <t>17&amp;2</t>
  </si>
  <si>
    <t>17&amp;1</t>
  </si>
  <si>
    <t>17&amp;0</t>
  </si>
  <si>
    <t>16&amp;11</t>
  </si>
  <si>
    <t>16&amp;10</t>
  </si>
  <si>
    <t>16&amp;9</t>
  </si>
  <si>
    <t>16&amp;8</t>
  </si>
  <si>
    <t>16&amp;7</t>
  </si>
  <si>
    <t>16&amp;6</t>
  </si>
  <si>
    <t>16&amp;5</t>
  </si>
  <si>
    <t>16&amp;4</t>
  </si>
  <si>
    <t>16&amp;3</t>
  </si>
  <si>
    <t>16&amp;2</t>
  </si>
  <si>
    <t>16&amp;1</t>
  </si>
  <si>
    <t>16&amp;0</t>
  </si>
  <si>
    <t>Corner taper</t>
  </si>
  <si>
    <t>Source:</t>
  </si>
  <si>
    <t>\\Gad-a2\a2data\a2clients\Police Pensions\0140-00972 Home Office Police\Cost Ceiling\Tapering calcs - 4 years\Tapering to 4 years from 38 (as 45 taper) - sent to HO 24.7.12.pdf</t>
  </si>
  <si>
    <t>(Age 45 taper not shown but days of protection and protection end date exactly the same)</t>
  </si>
  <si>
    <t>Days in the year</t>
  </si>
  <si>
    <t>days</t>
  </si>
  <si>
    <t>CARE scheme start date</t>
  </si>
  <si>
    <t>months</t>
  </si>
  <si>
    <t>Protection</t>
  </si>
  <si>
    <t>Taper type</t>
  </si>
  <si>
    <t>Pension</t>
  </si>
  <si>
    <t>Lump sum</t>
  </si>
  <si>
    <t>Expected retirement age</t>
  </si>
  <si>
    <t>SPA</t>
  </si>
  <si>
    <t>State pension age (CARE only)</t>
  </si>
  <si>
    <t>DoB</t>
  </si>
  <si>
    <t>Protection date</t>
  </si>
  <si>
    <t>Inputs and Outputs</t>
  </si>
  <si>
    <t>Parameters</t>
  </si>
  <si>
    <t>Tapers</t>
  </si>
  <si>
    <t>PPS and NPPS calcs</t>
  </si>
  <si>
    <t>CARE calcs</t>
  </si>
  <si>
    <t>Taper size</t>
  </si>
  <si>
    <t>(i.e. length of age range for age taper AND service range for service taper)</t>
  </si>
  <si>
    <t>Expected retirement date</t>
  </si>
  <si>
    <t>Protection end date</t>
  </si>
  <si>
    <t>Service 20 taper</t>
  </si>
  <si>
    <t>SERVICE PERIOD CALCS</t>
  </si>
  <si>
    <t>EXPECTED RETIREMENT CALCS</t>
  </si>
  <si>
    <t>PRE-2015 BENEFIT CALCS</t>
  </si>
  <si>
    <t>expected age</t>
  </si>
  <si>
    <t>chosen age</t>
  </si>
  <si>
    <t>expected retirement</t>
  </si>
  <si>
    <t>chosen retirement</t>
  </si>
  <si>
    <t>POST-2015 BENEFIT CALCS</t>
  </si>
  <si>
    <t>n</t>
  </si>
  <si>
    <t>m</t>
  </si>
  <si>
    <t>Current Scheme</t>
  </si>
  <si>
    <t>Current scheme</t>
  </si>
  <si>
    <t>Diagnostic summary sheet</t>
  </si>
  <si>
    <t>Total post-2015 service at:</t>
  </si>
  <si>
    <t>Retirement at:</t>
  </si>
  <si>
    <t>Chosen retirement date</t>
  </si>
  <si>
    <t>age 60</t>
  </si>
  <si>
    <t>Retiring at age 60</t>
  </si>
  <si>
    <t>Total service until protection date</t>
  </si>
  <si>
    <t>Salary</t>
  </si>
  <si>
    <t>A</t>
  </si>
  <si>
    <t>B</t>
  </si>
  <si>
    <t>C</t>
  </si>
  <si>
    <t>D</t>
  </si>
  <si>
    <t>At normal pension age</t>
  </si>
  <si>
    <t>K:\a2clients\Police Pensions\0140-00972 Home Office Police\Cost Ceiling\Pension estimator\[Pension calculator v0.02.xlsm]Version control</t>
  </si>
  <si>
    <t>E</t>
  </si>
  <si>
    <t>F</t>
  </si>
  <si>
    <t>Age at protection date</t>
  </si>
  <si>
    <t>A+D</t>
  </si>
  <si>
    <t>B+E</t>
  </si>
  <si>
    <t>C+F</t>
  </si>
  <si>
    <t>FOR EXPECTED RETIREMENT, DEFERRED UNTIL SPA</t>
  </si>
  <si>
    <t>FOR CHOSEN RETIREMENT, DEFERRED UNTIL SPA</t>
  </si>
  <si>
    <t>Results used</t>
  </si>
  <si>
    <t>Your projected pension at retirement in the new scheme</t>
  </si>
  <si>
    <t>G</t>
  </si>
  <si>
    <t>H</t>
  </si>
  <si>
    <t>I</t>
  </si>
  <si>
    <t>K:\a2clients\Police Pensions\0140-00972 Home Office Police\Cost Ceiling\Pension estimator\[Pension calculator v0.03.xlsm]Version control</t>
  </si>
  <si>
    <t>Unreduced pension</t>
  </si>
  <si>
    <t>Reduced pension</t>
  </si>
  <si>
    <t>Service at protection date</t>
  </si>
  <si>
    <t>This aims to give an estimate of a police officer's pension at different retirement ages</t>
  </si>
  <si>
    <t>AT SPA (FOR INFORMATION ONLY)</t>
  </si>
  <si>
    <t>AVAILABLE AT EXPECTED RETIREMENT</t>
  </si>
  <si>
    <t>AVAILABLE AT CHOSEN RETIREMENT</t>
  </si>
  <si>
    <t>PRE-2015 ASSUMPTIONS, CALCS USED AND RESULTS</t>
  </si>
  <si>
    <t>POST-2015 ASSUMPTIONS, CALCS USED AND RESULTS</t>
  </si>
  <si>
    <t>IF NO REFORM HAD TAKEN PLACE</t>
  </si>
  <si>
    <t>Brian Allan</t>
  </si>
  <si>
    <t>Comments on input output and first stage of PPS/NPPS calcs in my email of 16 Aug 2012 15:30</t>
  </si>
  <si>
    <t>Comments on whole calculator:
pension at retirement continuing in current scheme missing
CARE ERFs incorrect and formula I supplied for CARE does not work for deferred benefits at SPA.
Some tidying of the sheet</t>
  </si>
  <si>
    <t>Pension at retirement ignoring reform missing from output sheet
CARE  formula I supplied for CARE needs a correction which then allows simplification
More results needed on Summary sheet.</t>
  </si>
  <si>
    <t>Yes: Link in Parameters sheet correct</t>
  </si>
  <si>
    <t>K:\a2clients\Police Pensions\0140-00972 Home Office Police\Cost Ceiling\Pension estimator\[Pension calculator v0.04.xlsm]Version control</t>
  </si>
  <si>
    <t>Expected retirement</t>
  </si>
  <si>
    <t>Chosen retirement</t>
  </si>
  <si>
    <t>Age 60 retirement</t>
  </si>
  <si>
    <t>Service</t>
  </si>
  <si>
    <t>Date of retirement</t>
  </si>
  <si>
    <t>Age at retirement</t>
  </si>
  <si>
    <t>Accrual rate</t>
  </si>
  <si>
    <t>FOR MEMBERS RETIRING ON OR AFTER PROTECTION ENDS</t>
  </si>
  <si>
    <t>FOR MEMBERS RETIRING BEFORE PROTECTION ENDS OR ARE FULLY PROTECTED</t>
  </si>
  <si>
    <t>FOR MEMBERS RETIRING WITHOUT ANY SCHEME REFORM</t>
  </si>
  <si>
    <t>PRE-2015 SCHEMES SERVICE</t>
  </si>
  <si>
    <t>WITHOUT ANY SCHEME REFORM</t>
  </si>
  <si>
    <t>Chosen retirement (SERVICE H)</t>
  </si>
  <si>
    <t>Age 60 retirement (SERVICE I)</t>
  </si>
  <si>
    <t>Expected retirement (SERVICE G)</t>
  </si>
  <si>
    <t>Expected retirement (SERVICE A+D)</t>
  </si>
  <si>
    <t>Chosen retirement (SERVICE B+E)</t>
  </si>
  <si>
    <t>Age 60 retirement (SERVICE C+F)</t>
  </si>
  <si>
    <t>Produced inputs / outputs sheet that will be visible to clients and set up calcs for tapering</t>
  </si>
  <si>
    <t>Created subsections for calculating service period and benefits in current and new schemes, noting need to separate them for those retiring before and after protection date, and made a start on producing summary sheet</t>
  </si>
  <si>
    <t>Produced further calcs to look at results if there was no reform and added deferred benefit calcs available at SPA for PPS members who retire before age 55</t>
  </si>
  <si>
    <t>Added results looking at benefits under no reform in outputs, made a correction to new scheme pension formula and put more information in the summary sheet</t>
  </si>
  <si>
    <t>Summary sheet has:
incorrect reference for expected retirement date of retirement and age at retirement
needs service to retirement for NO REFORM
Amended some labelling in PPS and NPPS Calcs</t>
  </si>
  <si>
    <t>K:\a2clients\Police Pensions\0140-00972 Home Office Police\Cost Ceiling\Pension estimator\[Pension calculator v0.05.xlsm]Version control</t>
  </si>
  <si>
    <t>CHECK ON NO REFORM SERVICE</t>
  </si>
  <si>
    <t>Made further additions and checks to summary sheet in regards to the no reform results and amended cell references</t>
  </si>
  <si>
    <t>Checked and agreed</t>
  </si>
  <si>
    <t>K:\a2clients\Police Pensions\0140-00972 Home Office Police\Cost Ceiling\Pension estimator\[Pension calculator v0.06.xlsm]Version control</t>
  </si>
  <si>
    <t>Age</t>
  </si>
  <si>
    <t>\\Gad-a2\a2data\a2clients\Police Pensions\0140-00972 Home Office Police\Actuarial Factors\2011\transfers and divorce\PPS Non-IH ERFs v2.xlsm</t>
  </si>
  <si>
    <t>Late retirement factor (CARE only)</t>
  </si>
  <si>
    <t>Age related ERF / LRF from pension sharing factors</t>
  </si>
  <si>
    <t>AVAILABLE AT AGE 60 RETIREMENT</t>
  </si>
  <si>
    <t>Amended calcs for PPS pensions (to take account of double accrual and limit maximum), updated ERFs to be inputs instead of links and added LRFs for retirement beyond 60</t>
  </si>
  <si>
    <t>Brian Allan 
Sam Watts</t>
  </si>
  <si>
    <t>Max service not applied correctly in benefit calculations or summary accrual calc.
ERFs+LRFs not calculated geometrically (required as compounding) and LRFs not applied correctly. The ERF LRF should be rounded to a single common factor.</t>
  </si>
  <si>
    <t>\\Gad-a2\a2data\a2clients\Police Pensions\0140-00972 Home Office Police\Cost Ceiling\Pension estimator\Pension calculator v0.07.xlsm</t>
  </si>
  <si>
    <t>Mara</t>
  </si>
  <si>
    <t>Reasonableness of inputs - need validation entries to prevent silly entries</t>
  </si>
  <si>
    <t>DOB</t>
  </si>
  <si>
    <t>not allowed after 2015 minus 18</t>
  </si>
  <si>
    <t>DJS</t>
  </si>
  <si>
    <t>not allowed before age 18</t>
  </si>
  <si>
    <t>not allowed after 2015</t>
  </si>
  <si>
    <t>Current pen sal</t>
  </si>
  <si>
    <t>Min 23000, max 140000</t>
  </si>
  <si>
    <t>Ret age</t>
  </si>
  <si>
    <t>NPPS min 55, max 65</t>
  </si>
  <si>
    <t>PPS min when reach 30 years' PPS service, or 50-55 if get to 25 years total service then, o/w 55.  Max 65</t>
  </si>
  <si>
    <t>sensible versus the PPS closure date? i.e. can't be a post 6/4/2006 joiner in PPS</t>
  </si>
  <si>
    <t>Reckonable service granted for TVIN</t>
  </si>
  <si>
    <t>Check versus age at joining scheme and time prior to this but after age 16</t>
  </si>
  <si>
    <t>min</t>
  </si>
  <si>
    <t>max</t>
  </si>
  <si>
    <t>Retirement age</t>
  </si>
  <si>
    <t>reach 55 years</t>
  </si>
  <si>
    <t>reach 30 years' PPS service</t>
  </si>
  <si>
    <t>reach 25 years' PPS service</t>
  </si>
  <si>
    <t>reach 50 years</t>
  </si>
  <si>
    <t>Retirement date</t>
  </si>
  <si>
    <t xml:space="preserve"> min when reach 30 years' PPS service, or 50-55 if get to 25 years total service then, o/w 55.  Max 65</t>
  </si>
  <si>
    <t>Do not delete - calculator validation</t>
  </si>
  <si>
    <t>Age in</t>
  </si>
  <si>
    <t>Included validation, basically message boxes to warn when entries may look incorrect.</t>
  </si>
  <si>
    <t xml:space="preserve">• As asked the checks mostly sequence down the list of inputs, but I still want the tool to reject inputs for the case of someone joining the PPS after 6/4/2006. Can you experiment further with putting this into either or both of the DJS and choice of scheme inputs. At the moment the validation allows you to select PPS except when your DoB implies you would have been too young to join earlier than or at 6/4/2006.
• I like your date precise calculations, but I think C64 should have 25 not 22 in the formula
• Please include transfer in service in your calculations of min PPS retirement age.
</t>
  </si>
  <si>
    <t>Pension calculator v0.08.xlsm</t>
  </si>
  <si>
    <t xml:space="preserve">Mara </t>
  </si>
  <si>
    <t>Amended in accordance with Brian's comments.</t>
  </si>
  <si>
    <t>DJS adjusted for TVIN service</t>
  </si>
  <si>
    <t>Checked changes and made following change:
used the date function to adjust DJS for TV in service to determine range of possible retirement ages</t>
  </si>
  <si>
    <t>Deferred pension decreases (CARE only)</t>
  </si>
  <si>
    <t>If under age 55</t>
  </si>
  <si>
    <t>If aged 55 or above</t>
  </si>
  <si>
    <t>Age next birthday at notional commencement of pension contributions under 1987 Regulations</t>
  </si>
  <si>
    <t>Number of years' qualifying service completed immediately before the date on which the transfer election takes effect</t>
  </si>
  <si>
    <t>Periods with full spouse benefit</t>
  </si>
  <si>
    <t>25 and below</t>
  </si>
  <si>
    <t>35 and above</t>
  </si>
  <si>
    <t>20 or fewer</t>
  </si>
  <si>
    <t>Uplift in service applicable to members who were in PPS but then joined NPPS (assumed to be on DJS or shortly afterwards)</t>
  </si>
  <si>
    <t>Service uplift applicable?</t>
  </si>
  <si>
    <t>Uplift to apply</t>
  </si>
  <si>
    <t>Special case</t>
  </si>
  <si>
    <t>Maximum service (years)</t>
  </si>
  <si>
    <t>Changed ERF and LRF factors to be the same, amended accrual formula in summary to take account of maximum service and added an uplift applicable to NPPS members who joined before the NPPS scheme started</t>
  </si>
  <si>
    <t>Value to reference</t>
  </si>
  <si>
    <t>Checked.
Agree ERF/LRF, summary, PPS max service changes
PPS-&gt;NPPS transfer uplift calcs need to reflect transfer assumed on 6/4/2006, cap on service lookup, correct service lookup column</t>
  </si>
  <si>
    <t>i.e. applicable to NPPS members who have a DJS of earlier than the NPPS start date</t>
  </si>
  <si>
    <t>NPPS start date</t>
  </si>
  <si>
    <t>Service at NPPS start date</t>
  </si>
  <si>
    <t>Service between NPPS start date and protection date</t>
  </si>
  <si>
    <t>K:\a2clients\Police Pensions\0140-00972 Home Office Police\Cost Ceiling\Pension estimator\[Pension calculator v0.10.xlsm]Version control</t>
  </si>
  <si>
    <t>K:\a2clients\Police Pensions\0140-00972 Home Office Police\Cost Ceiling\Pension estimator\[Pension calculator v0.09.xlsm]Version control</t>
  </si>
  <si>
    <t>Age category</t>
  </si>
  <si>
    <t>55 and over</t>
  </si>
  <si>
    <t>Under 55</t>
  </si>
  <si>
    <t>Amended uplift formula to take account of NPPS start date for service period, removed circular reference and added a new calc for PPS members choosing to retire before age 55 who want new scheme benefits at 55</t>
  </si>
  <si>
    <t>K:\a2clients\Police Pensions\0140-00972 Home Office Police\Cost Ceiling\Pension estimator\[Pension calculator v0.11.xlsm]Version control</t>
  </si>
  <si>
    <t>FOR CHOSEN RETIREMENT UNDER 55, DEFERRED UNTIL 55</t>
  </si>
  <si>
    <t>Amended years used to apply ERF, added another derefferd pension case for those under 55 and updated summary</t>
  </si>
  <si>
    <t>Deferred pension at SPA for under 55s</t>
  </si>
  <si>
    <t>Deferred pension at 55 for under 55s</t>
  </si>
  <si>
    <t>FOR CHOSEN RETIREMENT AT 55, DEFERRED POST-2015 BENEFITS UNTIL SPA</t>
  </si>
  <si>
    <t>Pension at SPA for retirees at 55</t>
  </si>
  <si>
    <t>Checked and agreed the PPS-&gt;NPPS changes.
However the deferred at 55 CARE pension introduced for the HO Q&amp;A doc
SW: use a geometric method for deferred revaluation ie (1/1.0225)^durn</t>
  </si>
  <si>
    <t>K:\a2clients\Police Pensions\0140-00972 Home Office Police\Cost Ceiling\Pension estimator\[Pension calculator v0.12.xlsm]Version control</t>
  </si>
  <si>
    <t>Amended case of those PPS members retiring at 55 who want new scheme benefits at SPA so that LRF is not applied and changed wording used in inputs and outputs as per SW's e-mail on 29/8/12</t>
  </si>
  <si>
    <t>Earliest age at which benefits can be taken</t>
  </si>
  <si>
    <t>Your chosen retirement age</t>
  </si>
  <si>
    <t>What will you get when you retire?</t>
  </si>
  <si>
    <t>Current age</t>
  </si>
  <si>
    <t>K:\a2clients\Police Pensions\0140-00972 Home Office Police\Cost Ceiling\Pension estimator\[Pension calculator v0.13.xlsm]Version control</t>
  </si>
  <si>
    <t>Added better wording to ? cells in inputs, unlocked inputs, fixed drop down box to not show NPPS twice, changed chosen retirement age to be an integer only, amended expected retirement age so it is greater than current age, inserted new SPA limits and put in an error message for negative results</t>
  </si>
  <si>
    <t>K:\a2clients\Police Pensions\0140-00972 Home Office Police\Cost Ceiling\Pension estimator\[Pension calculator v0.14.xlsm]Version control</t>
  </si>
  <si>
    <t>Rounded results to nearest £100, made sure those joining scheme after protection date don't get protection and added ERF/LRF factors to new scheme benefits for NPPS members</t>
  </si>
  <si>
    <t>Current date</t>
  </si>
  <si>
    <t>Agree change to application of deferred revaluation.
New deferred new scheme benefits at SPA for retirement at 55 incorrect, should be deferred revals to SPA only, no ERF.</t>
  </si>
  <si>
    <t>Deferred revaluation in cell 'CARE calcs'!E54 should be to SPA not 60.
SW email changes faithfully applied</t>
  </si>
  <si>
    <t>SW ? Comments applied accurately
Current date not age should be displayed at the bottom of the input output
Other changes to left done correctly.
Noticed that ERF/LRF are not being applied for NPPS member CARE benefits</t>
  </si>
  <si>
    <t>Checked - one issue: logic for protection for joiners post 1/4/2012 allows the age 45 protection. 
Otherwise ok including fix requested for benefits at SPA for those retiring 55 in my v11 comment above</t>
  </si>
  <si>
    <t>\\Gad-a2\a2data\a2clients\Police Pensions\0140-00972 Home Office Police\Cost Ceiling\Pension estimator\Pension calculator v0.15.xlsm</t>
  </si>
  <si>
    <t>Mara Aleixo</t>
  </si>
  <si>
    <t>age next birthday</t>
  </si>
  <si>
    <t>Warnings</t>
  </si>
  <si>
    <t>Understanding the results (Notes and Assumptions)</t>
  </si>
  <si>
    <t>Important information - please read this before you start</t>
  </si>
  <si>
    <t>o    The earliest age you can retire and draw your PPS or NPPS benefits;</t>
  </si>
  <si>
    <t>o    Age 60, the current normal retirement age in the new scheme (note that this is subject to regular review); and</t>
  </si>
  <si>
    <t>o    Another age which you can choose above.</t>
  </si>
  <si>
    <t>- Please read the notes below the results for further details and limitations.</t>
  </si>
  <si>
    <t>Amended the protection for members who joinned after 1/4/2012. Amended the results for retirement at age 60 to show as zero if the member has already reached their 60th birthday.Changed the validation to prevent the user entering a retirement age less than their current age.  Hide the formulae in the inputs and outputs spreadsheet. Inserted the caveats and updated the "inputs and outputs" format.</t>
  </si>
  <si>
    <t xml:space="preserve">- The amount of pension you may receive is dependent on when you retire. Three different retirement ages are show above: </t>
  </si>
  <si>
    <t>- It is assumed that you will remain in active service until your retirement age, and that you will retire on normal terms (i.e. you are not retiring in ill-health).</t>
  </si>
  <si>
    <t>- Where retirement age is not age 60, the amount of new scheme pension shown includes approximate actuarial adjustments for the earlier or later start of payments than the new scheme normal retirement age of 60.</t>
  </si>
  <si>
    <t xml:space="preserve">- A simplified approach has been taken to calculate your State Pension Age. This includes the anticipated increase of State Pension Age to 67 announced by Government on 29 November 2011. </t>
  </si>
  <si>
    <t xml:space="preserve">- For service in the NPPS, pension and lump sum benefits are shown. At retirement, you will have the option to convert your lump sum into additional pension. </t>
  </si>
  <si>
    <t>- The results do not include any money purchase Additional Voluntary Contributions (AVCs) benefits, added years which you may have purchased, career breaks, pension debits or other special arrangements within the PPS or NPPS .</t>
  </si>
  <si>
    <t>- Similarly the calculator does not show pension from other sources, for example the state pension or other private arrangements you may have.</t>
  </si>
  <si>
    <t>- The results do not allow for any cap which may apply to your pensionable pay.</t>
  </si>
  <si>
    <t xml:space="preserve">- The results shown above are estimates which should provide an illustration of how your pension may be affected by the reforms to the Police pension schemes. Another calculator, using different assumptions, could produce different results. </t>
  </si>
  <si>
    <t>- If future experience differs from the assumptions used, the pension that you will receive at retirement will be different from that shown above.</t>
  </si>
  <si>
    <t>- If you wish to seek financial advice, please contact an authorised independent financial adviser. The results above are not to be considered as financial advice.  The Home Office does not accept responsibility for the accuracy of results produced.</t>
  </si>
  <si>
    <t xml:space="preserve">- Transitional and tapered protection have been allowed for in the results. </t>
  </si>
  <si>
    <t>- Service has been capped at the maximum amounts in the PPS and NPPS (30 years and 35 years respectively).  There are no caps on the permissible service in the new scheme.</t>
  </si>
  <si>
    <t>\\GAD-A2\A2DATA\a2clients\Police Pensions\0140-00972 Home Office Police\Cost Ceiling\Pension estimator\Pension calculator v0.16.xls</t>
  </si>
  <si>
    <t>Changed some excel functions in order it works in excel 2003. Saved in excel 2003 format.</t>
  </si>
  <si>
    <t>Detailed notes (which explain some of the details of the calculations)</t>
  </si>
  <si>
    <r>
      <t xml:space="preserve">Checked - one issue: NPPS protection status calc cell applied check on DJS vs protection date in wrong direction. Corrected in this version. </t>
    </r>
    <r>
      <rPr>
        <sz val="10"/>
        <color indexed="10"/>
        <rFont val="Arial"/>
        <family val="2"/>
      </rPr>
      <t xml:space="preserve"> [SAM] This cell is now ok</t>
    </r>
    <r>
      <rPr>
        <sz val="10"/>
        <rFont val="Arial"/>
        <family val="2"/>
      </rPr>
      <t xml:space="preserve">
I have re-run a selection of the PPS and NPPS tests on the calculator successfully.</t>
    </r>
  </si>
  <si>
    <t>Factor used for ERF</t>
  </si>
  <si>
    <t>Factor used for  LRF</t>
  </si>
  <si>
    <t>\\GAD-A2\A2DATA\a2clients\Police Pensions\0140-00972 Home Office Police\Cost Ceiling\Pension estimator\Pension calculator v0.17.xls</t>
  </si>
  <si>
    <t>Set up different early and late retirement factors. Amended the reduced pension calculations in order to consider diferent factors.</t>
  </si>
  <si>
    <t>Checked and Agreed.</t>
  </si>
  <si>
    <t>more info</t>
  </si>
  <si>
    <t>- The results shown are only estimates, based on your inputs and other assumptions.</t>
  </si>
  <si>
    <t>B: Your benefits</t>
  </si>
  <si>
    <t xml:space="preserve">- The results are in terms of your current salary and do not allow for any future promotional salary increases you may receive. </t>
  </si>
  <si>
    <t>- The new scheme is a Career Average Revalued Earnings (CARE) scheme with an accrual rate of 1/55.3ths and revaluation for active members before retirement in line with the change in the Consumer Prices Index (CPI) plus 1.25% pa. </t>
  </si>
  <si>
    <t>- The approximate actuarial adjustments applied for the earlier or later start of payments than the new scheme normal pension age of 60 on your new scheme pension are broadly consistent with the assumptions used for the costings of the new scheme. The actuarial adjustments that apply at your retirement date may be different.</t>
  </si>
  <si>
    <t>\\GAD-A2\A2DATA\a2clients\Police Pensions\0140-00972 Home Office Police\Cost Ceiling\Pension estimator\Pension calculator v0.18.xls</t>
  </si>
  <si>
    <t>Matt Wood</t>
  </si>
  <si>
    <t>Changes to the notes. No changes to calcs.</t>
  </si>
  <si>
    <t xml:space="preserve">- Allowing for promotional salary increases would affect the relationship between the results under the reformed scheme and the results assuming that you were able to stay in your current scheme.  </t>
  </si>
  <si>
    <t>Please enter the following details about yourself</t>
  </si>
  <si>
    <t>1. Your date of birth (dd/mm/yyyy)</t>
  </si>
  <si>
    <t>4. How much service you have been granted for transfer in</t>
  </si>
  <si>
    <t>5. Your pensionable earnings</t>
  </si>
  <si>
    <t>6. Your chosen retirement age</t>
  </si>
  <si>
    <t xml:space="preserve">- The new scheme was announced by the government on 4 September 2012 following negotiations with the Police Negotiation Board (PNB). </t>
  </si>
  <si>
    <t>3. The date you joined the scheme (dd/mm/yyyy)</t>
  </si>
  <si>
    <t>Checked inputs outputs only. Spell check ok. Corrected date to 4/9/2012 and removed link reference</t>
  </si>
  <si>
    <t>A: Your details</t>
  </si>
  <si>
    <t>not allowed after 2015 minus 19</t>
  </si>
  <si>
    <t>not allowed after DJS minus 18 years</t>
  </si>
  <si>
    <t>combination of the above</t>
  </si>
  <si>
    <t>Dob not before 65 years ago</t>
  </si>
  <si>
    <t>Home Office</t>
  </si>
  <si>
    <t>Police Scheme Reform Pension calculator</t>
  </si>
  <si>
    <t>- If you are a PPS member, you may be entitled to retire before age 55. Results for retirement at ages before 55 show the amount of any new scheme pension you have built up at your State Pension Age as this is the earliest age you would be entitled to take these benefits without reduction if you leave active service before age 60.  Alternatively, you could choose to receive your new scheme benefits from age 55, with actuarial reduction to allow for the start of payments occurring earlier than your State Pension Age.</t>
  </si>
  <si>
    <t>- Please contact your pensions administrator if you need a formal statement of your current entitlements.</t>
  </si>
  <si>
    <t>Including additional validation and changes to note requested by Sara Alderman (HO) 3.9.12. 
Changes are to 'Inputs and Outputs'  and 'Cover' only</t>
  </si>
  <si>
    <t>\\GAD-A2\A2DATA\a2clients\Police Pensions\0140-00972 Home Office Police\Cost Ceiling\Pension estimator\Pension calculator v0.19.xls</t>
  </si>
  <si>
    <t>K:\a2clients\Police Pensions\0140-00972 Home Office Police\Cost Ceiling\Pension estimator\[Pension calculator v0.20.xls]Version control</t>
  </si>
  <si>
    <t>Adjusted DJS</t>
  </si>
  <si>
    <t>Your projected pension in the new scheme deferred until SPA</t>
  </si>
  <si>
    <t>Amendment protection calc to include TVin service for those get service taper by adjusting DJS, made some spelling / grammar corrections and put a ceiling of 65 on earliest age benefits can be taken</t>
  </si>
  <si>
    <t>K:\a2clients\Police Pensions\0140-00972 Home Office Police\Cost Ceiling\Pension estimator\[Pension calculator v0.21.xls]Version control</t>
  </si>
  <si>
    <t>See Matts email of 3/9/2012 at 15:48</t>
  </si>
  <si>
    <t>SW</t>
  </si>
  <si>
    <t>K:\a2clients\Police Pensions\0140-00972 Home Office Police\Cost Ceiling\Pension estimator\[Pension calculator v0.22.xls]Version control</t>
  </si>
  <si>
    <t>Full</t>
  </si>
  <si>
    <t>Tapered</t>
  </si>
  <si>
    <t>None</t>
  </si>
  <si>
    <t>Protection type</t>
  </si>
  <si>
    <t>Text to display</t>
  </si>
  <si>
    <t>CORNER TAPERING CALCS</t>
  </si>
  <si>
    <t>years &amp; months</t>
  </si>
  <si>
    <t>Made amendment to corner tapering protection date calc to make it more precise and added protection message as output</t>
  </si>
  <si>
    <t>Checked - some formatting/text changes needed
the transferees PPS-&gt;NPPS protection status never uses DJS as these members are necessarily in the NPPS.</t>
  </si>
  <si>
    <t>K:\a2clients\Police Pensions\0140-00972 Home Office Police\Cost Ceiling\Pension estimator\[Pension calculator v0.23.xls]Version control</t>
  </si>
  <si>
    <t>Made some cell modifications and reworded protection messages</t>
  </si>
  <si>
    <t>Checked changes and however testing has identified a case which should be in the corner taper which are classed unprotected (PPS DOB: 01/11/1975 and scheme start date: 01/09/1994 no TVIN) - and vice versa (PPS DOB: 12/10/75 and start scheme: 12/09/94 no TVIN)</t>
  </si>
  <si>
    <t>K:\a2clients\Police Pensions\0140-00972 Home Office Police\Cost Ceiling\Pension estimator\[Pension calculator v0.24.xls]Version control</t>
  </si>
  <si>
    <t>Amended corner tapering calcs, changed message so as not to confuse readers and removed unnecessary cells</t>
  </si>
  <si>
    <t>Plus</t>
  </si>
  <si>
    <t>Your projected pension at retirement in the current scheme</t>
  </si>
  <si>
    <t>Your projected pension at different retirement ages, in terms of your current salary.</t>
  </si>
  <si>
    <t>Amended output comments for SW email 28/9/2012 to Peter Spreadbury re MP comments (emphasis PPS LS by commutation and old and new benefits cumulative)
And other general SW comments of 28/09/2012 10:59</t>
  </si>
  <si>
    <r>
      <t xml:space="preserve">BA discussion today noted that the protection calcs for PPS-&gt;NPPS switchers will be looking up DJS rather than the adjusted DJS.  We should correct this if there is another release (and perhaps in any case) </t>
    </r>
    <r>
      <rPr>
        <sz val="10"/>
        <color indexed="40"/>
        <rFont val="Arial"/>
        <family val="2"/>
      </rPr>
      <t xml:space="preserve"> [SW] This comment is rubbish - there is no service taper for NPPS members.  No amends needed.</t>
    </r>
  </si>
  <si>
    <t>Sam Watts</t>
  </si>
  <si>
    <t xml:space="preserve">- For service in the PPS and the new scheme, only pension benefits are shown. At retirement you will have the option to commute part of your pension for a lump sum (within limits). </t>
  </si>
  <si>
    <t>n/a</t>
  </si>
  <si>
    <t>Added "N/A" to F44 of PPS and NPPS calcs tab</t>
  </si>
  <si>
    <r>
      <t xml:space="preserve">Slightly amended the wording i.r.o lump sum for the PPS members and also added it below the new scheme pension benefits.  Otherwise agreed.
</t>
    </r>
    <r>
      <rPr>
        <sz val="10"/>
        <color indexed="10"/>
        <rFont val="Arial"/>
        <family val="2"/>
      </rPr>
      <t>NPPS cases have problems re the message appearing due to F44 being blank</t>
    </r>
  </si>
  <si>
    <t>Checked and amended B47 in 'Inputs…' to reflect 2015 scheme LS always by commutation only</t>
  </si>
  <si>
    <t>K:\a2clients\Police Pensions\0140-00972 Home Office Police\Cost Ceiling\Pension estimator\[Pension calculator v0.25.xls]Version control</t>
  </si>
  <si>
    <t>Are you protected?</t>
  </si>
  <si>
    <t>Amended protection message, corrected bug for members for might choose retirement under 55 and switch from PPS to NPPS and made alignments in input boxes consistent</t>
  </si>
  <si>
    <t>(You will have the option to commute part of your new scheme pension for a lump sum)</t>
  </si>
  <si>
    <t>Full-time</t>
  </si>
  <si>
    <t>Part-time</t>
  </si>
  <si>
    <t>Pension calculator v0.26.xls</t>
  </si>
  <si>
    <t>Dipak Hirani</t>
  </si>
  <si>
    <t>Exit Date:</t>
  </si>
  <si>
    <t>PT Factor:</t>
  </si>
  <si>
    <t>Retirement Date:</t>
  </si>
  <si>
    <r>
      <t>Inputs and outputs</t>
    </r>
    <r>
      <rPr>
        <sz val="10"/>
        <rFont val="Arial"/>
        <family val="2"/>
      </rPr>
      <t xml:space="preserve"> - Section A now contains additional input detail sections 7-10, which are required for part time calculations
Formulae in rows 57, 58 have been amended to apply part-time proportion (I36) if member has selected part-time for input 7
Cell C157 contains the calculation for part-time factor
Formulae in rows 54, 55 have been amended to apply part-time factor (C157) if member has selected part-time for input 7</t>
    </r>
  </si>
  <si>
    <t>Earliest Age</t>
  </si>
  <si>
    <t>Chosen Age</t>
  </si>
  <si>
    <t>Normal Age</t>
  </si>
  <si>
    <t>Table has been created in cells C155-E158 to create part-time factors dependent on retirement age
Formulae in rows 54, 55 have been amended to take account of this new table</t>
  </si>
  <si>
    <t>Louise Fletcher</t>
  </si>
  <si>
    <t>Pension calculator v0.27.xls</t>
  </si>
  <si>
    <t>Formatting changes</t>
  </si>
  <si>
    <t>7. Your employment status (Choose from the list in the box)</t>
  </si>
  <si>
    <t>Service at the benefit statement date on a full time basis</t>
  </si>
  <si>
    <t>Reckonable service for part time member cannot be greater than their full time equivalent service</t>
  </si>
  <si>
    <t>Benefit statement date cannot be greater than today's date</t>
  </si>
  <si>
    <t>Today</t>
  </si>
  <si>
    <t>Dave J</t>
  </si>
  <si>
    <t>Some slight changes needed to main interface. See printout for more details.</t>
  </si>
  <si>
    <t>\\Gad-a2\a2data\a2clients\Police Pensions\0140-00972 Home Office Police\Cost Ceiling\Pension estimator\[Pension calculator v0.28.xls]Version control</t>
  </si>
  <si>
    <t>If you have selected 'Part-time', please fill in the section below</t>
  </si>
  <si>
    <t>Added comment to 'employment status' to cover members who have worked part time in the past. Added new protection to 'current part time proportion'. Added commentary to part time inputs, re-worded the explanation of part time treatment.</t>
  </si>
  <si>
    <t>Pension calculator v0.29.xls</t>
  </si>
  <si>
    <t>maximum pension</t>
  </si>
  <si>
    <t>Maximum lump sum</t>
  </si>
  <si>
    <t>Original calculations</t>
  </si>
  <si>
    <t>Happy with these changes to the calculator</t>
  </si>
  <si>
    <t>Removed service cap from calculations, instead applied a cap to pension estimate output on the 'inputs and output' tab. This is so part time benefits aren't capped at a part time ratio</t>
  </si>
  <si>
    <t>Pension calculator v0.30.xls</t>
  </si>
  <si>
    <t>Where part time indicator has been selected, the service uplift has been removed. Maximum pension and lump sum amounts have been rounded.</t>
  </si>
  <si>
    <t xml:space="preserve">Happy with changes. Added 'more info' boxes for PPS-&gt;NPPS members with part time and transferred in service. </t>
  </si>
  <si>
    <t>\\Gad-a2\a2data\a2clients\Police Pensions\0140-00972 Home Office Police\Cost Ceiling\Pension estimator\[Pension calculator v0.31.xls]Version control</t>
  </si>
  <si>
    <t>Amended comments for transferred in service.</t>
  </si>
  <si>
    <t>\\Gad-a2\a2data\a2clients\Police Pensions\0140-00972 Home Office Police\Cost Ceiling\Pension estimator\Pension calculator v0.32.xls</t>
  </si>
  <si>
    <t>K:\a2clients\Police Pensions\0140-00972 Home Office Police\Cost Ceiling\Pension estimator\[Pension calculator v0.33.xls]Version control</t>
  </si>
  <si>
    <t>Amended comment from cell K21 in Inputs and outputs tab due to change in HO policy</t>
  </si>
  <si>
    <t>Amended comment in row 92 (Detailed notes ection) to make it clearer what general pay increases will be</t>
  </si>
  <si>
    <t>- The calculator assumes that general pay increases by 1% more than the rate of revaluation in the CARE scheme. As a result, if the CPI increases by 2% in a particular year, then the rate of revaluation in service for that year will be equal to 3.25% and the calculator will assume that the general pay award for that year is 4.25%.</t>
  </si>
  <si>
    <t>- This calculator will provide an illustration of how your pension may be affected by the reforms to the Police pension schemes which came into force on 1 April 2015.</t>
  </si>
  <si>
    <t>No. You entered the new scheme on 1 April 2015.</t>
  </si>
  <si>
    <t>Michael Tagg</t>
  </si>
  <si>
    <t>Updating to reflect that new scheme has now come into effect.
&gt; Row 7, 63 - "will come" -&gt; "came"
&gt; Row 140 - changed wording to "...you came, or will become,…"
&gt; Row 141 - changed wording to "You entered the new scheme on 1 April 2015."</t>
  </si>
  <si>
    <t>H:\a2clients\Police\E&amp;W\General\Scheme reform\delete 2020\[Pension calculator v0.34.xls]Version control</t>
  </si>
  <si>
    <t>v0.35</t>
  </si>
  <si>
    <t>\\Gad-a2\a2new\a2clients\Police\E&amp;W\General\Scheme reform\delete 2020\[Pension calculator v0.35.xls]Version control</t>
  </si>
  <si>
    <r>
      <t xml:space="preserve">Updated in line with latest Scotland version:
</t>
    </r>
    <r>
      <rPr>
        <i/>
        <sz val="8"/>
        <rFont val="Arial"/>
        <family val="2"/>
      </rPr>
      <t>\\Gad-a2\a2new\a2clients\Police\Scotland\General\Scheme Reform\delete 2020\Pension calculator SPPA v3.21.xls</t>
    </r>
  </si>
  <si>
    <t>2. The final salary police pension scheme you were in immediately prior to 
1 April 2015 (Choose from the list in the box)</t>
  </si>
  <si>
    <t>9. The reckonable service on this benefit statement in respect of your former</t>
  </si>
  <si>
    <t>final salary police pension scheme  (immediately prior to 1 April 2015)</t>
  </si>
  <si>
    <t>- The “new scheme” is the scheme which was announced by the government on 4 September 2012 which came into effect from 1 April 2015 (with transitional arrangements applying to some members) as set out in the Police Pensions Regulations 2015 (SI 2015/445)</t>
  </si>
  <si>
    <t xml:space="preserve">- Those limits depend on the amount of your service or age at retirement. Generally you will be able to commute up to a quarter of your PPS pension when you retire. The amount of lump sum is </t>
  </si>
  <si>
    <t>calculated using actuarial factors that are reviewed from time to time. However, if you retire before the age at which you can be compulsory retired on account of age with less than 30 years’</t>
  </si>
  <si>
    <t xml:space="preserve">service then the maximum pension you can commute is restricted to 2¼ times your gross annual pension. When calculating the lump sum you are entitled to both your protected PPS service and </t>
  </si>
  <si>
    <t>new scheme service will be used so, for example, if you have a combined continuous period of PPS and new scheme service of 30 years then you would be able to commute up to a quarter of your</t>
  </si>
  <si>
    <t>PPS pension into a lump sum.</t>
  </si>
  <si>
    <t>- If you are currently a member of the NPPS (as a protected member) or were a member of the NPPS immediately prior to 1 April, but you started pensionable service before 6 April 2006 (i.e. in the preceding PPS scheme), approximate allowance for the service that you would have been granted in the NPPS following your election to transfer has been made.  It is assumed that you transferred your service to the NPPS on 6 April 2006 and that any transferred-in service that you have input above was granted before 6 April 2006.</t>
  </si>
  <si>
    <t>- If you indicated that you have worked part-time, the calculator has allowed for part-time hours worked up to your most recent benefit statement. It has also assumed that you have worked your current part-time hours since then and will continue to do so until retirement. The calculator cannot produce results for part time officers  who started pensionable service before 6 April 2006 and were in the NPPS immediately before 1 April 2015.</t>
  </si>
  <si>
    <t>-The calculator assumes that all transferred in service entered in the inputs was awarded before April 2015.  Therefore, for PPS members (as at 31 March 2015) this service is being considered when determining your eligibility for transitional protection. If the transferred in service was awarded after April 2015 the results produced by the calculator may be incorrect.</t>
  </si>
  <si>
    <t>8. The date of your last benefit statement prior to 1 April 2015 (dd/mm/yyyy)</t>
  </si>
  <si>
    <t>10. Your part-time proportion from 1 April 2015 (entered as percentage e.g. 50%)</t>
  </si>
  <si>
    <t>Agree changes. Copied across conditional formatting for the part time section. Removed macros.</t>
  </si>
</sst>
</file>

<file path=xl/styles.xml><?xml version="1.0" encoding="utf-8"?>
<styleSheet xmlns="http://schemas.openxmlformats.org/spreadsheetml/2006/main">
  <numFmts count="5">
    <numFmt numFmtId="44" formatCode="_-&quot;£&quot;* #,##0.00_-;\-&quot;£&quot;* #,##0.00_-;_-&quot;£&quot;* &quot;-&quot;??_-;_-@_-"/>
    <numFmt numFmtId="43" formatCode="_-* #,##0.00_-;\-* #,##0.00_-;_-* &quot;-&quot;??_-;_-@_-"/>
    <numFmt numFmtId="164" formatCode="&quot;£&quot;#,##0"/>
    <numFmt numFmtId="165" formatCode="_-[$£-809]* #,##0.00_-;\-[$£-809]* #,##0.00_-;_-[$£-809]* &quot;-&quot;??_-;_-@_-"/>
    <numFmt numFmtId="166" formatCode="_-[$£-809]* #,##0_-;\-[$£-809]* #,##0_-;_-[$£-809]* &quot;-&quot;??_-;_-@_-"/>
  </numFmts>
  <fonts count="46">
    <font>
      <sz val="10"/>
      <name val="Arial"/>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10"/>
      <color indexed="12"/>
      <name val="Arial"/>
      <family val="2"/>
    </font>
    <font>
      <sz val="10"/>
      <color indexed="14"/>
      <name val="Arial"/>
      <family val="2"/>
    </font>
    <font>
      <sz val="10"/>
      <color indexed="23"/>
      <name val="Arial"/>
      <family val="2"/>
    </font>
    <font>
      <sz val="10"/>
      <color indexed="17"/>
      <name val="Arial"/>
      <family val="2"/>
    </font>
    <font>
      <sz val="10"/>
      <color indexed="10"/>
      <name val="Arial"/>
      <family val="2"/>
    </font>
    <font>
      <sz val="10"/>
      <name val="Arial"/>
      <family val="2"/>
    </font>
    <font>
      <sz val="11"/>
      <name val="Calibri"/>
      <family val="2"/>
    </font>
    <font>
      <b/>
      <u/>
      <sz val="11.5"/>
      <name val="Arial"/>
      <family val="2"/>
    </font>
    <font>
      <sz val="9"/>
      <color indexed="81"/>
      <name val="Tahoma"/>
      <family val="2"/>
    </font>
    <font>
      <b/>
      <sz val="9"/>
      <color indexed="81"/>
      <name val="Tahoma"/>
      <family val="2"/>
    </font>
    <font>
      <i/>
      <sz val="10"/>
      <name val="Arial"/>
      <family val="2"/>
    </font>
    <font>
      <b/>
      <i/>
      <sz val="10"/>
      <name val="Arial"/>
      <family val="2"/>
    </font>
    <font>
      <sz val="10"/>
      <name val="Arial"/>
      <family val="2"/>
    </font>
    <font>
      <sz val="10"/>
      <name val="Arial"/>
      <family val="2"/>
    </font>
    <font>
      <sz val="10"/>
      <name val="Calibri"/>
      <family val="2"/>
    </font>
    <font>
      <sz val="11"/>
      <name val="Arial"/>
      <family val="2"/>
    </font>
    <font>
      <sz val="10"/>
      <color indexed="14"/>
      <name val="Arial"/>
      <family val="2"/>
    </font>
    <font>
      <sz val="10"/>
      <color indexed="8"/>
      <name val="Arial"/>
      <family val="2"/>
    </font>
    <font>
      <sz val="6.5"/>
      <color indexed="8"/>
      <name val="Arial"/>
      <family val="2"/>
    </font>
    <font>
      <sz val="10"/>
      <color indexed="17"/>
      <name val="Arial"/>
      <family val="2"/>
    </font>
    <font>
      <b/>
      <sz val="10"/>
      <color indexed="10"/>
      <name val="Arial"/>
      <family val="2"/>
    </font>
    <font>
      <sz val="10"/>
      <color indexed="55"/>
      <name val="Arial"/>
      <family val="2"/>
    </font>
    <font>
      <sz val="10"/>
      <color indexed="12"/>
      <name val="Arial"/>
      <family val="2"/>
    </font>
    <font>
      <sz val="10"/>
      <color indexed="23"/>
      <name val="Arial"/>
      <family val="2"/>
    </font>
    <font>
      <sz val="11"/>
      <color indexed="12"/>
      <name val="Calibri"/>
      <family val="2"/>
    </font>
    <font>
      <b/>
      <sz val="10"/>
      <color indexed="23"/>
      <name val="Arial"/>
      <family val="2"/>
    </font>
    <font>
      <sz val="11"/>
      <name val="Calibri"/>
      <family val="2"/>
    </font>
    <font>
      <b/>
      <u/>
      <sz val="18"/>
      <name val="Calibri"/>
      <family val="2"/>
    </font>
    <font>
      <b/>
      <sz val="10"/>
      <name val="Calibri"/>
      <family val="2"/>
    </font>
    <font>
      <b/>
      <sz val="16"/>
      <name val="Calibri"/>
      <family val="2"/>
    </font>
    <font>
      <b/>
      <sz val="11"/>
      <name val="Calibri"/>
      <family val="2"/>
    </font>
    <font>
      <b/>
      <sz val="12"/>
      <name val="Calibri"/>
      <family val="2"/>
    </font>
    <font>
      <sz val="10"/>
      <name val="Calibri"/>
      <family val="2"/>
    </font>
    <font>
      <b/>
      <u/>
      <sz val="14"/>
      <name val="Calibri"/>
      <family val="2"/>
    </font>
    <font>
      <sz val="8"/>
      <name val="Arial"/>
      <family val="2"/>
    </font>
    <font>
      <b/>
      <sz val="48"/>
      <color indexed="10"/>
      <name val="Arial"/>
      <family val="2"/>
    </font>
    <font>
      <sz val="10"/>
      <color indexed="40"/>
      <name val="Arial"/>
      <family val="2"/>
    </font>
    <font>
      <i/>
      <sz val="8"/>
      <name val="Arial"/>
      <family val="2"/>
    </font>
    <font>
      <u/>
      <sz val="10"/>
      <color theme="10"/>
      <name val="Arial"/>
      <family val="2"/>
    </font>
  </fonts>
  <fills count="13">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indexed="53"/>
        <bgColor indexed="64"/>
      </patternFill>
    </fill>
    <fill>
      <patternFill patternType="solid">
        <fgColor indexed="15"/>
        <bgColor indexed="64"/>
      </patternFill>
    </fill>
    <fill>
      <patternFill patternType="solid">
        <fgColor indexed="22"/>
        <bgColor indexed="64"/>
      </patternFill>
    </fill>
    <fill>
      <patternFill patternType="solid">
        <fgColor indexed="13"/>
        <bgColor indexed="64"/>
      </patternFill>
    </fill>
    <fill>
      <patternFill patternType="solid">
        <fgColor indexed="25"/>
        <bgColor indexed="64"/>
      </patternFill>
    </fill>
    <fill>
      <patternFill patternType="solid">
        <fgColor indexed="44"/>
        <bgColor indexed="64"/>
      </patternFill>
    </fill>
    <fill>
      <patternFill patternType="solid">
        <fgColor indexed="24"/>
        <bgColor indexed="64"/>
      </patternFill>
    </fill>
    <fill>
      <patternFill patternType="solid">
        <fgColor indexed="52"/>
        <bgColor indexed="64"/>
      </patternFill>
    </fill>
    <fill>
      <patternFill patternType="solid">
        <fgColor indexed="43"/>
        <bgColor indexed="64"/>
      </patternFill>
    </fill>
  </fills>
  <borders count="38">
    <border>
      <left/>
      <right/>
      <top/>
      <bottom/>
      <diagonal/>
    </border>
    <border>
      <left/>
      <right/>
      <top/>
      <bottom style="thin">
        <color indexed="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17"/>
      </left>
      <right style="medium">
        <color indexed="17"/>
      </right>
      <top style="medium">
        <color indexed="17"/>
      </top>
      <bottom style="medium">
        <color indexed="17"/>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8"/>
      </right>
      <top style="medium">
        <color indexed="64"/>
      </top>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8"/>
      </left>
      <right/>
      <top style="medium">
        <color indexed="64"/>
      </top>
      <bottom/>
      <diagonal/>
    </border>
    <border>
      <left style="medium">
        <color indexed="8"/>
      </left>
      <right/>
      <top/>
      <bottom style="medium">
        <color indexed="8"/>
      </bottom>
      <diagonal/>
    </border>
    <border>
      <left style="medium">
        <color indexed="8"/>
      </left>
      <right style="medium">
        <color indexed="64"/>
      </right>
      <top style="medium">
        <color indexed="64"/>
      </top>
      <bottom/>
      <diagonal/>
    </border>
    <border>
      <left style="medium">
        <color indexed="8"/>
      </left>
      <right style="medium">
        <color indexed="64"/>
      </right>
      <top/>
      <bottom style="medium">
        <color indexed="8"/>
      </bottom>
      <diagonal/>
    </border>
    <border>
      <left/>
      <right style="medium">
        <color indexed="8"/>
      </right>
      <top/>
      <bottom style="medium">
        <color indexed="64"/>
      </bottom>
      <diagonal/>
    </border>
    <border>
      <left style="medium">
        <color indexed="8"/>
      </left>
      <right/>
      <top/>
      <bottom style="medium">
        <color indexed="64"/>
      </bottom>
      <diagonal/>
    </border>
    <border>
      <left style="medium">
        <color indexed="8"/>
      </left>
      <right style="medium">
        <color indexed="64"/>
      </right>
      <top/>
      <bottom style="medium">
        <color indexed="64"/>
      </bottom>
      <diagonal/>
    </border>
  </borders>
  <cellStyleXfs count="4">
    <xf numFmtId="0" fontId="0" fillId="0" borderId="0"/>
    <xf numFmtId="43" fontId="19" fillId="0" borderId="0" applyFont="0" applyFill="0" applyBorder="0" applyAlignment="0" applyProtection="0"/>
    <xf numFmtId="44" fontId="20" fillId="0" borderId="0" applyFont="0" applyFill="0" applyBorder="0" applyAlignment="0" applyProtection="0"/>
    <xf numFmtId="0" fontId="45" fillId="0" borderId="0" applyNumberFormat="0" applyFill="0" applyBorder="0" applyAlignment="0" applyProtection="0">
      <alignment vertical="top"/>
      <protection locked="0"/>
    </xf>
  </cellStyleXfs>
  <cellXfs count="239">
    <xf numFmtId="0" fontId="0" fillId="0" borderId="0" xfId="0"/>
    <xf numFmtId="0" fontId="3" fillId="0" borderId="0" xfId="0" applyFont="1"/>
    <xf numFmtId="0" fontId="1" fillId="0" borderId="0" xfId="0" applyFont="1" applyAlignment="1">
      <alignment vertical="top" wrapText="1"/>
    </xf>
    <xf numFmtId="0" fontId="0" fillId="0" borderId="0" xfId="0" applyAlignment="1">
      <alignment vertical="top"/>
    </xf>
    <xf numFmtId="0" fontId="4" fillId="2" borderId="1" xfId="0" applyFont="1" applyFill="1" applyBorder="1" applyAlignment="1" applyProtection="1"/>
    <xf numFmtId="0" fontId="5" fillId="3" borderId="2" xfId="0" applyFont="1" applyFill="1" applyBorder="1" applyAlignment="1" applyProtection="1"/>
    <xf numFmtId="0" fontId="6" fillId="3" borderId="0" xfId="0" applyFont="1" applyFill="1" applyAlignment="1" applyProtection="1"/>
    <xf numFmtId="0" fontId="2" fillId="0" borderId="0" xfId="0" applyFont="1"/>
    <xf numFmtId="14" fontId="0" fillId="0" borderId="0" xfId="0" applyNumberFormat="1"/>
    <xf numFmtId="0" fontId="0" fillId="0" borderId="0" xfId="0" applyBorder="1"/>
    <xf numFmtId="0" fontId="3" fillId="0" borderId="0" xfId="0" applyFont="1" applyAlignment="1">
      <alignment horizontal="center" wrapText="1"/>
    </xf>
    <xf numFmtId="0" fontId="0" fillId="3" borderId="0" xfId="0" applyFill="1"/>
    <xf numFmtId="0" fontId="0" fillId="2" borderId="1" xfId="0" applyFill="1" applyBorder="1"/>
    <xf numFmtId="0" fontId="4" fillId="2" borderId="1" xfId="0" applyFont="1" applyFill="1" applyBorder="1"/>
    <xf numFmtId="0" fontId="6" fillId="3" borderId="0" xfId="0" applyFont="1" applyFill="1"/>
    <xf numFmtId="0" fontId="3" fillId="0" borderId="0" xfId="0" applyFont="1" applyAlignment="1">
      <alignment vertical="top" wrapText="1"/>
    </xf>
    <xf numFmtId="0" fontId="3" fillId="0" borderId="0" xfId="0" applyFont="1" applyBorder="1"/>
    <xf numFmtId="0" fontId="7"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11" fillId="0" borderId="0" xfId="0" applyFont="1" applyAlignment="1">
      <alignment vertical="top"/>
    </xf>
    <xf numFmtId="0" fontId="1" fillId="0" borderId="0" xfId="0" applyFont="1" applyFill="1" applyAlignment="1">
      <alignment vertical="top"/>
    </xf>
    <xf numFmtId="0" fontId="12" fillId="0" borderId="0" xfId="0" applyFont="1" applyAlignment="1">
      <alignment vertical="top"/>
    </xf>
    <xf numFmtId="0" fontId="12" fillId="4" borderId="0" xfId="0" applyFont="1" applyFill="1" applyAlignment="1">
      <alignment vertical="top"/>
    </xf>
    <xf numFmtId="0" fontId="12" fillId="5" borderId="0" xfId="0" applyFont="1" applyFill="1" applyAlignment="1">
      <alignment vertical="top"/>
    </xf>
    <xf numFmtId="0" fontId="1" fillId="0" borderId="0" xfId="0" applyFont="1" applyBorder="1"/>
    <xf numFmtId="0" fontId="1" fillId="0" borderId="0" xfId="0" applyFont="1" applyFill="1" applyBorder="1"/>
    <xf numFmtId="0" fontId="5" fillId="3" borderId="0" xfId="0" applyFont="1" applyFill="1"/>
    <xf numFmtId="14" fontId="1" fillId="0" borderId="0" xfId="0" applyNumberFormat="1" applyFont="1" applyAlignment="1">
      <alignment vertical="top" wrapText="1"/>
    </xf>
    <xf numFmtId="0" fontId="1" fillId="0" borderId="0" xfId="0" applyFont="1"/>
    <xf numFmtId="0" fontId="1" fillId="0" borderId="3" xfId="0" applyFont="1" applyBorder="1"/>
    <xf numFmtId="0" fontId="3" fillId="2" borderId="1" xfId="0" applyFont="1" applyFill="1" applyBorder="1"/>
    <xf numFmtId="0" fontId="3" fillId="3" borderId="0" xfId="0" applyFont="1" applyFill="1"/>
    <xf numFmtId="0" fontId="23" fillId="0" borderId="0" xfId="0" applyFont="1"/>
    <xf numFmtId="14" fontId="23" fillId="0" borderId="0" xfId="0" applyNumberFormat="1" applyFont="1"/>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1" fillId="6" borderId="5" xfId="0" applyFont="1" applyFill="1" applyBorder="1" applyAlignment="1">
      <alignment wrapText="1"/>
    </xf>
    <xf numFmtId="14" fontId="24" fillId="0" borderId="4" xfId="0" applyNumberFormat="1" applyFont="1" applyBorder="1" applyAlignment="1">
      <alignment horizontal="right" wrapText="1"/>
    </xf>
    <xf numFmtId="14" fontId="24" fillId="0" borderId="5" xfId="0" applyNumberFormat="1" applyFont="1" applyBorder="1" applyAlignment="1">
      <alignment horizontal="right" wrapText="1"/>
    </xf>
    <xf numFmtId="0" fontId="1" fillId="0" borderId="5" xfId="0" applyFont="1" applyBorder="1" applyAlignment="1">
      <alignment horizontal="center"/>
    </xf>
    <xf numFmtId="0" fontId="24" fillId="0" borderId="5" xfId="0" applyFont="1" applyBorder="1" applyAlignment="1">
      <alignment horizontal="center"/>
    </xf>
    <xf numFmtId="0" fontId="1" fillId="0" borderId="5" xfId="0" applyFont="1" applyBorder="1" applyAlignment="1">
      <alignment horizontal="center" wrapText="1"/>
    </xf>
    <xf numFmtId="14" fontId="1" fillId="0" borderId="5" xfId="0" applyNumberFormat="1" applyFont="1" applyBorder="1" applyAlignment="1">
      <alignment horizontal="center"/>
    </xf>
    <xf numFmtId="0" fontId="14" fillId="0" borderId="0" xfId="0" applyFont="1"/>
    <xf numFmtId="0" fontId="24" fillId="6" borderId="6" xfId="0" applyFont="1" applyFill="1" applyBorder="1" applyAlignment="1">
      <alignment horizontal="center" wrapText="1"/>
    </xf>
    <xf numFmtId="0" fontId="24" fillId="6" borderId="7" xfId="0" applyFont="1" applyFill="1" applyBorder="1" applyAlignment="1">
      <alignment horizontal="center" wrapText="1"/>
    </xf>
    <xf numFmtId="0" fontId="24" fillId="6" borderId="4" xfId="0" applyFont="1" applyFill="1" applyBorder="1" applyAlignment="1">
      <alignment horizontal="center" wrapText="1"/>
    </xf>
    <xf numFmtId="0" fontId="24" fillId="6" borderId="5" xfId="0" applyFont="1" applyFill="1" applyBorder="1" applyAlignment="1">
      <alignment horizontal="center" wrapText="1"/>
    </xf>
    <xf numFmtId="0" fontId="13" fillId="6" borderId="5" xfId="0" applyFont="1" applyFill="1" applyBorder="1" applyAlignment="1">
      <alignment wrapText="1"/>
    </xf>
    <xf numFmtId="0" fontId="24" fillId="6" borderId="5" xfId="0" applyFont="1" applyFill="1" applyBorder="1" applyAlignment="1">
      <alignment wrapText="1"/>
    </xf>
    <xf numFmtId="14" fontId="24" fillId="0" borderId="4" xfId="0" applyNumberFormat="1" applyFont="1" applyBorder="1" applyAlignment="1">
      <alignment horizontal="right" vertical="top" wrapText="1"/>
    </xf>
    <xf numFmtId="14" fontId="24" fillId="0" borderId="5" xfId="0" applyNumberFormat="1" applyFont="1" applyBorder="1" applyAlignment="1">
      <alignment horizontal="right" vertical="top" wrapText="1"/>
    </xf>
    <xf numFmtId="0" fontId="24" fillId="0" borderId="5" xfId="0" applyFont="1" applyBorder="1" applyAlignment="1">
      <alignment horizontal="center" vertical="top"/>
    </xf>
    <xf numFmtId="14" fontId="24" fillId="0" borderId="5" xfId="0" applyNumberFormat="1" applyFont="1" applyBorder="1" applyAlignment="1">
      <alignment horizontal="center" vertical="top"/>
    </xf>
    <xf numFmtId="14" fontId="24" fillId="0" borderId="8" xfId="0" applyNumberFormat="1" applyFont="1" applyBorder="1" applyAlignment="1">
      <alignment horizontal="right" wrapText="1"/>
    </xf>
    <xf numFmtId="14" fontId="24" fillId="0" borderId="9" xfId="0" applyNumberFormat="1" applyFont="1" applyBorder="1" applyAlignment="1">
      <alignment horizontal="right" wrapText="1"/>
    </xf>
    <xf numFmtId="0" fontId="1" fillId="0" borderId="9" xfId="0" applyFont="1" applyBorder="1" applyAlignment="1">
      <alignment horizontal="center"/>
    </xf>
    <xf numFmtId="0" fontId="24" fillId="0" borderId="9" xfId="0" applyFont="1" applyBorder="1" applyAlignment="1">
      <alignment horizontal="center"/>
    </xf>
    <xf numFmtId="0" fontId="1" fillId="0" borderId="9" xfId="0" applyFont="1" applyBorder="1" applyAlignment="1">
      <alignment horizontal="center" wrapText="1"/>
    </xf>
    <xf numFmtId="14" fontId="1" fillId="0" borderId="9" xfId="0" applyNumberFormat="1" applyFont="1" applyBorder="1" applyAlignment="1">
      <alignment horizontal="center"/>
    </xf>
    <xf numFmtId="14" fontId="24" fillId="0" borderId="8" xfId="0" applyNumberFormat="1" applyFont="1" applyBorder="1" applyAlignment="1">
      <alignment horizontal="right" vertical="top" wrapText="1"/>
    </xf>
    <xf numFmtId="14" fontId="24" fillId="0" borderId="9" xfId="0" applyNumberFormat="1" applyFont="1" applyBorder="1" applyAlignment="1">
      <alignment horizontal="right" vertical="top" wrapText="1"/>
    </xf>
    <xf numFmtId="0" fontId="24" fillId="0" borderId="9" xfId="0" applyFont="1" applyBorder="1" applyAlignment="1">
      <alignment horizontal="center" vertical="top"/>
    </xf>
    <xf numFmtId="14" fontId="24" fillId="0" borderId="9" xfId="0" applyNumberFormat="1" applyFont="1" applyBorder="1" applyAlignment="1">
      <alignment horizontal="center" vertical="top"/>
    </xf>
    <xf numFmtId="0" fontId="24" fillId="0" borderId="5" xfId="0" applyFont="1" applyBorder="1" applyAlignment="1">
      <alignment horizontal="center" vertical="top" wrapText="1"/>
    </xf>
    <xf numFmtId="0" fontId="25" fillId="0" borderId="0" xfId="0" applyFont="1" applyAlignment="1">
      <alignment wrapText="1"/>
    </xf>
    <xf numFmtId="0" fontId="25" fillId="0" borderId="8" xfId="0" applyFont="1" applyBorder="1" applyAlignment="1">
      <alignment textRotation="180"/>
    </xf>
    <xf numFmtId="0" fontId="25" fillId="0" borderId="9" xfId="0" applyFont="1" applyBorder="1" applyAlignment="1">
      <alignment textRotation="180"/>
    </xf>
    <xf numFmtId="0" fontId="25" fillId="0" borderId="10" xfId="0" applyFont="1" applyBorder="1" applyAlignment="1">
      <alignment textRotation="180"/>
    </xf>
    <xf numFmtId="0" fontId="25" fillId="0" borderId="11" xfId="0" applyFont="1" applyBorder="1"/>
    <xf numFmtId="0" fontId="25" fillId="0" borderId="4" xfId="0" applyFont="1" applyBorder="1" applyAlignment="1">
      <alignment horizontal="right" vertical="top"/>
    </xf>
    <xf numFmtId="0" fontId="25" fillId="0" borderId="5" xfId="0" applyFont="1" applyBorder="1" applyAlignment="1">
      <alignment horizontal="right" vertical="top"/>
    </xf>
    <xf numFmtId="0" fontId="25" fillId="0" borderId="7" xfId="0" applyFont="1" applyBorder="1"/>
    <xf numFmtId="0" fontId="1" fillId="0" borderId="0" xfId="0" applyFont="1" applyAlignment="1">
      <alignment vertical="top"/>
    </xf>
    <xf numFmtId="0" fontId="25" fillId="0" borderId="4" xfId="0" applyFont="1" applyBorder="1"/>
    <xf numFmtId="0" fontId="25" fillId="0" borderId="12" xfId="0" applyFont="1" applyBorder="1"/>
    <xf numFmtId="0" fontId="25" fillId="0" borderId="8" xfId="0" applyFont="1" applyBorder="1"/>
    <xf numFmtId="0" fontId="45" fillId="0" borderId="0" xfId="3" applyAlignment="1" applyProtection="1"/>
    <xf numFmtId="0" fontId="23" fillId="0" borderId="0" xfId="0" applyNumberFormat="1" applyFont="1"/>
    <xf numFmtId="0" fontId="0" fillId="0" borderId="0" xfId="0" applyNumberFormat="1"/>
    <xf numFmtId="44" fontId="0" fillId="0" borderId="0" xfId="0" applyNumberFormat="1"/>
    <xf numFmtId="0" fontId="3" fillId="0" borderId="0" xfId="0" applyNumberFormat="1" applyFont="1"/>
    <xf numFmtId="0" fontId="18" fillId="0" borderId="0" xfId="0" applyFont="1"/>
    <xf numFmtId="0" fontId="26" fillId="0" borderId="0" xfId="0" applyFont="1"/>
    <xf numFmtId="0" fontId="17" fillId="0" borderId="0" xfId="0" applyFont="1" applyAlignment="1">
      <alignment horizontal="right"/>
    </xf>
    <xf numFmtId="0" fontId="0" fillId="0" borderId="0" xfId="0" applyNumberFormat="1" applyAlignment="1">
      <alignment horizontal="right"/>
    </xf>
    <xf numFmtId="0" fontId="0" fillId="0" borderId="13" xfId="0" applyBorder="1"/>
    <xf numFmtId="0" fontId="0" fillId="0" borderId="14" xfId="0" applyBorder="1"/>
    <xf numFmtId="10" fontId="23" fillId="0" borderId="0" xfId="0" applyNumberFormat="1" applyFont="1"/>
    <xf numFmtId="0" fontId="1" fillId="0" borderId="0" xfId="0" applyNumberFormat="1" applyFont="1"/>
    <xf numFmtId="44" fontId="1" fillId="0" borderId="0" xfId="0" applyNumberFormat="1" applyFont="1"/>
    <xf numFmtId="0" fontId="27" fillId="0" borderId="0" xfId="0" applyFont="1"/>
    <xf numFmtId="0" fontId="28" fillId="0" borderId="0" xfId="0" applyFont="1"/>
    <xf numFmtId="0" fontId="0" fillId="0" borderId="15" xfId="0" applyBorder="1"/>
    <xf numFmtId="0" fontId="0" fillId="0" borderId="16" xfId="0" applyBorder="1"/>
    <xf numFmtId="0" fontId="0" fillId="0" borderId="17" xfId="0" applyBorder="1"/>
    <xf numFmtId="0" fontId="0" fillId="0" borderId="18" xfId="0" applyBorder="1"/>
    <xf numFmtId="0" fontId="29" fillId="0" borderId="19" xfId="0" applyFont="1" applyBorder="1"/>
    <xf numFmtId="0" fontId="29" fillId="0" borderId="0" xfId="0" applyFont="1" applyBorder="1"/>
    <xf numFmtId="0" fontId="29" fillId="0" borderId="20" xfId="0" applyFont="1" applyBorder="1"/>
    <xf numFmtId="0" fontId="30" fillId="0" borderId="0" xfId="0" applyFont="1"/>
    <xf numFmtId="0" fontId="45" fillId="0" borderId="0" xfId="3" applyAlignment="1" applyProtection="1">
      <alignment vertical="top" wrapText="1"/>
    </xf>
    <xf numFmtId="0" fontId="0" fillId="0" borderId="0" xfId="0" applyAlignment="1">
      <alignment wrapText="1"/>
    </xf>
    <xf numFmtId="0" fontId="31" fillId="0" borderId="8" xfId="0" applyFont="1" applyBorder="1" applyAlignment="1">
      <alignment vertical="top"/>
    </xf>
    <xf numFmtId="0" fontId="3" fillId="0" borderId="0" xfId="0" applyFont="1" applyAlignment="1">
      <alignment wrapText="1"/>
    </xf>
    <xf numFmtId="0" fontId="31" fillId="0" borderId="4" xfId="0" applyFont="1" applyBorder="1" applyAlignment="1">
      <alignment vertical="top" wrapText="1"/>
    </xf>
    <xf numFmtId="0" fontId="31" fillId="0" borderId="5" xfId="0" applyFont="1" applyBorder="1" applyAlignment="1">
      <alignment vertical="top" wrapText="1"/>
    </xf>
    <xf numFmtId="0" fontId="31" fillId="0" borderId="4" xfId="0" applyFont="1" applyBorder="1" applyAlignment="1">
      <alignment horizontal="left" vertical="top"/>
    </xf>
    <xf numFmtId="0" fontId="31" fillId="0" borderId="5" xfId="0" applyFont="1" applyBorder="1" applyAlignment="1">
      <alignment horizontal="left" vertical="top"/>
    </xf>
    <xf numFmtId="9" fontId="31" fillId="0" borderId="5" xfId="0" applyNumberFormat="1" applyFont="1" applyBorder="1" applyAlignment="1">
      <alignment horizontal="left" vertical="top"/>
    </xf>
    <xf numFmtId="10" fontId="31" fillId="0" borderId="5" xfId="0" applyNumberFormat="1" applyFont="1" applyBorder="1" applyAlignment="1">
      <alignment horizontal="left" vertical="top"/>
    </xf>
    <xf numFmtId="0" fontId="0" fillId="0" borderId="0" xfId="0" applyAlignment="1">
      <alignment horizontal="right"/>
    </xf>
    <xf numFmtId="0" fontId="3" fillId="0" borderId="0" xfId="0" applyFont="1" applyAlignment="1">
      <alignment horizontal="right"/>
    </xf>
    <xf numFmtId="14" fontId="0" fillId="0" borderId="15" xfId="0" applyNumberFormat="1" applyBorder="1"/>
    <xf numFmtId="14" fontId="0" fillId="0" borderId="17" xfId="0" applyNumberFormat="1" applyBorder="1"/>
    <xf numFmtId="14" fontId="0" fillId="0" borderId="18" xfId="0" applyNumberFormat="1" applyBorder="1"/>
    <xf numFmtId="14" fontId="1" fillId="0" borderId="21" xfId="0" applyNumberFormat="1" applyFont="1" applyBorder="1"/>
    <xf numFmtId="14" fontId="0" fillId="0" borderId="22" xfId="0" applyNumberFormat="1" applyBorder="1"/>
    <xf numFmtId="0" fontId="0" fillId="0" borderId="23" xfId="0" applyBorder="1"/>
    <xf numFmtId="0" fontId="4" fillId="2" borderId="1" xfId="0" applyFont="1" applyFill="1" applyBorder="1" applyProtection="1">
      <protection hidden="1"/>
    </xf>
    <xf numFmtId="0" fontId="0" fillId="2" borderId="1" xfId="0" applyFill="1" applyBorder="1" applyProtection="1">
      <protection hidden="1"/>
    </xf>
    <xf numFmtId="0" fontId="0" fillId="0" borderId="0" xfId="0" applyProtection="1">
      <protection hidden="1"/>
    </xf>
    <xf numFmtId="0" fontId="5" fillId="3" borderId="2" xfId="0" applyFont="1" applyFill="1" applyBorder="1" applyAlignment="1" applyProtection="1">
      <protection hidden="1"/>
    </xf>
    <xf numFmtId="0" fontId="0" fillId="3" borderId="0" xfId="0" applyFill="1" applyProtection="1">
      <protection hidden="1"/>
    </xf>
    <xf numFmtId="0" fontId="6" fillId="3" borderId="0" xfId="0" applyFont="1" applyFill="1" applyProtection="1">
      <protection hidden="1"/>
    </xf>
    <xf numFmtId="0" fontId="2" fillId="0" borderId="0" xfId="0" applyFont="1" applyProtection="1">
      <protection hidden="1"/>
    </xf>
    <xf numFmtId="0" fontId="1" fillId="0" borderId="0" xfId="0" applyFont="1" applyProtection="1">
      <protection hidden="1"/>
    </xf>
    <xf numFmtId="0" fontId="3" fillId="0" borderId="0" xfId="0" applyFont="1" applyProtection="1">
      <protection hidden="1"/>
    </xf>
    <xf numFmtId="0" fontId="0" fillId="0" borderId="0" xfId="0" applyAlignment="1" applyProtection="1">
      <alignment wrapText="1"/>
      <protection hidden="1"/>
    </xf>
    <xf numFmtId="14" fontId="0" fillId="0" borderId="0" xfId="0" applyNumberFormat="1" applyProtection="1">
      <protection hidden="1"/>
    </xf>
    <xf numFmtId="0" fontId="23" fillId="0" borderId="0" xfId="0" applyFont="1" applyProtection="1">
      <protection hidden="1"/>
    </xf>
    <xf numFmtId="0" fontId="1" fillId="7" borderId="0" xfId="0" applyFont="1" applyFill="1" applyProtection="1">
      <protection hidden="1"/>
    </xf>
    <xf numFmtId="0" fontId="0" fillId="7" borderId="0" xfId="0" applyFill="1" applyProtection="1">
      <protection hidden="1"/>
    </xf>
    <xf numFmtId="0" fontId="1" fillId="8" borderId="0" xfId="0" applyFont="1" applyFill="1" applyProtection="1">
      <protection hidden="1"/>
    </xf>
    <xf numFmtId="14" fontId="1" fillId="0" borderId="0" xfId="0" applyNumberFormat="1" applyFont="1" applyProtection="1">
      <protection hidden="1"/>
    </xf>
    <xf numFmtId="14" fontId="1" fillId="8" borderId="0" xfId="0" applyNumberFormat="1" applyFont="1" applyFill="1" applyProtection="1">
      <protection hidden="1"/>
    </xf>
    <xf numFmtId="0" fontId="1" fillId="0" borderId="0" xfId="0" applyFont="1" applyFill="1" applyProtection="1">
      <protection hidden="1"/>
    </xf>
    <xf numFmtId="43" fontId="1" fillId="0" borderId="0" xfId="1" applyFont="1" applyProtection="1">
      <protection hidden="1"/>
    </xf>
    <xf numFmtId="0" fontId="1" fillId="0" borderId="0" xfId="0" applyFont="1" applyAlignment="1" applyProtection="1">
      <alignment horizontal="right"/>
      <protection hidden="1"/>
    </xf>
    <xf numFmtId="2" fontId="1" fillId="0" borderId="0" xfId="0" applyNumberFormat="1" applyFont="1" applyProtection="1">
      <protection hidden="1"/>
    </xf>
    <xf numFmtId="0" fontId="32" fillId="0" borderId="0" xfId="0" applyFont="1" applyProtection="1">
      <protection hidden="1"/>
    </xf>
    <xf numFmtId="0" fontId="30" fillId="0" borderId="0" xfId="0" applyFont="1" applyProtection="1">
      <protection hidden="1"/>
    </xf>
    <xf numFmtId="0" fontId="0" fillId="0" borderId="0" xfId="0" applyFill="1" applyProtection="1">
      <protection hidden="1"/>
    </xf>
    <xf numFmtId="0" fontId="36" fillId="0" borderId="0" xfId="0" applyFont="1" applyProtection="1"/>
    <xf numFmtId="0" fontId="22" fillId="0" borderId="0" xfId="0" applyFont="1" applyAlignment="1" applyProtection="1">
      <alignment vertical="center"/>
      <protection hidden="1"/>
    </xf>
    <xf numFmtId="0" fontId="38" fillId="6" borderId="0" xfId="0" applyFont="1" applyFill="1" applyBorder="1"/>
    <xf numFmtId="49" fontId="39" fillId="6" borderId="0" xfId="0" applyNumberFormat="1" applyFont="1" applyFill="1" applyBorder="1" applyAlignment="1">
      <alignment horizontal="left" vertical="center" wrapText="1"/>
    </xf>
    <xf numFmtId="49" fontId="39" fillId="6" borderId="0" xfId="0" applyNumberFormat="1" applyFont="1" applyFill="1" applyBorder="1" applyAlignment="1">
      <alignment horizontal="left"/>
    </xf>
    <xf numFmtId="164" fontId="37" fillId="9" borderId="21" xfId="0" applyNumberFormat="1" applyFont="1" applyFill="1" applyBorder="1" applyAlignment="1" applyProtection="1">
      <alignment horizontal="center"/>
      <protection hidden="1"/>
    </xf>
    <xf numFmtId="164" fontId="37" fillId="9" borderId="22" xfId="0" applyNumberFormat="1" applyFont="1" applyFill="1" applyBorder="1" applyAlignment="1" applyProtection="1">
      <alignment horizontal="center"/>
      <protection hidden="1"/>
    </xf>
    <xf numFmtId="164" fontId="37" fillId="9" borderId="23" xfId="0" applyNumberFormat="1" applyFont="1" applyFill="1" applyBorder="1" applyAlignment="1" applyProtection="1">
      <alignment horizontal="center"/>
      <protection hidden="1"/>
    </xf>
    <xf numFmtId="14" fontId="33" fillId="10" borderId="24" xfId="0" applyNumberFormat="1" applyFont="1" applyFill="1" applyBorder="1" applyProtection="1">
      <protection locked="0"/>
    </xf>
    <xf numFmtId="0" fontId="33" fillId="10" borderId="24" xfId="0" applyNumberFormat="1" applyFont="1" applyFill="1" applyBorder="1" applyProtection="1">
      <protection locked="0"/>
    </xf>
    <xf numFmtId="166" fontId="33" fillId="10" borderId="24" xfId="0" applyNumberFormat="1" applyFont="1" applyFill="1" applyBorder="1" applyProtection="1">
      <protection locked="0"/>
    </xf>
    <xf numFmtId="0" fontId="34" fillId="11" borderId="0" xfId="0" applyFont="1" applyFill="1" applyProtection="1">
      <protection hidden="1"/>
    </xf>
    <xf numFmtId="0" fontId="3" fillId="11" borderId="0" xfId="0" applyFont="1" applyFill="1" applyProtection="1">
      <protection hidden="1"/>
    </xf>
    <xf numFmtId="0" fontId="0" fillId="11" borderId="0" xfId="0" applyFill="1" applyProtection="1">
      <protection hidden="1"/>
    </xf>
    <xf numFmtId="0" fontId="42" fillId="11" borderId="0" xfId="0" applyFont="1" applyFill="1" applyProtection="1">
      <protection hidden="1"/>
    </xf>
    <xf numFmtId="0" fontId="40" fillId="11" borderId="0" xfId="0" applyFont="1" applyFill="1" applyBorder="1" applyProtection="1">
      <protection hidden="1"/>
    </xf>
    <xf numFmtId="0" fontId="37" fillId="11" borderId="0" xfId="0" applyFont="1" applyFill="1" applyProtection="1">
      <protection hidden="1"/>
    </xf>
    <xf numFmtId="0" fontId="33" fillId="11" borderId="0" xfId="0" applyFont="1" applyFill="1" applyProtection="1">
      <protection hidden="1"/>
    </xf>
    <xf numFmtId="0" fontId="37" fillId="11" borderId="0" xfId="0" applyFont="1" applyFill="1" applyBorder="1" applyProtection="1">
      <protection hidden="1"/>
    </xf>
    <xf numFmtId="0" fontId="33" fillId="11" borderId="0" xfId="0" applyFont="1" applyFill="1" applyAlignment="1" applyProtection="1">
      <alignment wrapText="1"/>
      <protection hidden="1"/>
    </xf>
    <xf numFmtId="1" fontId="37" fillId="11" borderId="0" xfId="0" applyNumberFormat="1" applyFont="1" applyFill="1" applyBorder="1" applyAlignment="1" applyProtection="1">
      <alignment horizontal="center"/>
      <protection hidden="1"/>
    </xf>
    <xf numFmtId="0" fontId="37" fillId="11" borderId="0" xfId="0" applyFont="1" applyFill="1" applyBorder="1" applyAlignment="1" applyProtection="1">
      <alignment horizontal="center"/>
      <protection hidden="1"/>
    </xf>
    <xf numFmtId="165" fontId="37" fillId="11" borderId="0" xfId="0" applyNumberFormat="1" applyFont="1" applyFill="1" applyBorder="1" applyProtection="1">
      <protection hidden="1"/>
    </xf>
    <xf numFmtId="0" fontId="34" fillId="8" borderId="0" xfId="0" applyFont="1" applyFill="1" applyProtection="1"/>
    <xf numFmtId="0" fontId="3" fillId="8" borderId="0" xfId="0" applyFont="1" applyFill="1" applyProtection="1">
      <protection hidden="1"/>
    </xf>
    <xf numFmtId="0" fontId="13" fillId="8" borderId="0" xfId="0" applyFont="1" applyFill="1" applyProtection="1"/>
    <xf numFmtId="0" fontId="33" fillId="8" borderId="0" xfId="0" applyFont="1" applyFill="1" applyProtection="1"/>
    <xf numFmtId="0" fontId="0" fillId="8" borderId="0" xfId="0" applyFill="1" applyProtection="1">
      <protection hidden="1"/>
    </xf>
    <xf numFmtId="2" fontId="0" fillId="8" borderId="0" xfId="0" applyNumberFormat="1" applyFill="1" applyProtection="1">
      <protection hidden="1"/>
    </xf>
    <xf numFmtId="0" fontId="33" fillId="8" borderId="0" xfId="2" applyNumberFormat="1" applyFont="1" applyFill="1" applyBorder="1" applyProtection="1">
      <protection locked="0"/>
    </xf>
    <xf numFmtId="0" fontId="0" fillId="8" borderId="0" xfId="0" applyFill="1" applyAlignment="1" applyProtection="1">
      <alignment horizontal="center"/>
      <protection hidden="1"/>
    </xf>
    <xf numFmtId="0" fontId="35" fillId="12" borderId="3" xfId="0" applyFont="1" applyFill="1" applyBorder="1" applyAlignment="1" applyProtection="1">
      <alignment horizontal="center"/>
    </xf>
    <xf numFmtId="0" fontId="3" fillId="0" borderId="0" xfId="0" applyFont="1" applyAlignment="1" applyProtection="1">
      <alignment wrapText="1"/>
      <protection hidden="1"/>
    </xf>
    <xf numFmtId="0" fontId="3" fillId="0" borderId="0" xfId="0" applyFont="1" applyAlignment="1" applyProtection="1">
      <protection hidden="1"/>
    </xf>
    <xf numFmtId="0" fontId="0" fillId="0" borderId="0" xfId="0" applyFill="1"/>
    <xf numFmtId="0" fontId="25" fillId="0" borderId="25" xfId="0" applyFont="1" applyFill="1" applyBorder="1" applyAlignment="1">
      <alignment horizontal="right" vertical="top"/>
    </xf>
    <xf numFmtId="0" fontId="25" fillId="0" borderId="0" xfId="0" applyFont="1" applyFill="1" applyBorder="1" applyAlignment="1">
      <alignment horizontal="right" vertical="top"/>
    </xf>
    <xf numFmtId="0" fontId="25" fillId="0" borderId="6" xfId="0" applyFont="1" applyBorder="1" applyAlignment="1">
      <alignment horizontal="right" vertical="top"/>
    </xf>
    <xf numFmtId="14" fontId="1" fillId="0" borderId="0" xfId="0" applyNumberFormat="1" applyFont="1"/>
    <xf numFmtId="14" fontId="13" fillId="10" borderId="24" xfId="0" applyNumberFormat="1" applyFont="1" applyFill="1" applyBorder="1" applyAlignment="1" applyProtection="1">
      <alignment horizontal="right"/>
      <protection locked="0"/>
    </xf>
    <xf numFmtId="0" fontId="0" fillId="0" borderId="0" xfId="0" applyNumberFormat="1" applyProtection="1">
      <protection hidden="1"/>
    </xf>
    <xf numFmtId="0" fontId="1" fillId="0" borderId="0" xfId="0" applyFont="1" applyAlignment="1" applyProtection="1">
      <protection hidden="1"/>
    </xf>
    <xf numFmtId="0" fontId="13" fillId="10" borderId="24" xfId="0" applyNumberFormat="1" applyFont="1" applyFill="1" applyBorder="1" applyProtection="1">
      <protection locked="0"/>
    </xf>
    <xf numFmtId="0" fontId="9" fillId="0" borderId="0" xfId="0" applyFont="1" applyProtection="1">
      <protection hidden="1"/>
    </xf>
    <xf numFmtId="1" fontId="1" fillId="0" borderId="0" xfId="0" applyNumberFormat="1" applyFont="1" applyProtection="1">
      <protection hidden="1"/>
    </xf>
    <xf numFmtId="0" fontId="1" fillId="0" borderId="0" xfId="0" applyFont="1" applyAlignment="1">
      <alignment wrapText="1"/>
    </xf>
    <xf numFmtId="49" fontId="21" fillId="6" borderId="0" xfId="0" quotePrefix="1" applyNumberFormat="1" applyFont="1" applyFill="1" applyBorder="1" applyAlignment="1">
      <alignment horizontal="left" vertical="center" wrapText="1"/>
    </xf>
    <xf numFmtId="14" fontId="13" fillId="10" borderId="24" xfId="0" applyNumberFormat="1" applyFont="1" applyFill="1" applyBorder="1" applyProtection="1">
      <protection locked="0"/>
    </xf>
    <xf numFmtId="0" fontId="13" fillId="8" borderId="0" xfId="2" applyNumberFormat="1" applyFont="1" applyFill="1" applyBorder="1" applyProtection="1">
      <protection locked="0"/>
    </xf>
    <xf numFmtId="10" fontId="13" fillId="10" borderId="24" xfId="0" applyNumberFormat="1" applyFont="1" applyFill="1" applyBorder="1" applyProtection="1">
      <protection locked="0"/>
    </xf>
    <xf numFmtId="49" fontId="39" fillId="6" borderId="0" xfId="0" quotePrefix="1" applyNumberFormat="1" applyFont="1" applyFill="1" applyBorder="1" applyAlignment="1">
      <alignment horizontal="left" vertical="center" wrapText="1"/>
    </xf>
    <xf numFmtId="49" fontId="39" fillId="6" borderId="0" xfId="0" applyNumberFormat="1" applyFont="1" applyFill="1" applyBorder="1" applyAlignment="1">
      <alignment horizontal="left" vertical="center" wrapText="1"/>
    </xf>
    <xf numFmtId="0" fontId="21" fillId="6" borderId="0" xfId="0" quotePrefix="1" applyNumberFormat="1" applyFont="1" applyFill="1" applyAlignment="1" applyProtection="1">
      <alignment horizontal="left" vertical="center" wrapText="1"/>
      <protection hidden="1"/>
    </xf>
    <xf numFmtId="0" fontId="39" fillId="6" borderId="0" xfId="0" applyNumberFormat="1" applyFont="1" applyFill="1" applyAlignment="1" applyProtection="1">
      <alignment horizontal="left" vertical="center" wrapText="1"/>
      <protection hidden="1"/>
    </xf>
    <xf numFmtId="49" fontId="21" fillId="6" borderId="0" xfId="0" quotePrefix="1" applyNumberFormat="1" applyFont="1" applyFill="1" applyBorder="1" applyAlignment="1">
      <alignment horizontal="left" vertical="center" wrapText="1"/>
    </xf>
    <xf numFmtId="0" fontId="13" fillId="0" borderId="0" xfId="0" quotePrefix="1" applyFont="1" applyAlignment="1">
      <alignment horizontal="left" vertical="center" wrapText="1"/>
    </xf>
    <xf numFmtId="0" fontId="33" fillId="0" borderId="0" xfId="0" applyFont="1" applyAlignment="1">
      <alignment horizontal="left" vertical="center" wrapText="1"/>
    </xf>
    <xf numFmtId="0" fontId="37" fillId="11" borderId="0" xfId="0" applyFont="1" applyFill="1" applyAlignment="1" applyProtection="1">
      <alignment wrapText="1"/>
      <protection hidden="1"/>
    </xf>
    <xf numFmtId="0" fontId="13" fillId="0" borderId="0" xfId="0" quotePrefix="1" applyFont="1" applyAlignment="1">
      <alignment vertical="center" wrapText="1"/>
    </xf>
    <xf numFmtId="0" fontId="33" fillId="0" borderId="0" xfId="0" applyFont="1" applyAlignment="1">
      <alignment vertical="center" wrapText="1"/>
    </xf>
    <xf numFmtId="0" fontId="33" fillId="0" borderId="0" xfId="0" quotePrefix="1" applyFont="1" applyAlignment="1">
      <alignment vertical="center" wrapText="1"/>
    </xf>
    <xf numFmtId="49" fontId="39" fillId="6" borderId="0" xfId="0" applyNumberFormat="1" applyFont="1" applyFill="1" applyBorder="1" applyAlignment="1">
      <alignment horizontal="left" vertical="center" wrapText="1" indent="2"/>
    </xf>
    <xf numFmtId="0" fontId="37" fillId="11" borderId="0" xfId="0" applyFont="1" applyFill="1" applyBorder="1" applyAlignment="1" applyProtection="1">
      <alignment horizontal="center" wrapText="1"/>
      <protection hidden="1"/>
    </xf>
    <xf numFmtId="0" fontId="13" fillId="8" borderId="0" xfId="0" applyFont="1" applyFill="1" applyAlignment="1" applyProtection="1">
      <alignment horizontal="left" wrapText="1"/>
    </xf>
    <xf numFmtId="0" fontId="1" fillId="0" borderId="0" xfId="0" applyFont="1" applyAlignment="1">
      <alignment horizontal="center"/>
    </xf>
    <xf numFmtId="0" fontId="31" fillId="0" borderId="11" xfId="0" applyFont="1" applyBorder="1" applyAlignment="1">
      <alignment vertical="top"/>
    </xf>
    <xf numFmtId="0" fontId="31" fillId="0" borderId="9" xfId="0" applyFont="1" applyBorder="1" applyAlignment="1">
      <alignment vertical="top"/>
    </xf>
    <xf numFmtId="0" fontId="24" fillId="6" borderId="26" xfId="0" applyFont="1" applyFill="1" applyBorder="1" applyAlignment="1">
      <alignment horizontal="center" wrapText="1"/>
    </xf>
    <xf numFmtId="0" fontId="24" fillId="6" borderId="27" xfId="0" applyFont="1" applyFill="1" applyBorder="1" applyAlignment="1">
      <alignment horizontal="center" wrapText="1"/>
    </xf>
    <xf numFmtId="0" fontId="24" fillId="6" borderId="25" xfId="0" applyFont="1" applyFill="1" applyBorder="1" applyAlignment="1">
      <alignment horizontal="center" wrapText="1"/>
    </xf>
    <xf numFmtId="0" fontId="24" fillId="6" borderId="28" xfId="0" applyFont="1" applyFill="1" applyBorder="1" applyAlignment="1">
      <alignment horizontal="center" wrapText="1"/>
    </xf>
    <xf numFmtId="0" fontId="24" fillId="6" borderId="29" xfId="0" applyFont="1" applyFill="1" applyBorder="1" applyAlignment="1">
      <alignment horizontal="center" wrapText="1"/>
    </xf>
    <xf numFmtId="0" fontId="24" fillId="6" borderId="30" xfId="0" applyFont="1" applyFill="1" applyBorder="1" applyAlignment="1">
      <alignment horizontal="center" wrapText="1"/>
    </xf>
    <xf numFmtId="0" fontId="24" fillId="6" borderId="31" xfId="0" applyFont="1" applyFill="1" applyBorder="1" applyAlignment="1">
      <alignment horizontal="center" wrapText="1"/>
    </xf>
    <xf numFmtId="0" fontId="24" fillId="6" borderId="32" xfId="0" applyFont="1" applyFill="1" applyBorder="1" applyAlignment="1">
      <alignment horizontal="center" wrapText="1"/>
    </xf>
    <xf numFmtId="0" fontId="24" fillId="6" borderId="33" xfId="0" applyFont="1" applyFill="1" applyBorder="1" applyAlignment="1">
      <alignment wrapText="1"/>
    </xf>
    <xf numFmtId="0" fontId="24" fillId="6" borderId="34" xfId="0" applyFont="1" applyFill="1" applyBorder="1" applyAlignment="1">
      <alignment wrapText="1"/>
    </xf>
    <xf numFmtId="0" fontId="24" fillId="6" borderId="11" xfId="0" applyFont="1" applyFill="1" applyBorder="1" applyAlignment="1">
      <alignment horizontal="center" wrapText="1"/>
    </xf>
    <xf numFmtId="0" fontId="24" fillId="6" borderId="9" xfId="0" applyFont="1" applyFill="1" applyBorder="1" applyAlignment="1">
      <alignment horizontal="center" wrapText="1"/>
    </xf>
    <xf numFmtId="0" fontId="1" fillId="6" borderId="26" xfId="0" applyFont="1" applyFill="1" applyBorder="1" applyAlignment="1">
      <alignment horizontal="center" wrapText="1"/>
    </xf>
    <xf numFmtId="0" fontId="1" fillId="6" borderId="4" xfId="0" applyFont="1" applyFill="1" applyBorder="1" applyAlignment="1">
      <alignment horizontal="center" wrapText="1"/>
    </xf>
    <xf numFmtId="0" fontId="1" fillId="6" borderId="11" xfId="0" applyFont="1" applyFill="1" applyBorder="1" applyAlignment="1">
      <alignment horizontal="center" wrapText="1"/>
    </xf>
    <xf numFmtId="0" fontId="1" fillId="6" borderId="9" xfId="0" applyFont="1" applyFill="1" applyBorder="1" applyAlignment="1">
      <alignment horizontal="center" wrapText="1"/>
    </xf>
    <xf numFmtId="0" fontId="1" fillId="6" borderId="25" xfId="0" applyFont="1" applyFill="1" applyBorder="1" applyAlignment="1">
      <alignment horizontal="center" wrapText="1"/>
    </xf>
    <xf numFmtId="0" fontId="1" fillId="6" borderId="28" xfId="0" applyFont="1" applyFill="1" applyBorder="1" applyAlignment="1">
      <alignment horizontal="center" wrapText="1"/>
    </xf>
    <xf numFmtId="0" fontId="1" fillId="6" borderId="7" xfId="0" applyFont="1" applyFill="1" applyBorder="1" applyAlignment="1">
      <alignment horizontal="center" wrapText="1"/>
    </xf>
    <xf numFmtId="0" fontId="1" fillId="6" borderId="35" xfId="0" applyFont="1" applyFill="1" applyBorder="1" applyAlignment="1">
      <alignment horizontal="center" wrapText="1"/>
    </xf>
    <xf numFmtId="0" fontId="1" fillId="6" borderId="31" xfId="0" applyFont="1" applyFill="1" applyBorder="1" applyAlignment="1">
      <alignment horizontal="center" wrapText="1"/>
    </xf>
    <xf numFmtId="0" fontId="1" fillId="6" borderId="36" xfId="0" applyFont="1" applyFill="1" applyBorder="1" applyAlignment="1">
      <alignment horizontal="center" wrapText="1"/>
    </xf>
    <xf numFmtId="0" fontId="1" fillId="6" borderId="33" xfId="0" applyFont="1" applyFill="1" applyBorder="1" applyAlignment="1">
      <alignment wrapText="1"/>
    </xf>
    <xf numFmtId="0" fontId="1" fillId="6" borderId="37" xfId="0" applyFont="1" applyFill="1" applyBorder="1" applyAlignment="1">
      <alignment wrapText="1"/>
    </xf>
    <xf numFmtId="0" fontId="1" fillId="6" borderId="10" xfId="0" applyFont="1" applyFill="1" applyBorder="1" applyAlignment="1">
      <alignment horizontal="center" wrapText="1"/>
    </xf>
    <xf numFmtId="0" fontId="3" fillId="0" borderId="0" xfId="0" applyNumberFormat="1" applyFont="1" applyAlignment="1">
      <alignment horizontal="center"/>
    </xf>
    <xf numFmtId="0" fontId="3" fillId="0" borderId="0" xfId="0" applyFont="1" applyAlignment="1">
      <alignment horizontal="center"/>
    </xf>
  </cellXfs>
  <cellStyles count="4">
    <cellStyle name="Comma" xfId="1" builtinId="3"/>
    <cellStyle name="Currency" xfId="2" builtinId="4"/>
    <cellStyle name="Hyperlink" xfId="3" builtinId="8"/>
    <cellStyle name="Normal" xfId="0" builtinId="0"/>
  </cellStyles>
  <dxfs count="2">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CBCEA9"/>
      <rgbColor rgb="00B9CED0"/>
      <rgbColor rgb="00D6C5A3"/>
      <rgbColor rgb="00DAD1C7"/>
      <rgbColor rgb="00660066"/>
      <rgbColor rgb="00FF8080"/>
      <rgbColor rgb="000066CC"/>
      <rgbColor rgb="00CCCCFF"/>
      <rgbColor rgb="00A8AD70"/>
      <rgbColor rgb="008AADB0"/>
      <rgbColor rgb="00BA9E66"/>
      <rgbColor rgb="00C2B3A1"/>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xdr:col>
      <xdr:colOff>90270</xdr:colOff>
      <xdr:row>7</xdr:row>
      <xdr:rowOff>122990</xdr:rowOff>
    </xdr:from>
    <xdr:ext cx="8450029" cy="1862553"/>
    <xdr:sp macro="" textlink="">
      <xdr:nvSpPr>
        <xdr:cNvPr id="2" name="Rectangle 1"/>
        <xdr:cNvSpPr/>
      </xdr:nvSpPr>
      <xdr:spPr>
        <a:xfrm rot="20408077">
          <a:off x="1204695" y="1570790"/>
          <a:ext cx="8450029" cy="1862553"/>
        </a:xfrm>
        <a:prstGeom prst="rect">
          <a:avLst/>
        </a:prstGeom>
        <a:noFill/>
        <a:ln>
          <a:noFill/>
        </a:ln>
        <a:effectLst>
          <a:outerShdw blurRad="50800" dist="50800" dir="5400000" algn="ctr" rotWithShape="0">
            <a:srgbClr val="000000"/>
          </a:outerShdw>
        </a:effectLst>
      </xdr:spPr>
      <xdr:txBody>
        <a:bodyPr wrap="square" lIns="91440" tIns="45720" rIns="91440" bIns="45720">
          <a:noAutofit/>
        </a:bodyPr>
        <a:lstStyle/>
        <a:p>
          <a:pPr algn="ctr"/>
          <a:r>
            <a:rPr lang="en-US" sz="15000" b="0" cap="none" spc="0">
              <a:ln w="18415" cmpd="sng">
                <a:noFill/>
                <a:prstDash val="solid"/>
              </a:ln>
              <a:solidFill>
                <a:schemeClr val="tx1">
                  <a:alpha val="33000"/>
                </a:schemeClr>
              </a:solidFill>
              <a:effectLst/>
              <a:latin typeface="Arial" pitchFamily="34" charset="0"/>
              <a:cs typeface="Arial" pitchFamily="34" charset="0"/>
            </a:rPr>
            <a:t>archived</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a2\a2data\Police%20Pensions\0140-00972%20Home%20Office%20Police\Actuarial%20Factors\2011\transfers%20and%20divorce\PPS%20Non-IH%20ERFs%20v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Name val="Version control"/>
      <sheetName val="Instructions and Inputs"/>
      <sheetName val="Factor Calculation"/>
      <sheetName val="Final Factors (P&amp;LS)"/>
      <sheetName val="Final Factors (Combined)"/>
      <sheetName val="TAS M"/>
      <sheetName val="Determine C Proxy for YoU"/>
      <sheetName val="Check"/>
    </sheetNames>
    <sheetDataSet>
      <sheetData sheetId="0"/>
      <sheetData sheetId="1"/>
      <sheetData sheetId="2"/>
      <sheetData sheetId="3">
        <row r="148">
          <cell r="A148">
            <v>16</v>
          </cell>
          <cell r="J148">
            <v>0.21248252657177058</v>
          </cell>
          <cell r="K148">
            <v>0.2628886969279825</v>
          </cell>
          <cell r="L148">
            <v>0.21248252657177058</v>
          </cell>
          <cell r="M148" t="str">
            <v/>
          </cell>
          <cell r="N148" t="str">
            <v/>
          </cell>
          <cell r="O148" t="str">
            <v/>
          </cell>
          <cell r="P148">
            <v>3.4266728757428768</v>
          </cell>
          <cell r="Q148">
            <v>1.2811382796192889</v>
          </cell>
          <cell r="R148">
            <v>3.0574286081553335</v>
          </cell>
          <cell r="S148">
            <v>0.55062711078146775</v>
          </cell>
          <cell r="T148">
            <v>3.4266728757428768</v>
          </cell>
          <cell r="U148">
            <v>1.2811382796192889</v>
          </cell>
          <cell r="V148">
            <v>2.8888947829937811E-2</v>
          </cell>
          <cell r="W148" t="str">
            <v/>
          </cell>
        </row>
        <row r="149">
          <cell r="A149">
            <v>17</v>
          </cell>
          <cell r="J149">
            <v>0.21850408511104075</v>
          </cell>
          <cell r="K149">
            <v>0.27077535783582196</v>
          </cell>
          <cell r="L149">
            <v>0.21850408511104075</v>
          </cell>
          <cell r="M149" t="str">
            <v/>
          </cell>
          <cell r="N149" t="str">
            <v/>
          </cell>
          <cell r="O149" t="str">
            <v/>
          </cell>
          <cell r="P149">
            <v>3.2969071907527119</v>
          </cell>
          <cell r="Q149">
            <v>1.2811382796192889</v>
          </cell>
          <cell r="R149">
            <v>2.9416478180740389</v>
          </cell>
          <cell r="S149">
            <v>0.56131889934033119</v>
          </cell>
          <cell r="T149">
            <v>3.2969071907527123</v>
          </cell>
          <cell r="U149">
            <v>1.2811382796192889</v>
          </cell>
          <cell r="V149">
            <v>2.8649890350178481E-2</v>
          </cell>
          <cell r="W149" t="str">
            <v/>
          </cell>
        </row>
        <row r="150">
          <cell r="A150">
            <v>18</v>
          </cell>
          <cell r="J150">
            <v>0.22471465160921877</v>
          </cell>
          <cell r="K150">
            <v>0.27894252244877021</v>
          </cell>
          <cell r="L150">
            <v>0.22471465160921877</v>
          </cell>
          <cell r="M150" t="str">
            <v/>
          </cell>
          <cell r="N150" t="str">
            <v/>
          </cell>
          <cell r="O150" t="str">
            <v/>
          </cell>
          <cell r="P150">
            <v>3.1703540688944796</v>
          </cell>
          <cell r="Q150">
            <v>1.2811382796192889</v>
          </cell>
          <cell r="R150">
            <v>2.8302703359431787</v>
          </cell>
          <cell r="S150">
            <v>0.57198057016759207</v>
          </cell>
          <cell r="T150">
            <v>3.1703540688944796</v>
          </cell>
          <cell r="U150">
            <v>1.2811382796192889</v>
          </cell>
          <cell r="V150">
            <v>2.8410217171533921E-2</v>
          </cell>
          <cell r="W150" t="str">
            <v/>
          </cell>
        </row>
        <row r="151">
          <cell r="A151">
            <v>19</v>
          </cell>
          <cell r="J151">
            <v>0.23112181103798468</v>
          </cell>
          <cell r="K151">
            <v>0.287354674793391</v>
          </cell>
          <cell r="L151">
            <v>0.23112181103798468</v>
          </cell>
          <cell r="M151" t="str">
            <v/>
          </cell>
          <cell r="N151" t="str">
            <v/>
          </cell>
          <cell r="O151" t="str">
            <v/>
          </cell>
          <cell r="P151">
            <v>3.0469230745421121</v>
          </cell>
          <cell r="Q151">
            <v>1.2811382796192889</v>
          </cell>
          <cell r="R151">
            <v>2.7214741724361136</v>
          </cell>
          <cell r="S151">
            <v>0.58286856077730287</v>
          </cell>
          <cell r="T151">
            <v>3.0469230745421121</v>
          </cell>
          <cell r="U151">
            <v>1.2811382796192889</v>
          </cell>
          <cell r="V151">
            <v>2.8160844359380856E-2</v>
          </cell>
          <cell r="W151" t="str">
            <v/>
          </cell>
        </row>
        <row r="152">
          <cell r="A152">
            <v>20</v>
          </cell>
          <cell r="J152">
            <v>0.23773446684640359</v>
          </cell>
          <cell r="K152">
            <v>0.29601828431124605</v>
          </cell>
          <cell r="L152">
            <v>0.23773446684640359</v>
          </cell>
          <cell r="M152" t="str">
            <v/>
          </cell>
          <cell r="N152" t="str">
            <v/>
          </cell>
          <cell r="O152" t="str">
            <v/>
          </cell>
          <cell r="P152">
            <v>2.9265103679476367</v>
          </cell>
          <cell r="Q152">
            <v>1.2811382796192889</v>
          </cell>
          <cell r="R152">
            <v>2.6151603686640144</v>
          </cell>
          <cell r="S152">
            <v>0.59398997122088404</v>
          </cell>
          <cell r="T152">
            <v>2.9265103679476372</v>
          </cell>
          <cell r="U152">
            <v>1.2811382796192889</v>
          </cell>
          <cell r="V152">
            <v>2.7901147815604127E-2</v>
          </cell>
          <cell r="W152" t="str">
            <v/>
          </cell>
        </row>
        <row r="153">
          <cell r="A153">
            <v>21</v>
          </cell>
          <cell r="J153">
            <v>0.2445621483498083</v>
          </cell>
          <cell r="K153">
            <v>0.30494267509833889</v>
          </cell>
          <cell r="L153">
            <v>0.2445621483498083</v>
          </cell>
          <cell r="M153" t="str">
            <v/>
          </cell>
          <cell r="N153" t="str">
            <v/>
          </cell>
          <cell r="O153" t="str">
            <v/>
          </cell>
          <cell r="P153">
            <v>2.8090152432589912</v>
          </cell>
          <cell r="Q153">
            <v>1.2811382796192889</v>
          </cell>
          <cell r="R153">
            <v>2.5113085882621897</v>
          </cell>
          <cell r="S153">
            <v>0.60533996511965338</v>
          </cell>
          <cell r="T153">
            <v>2.8090152432589912</v>
          </cell>
          <cell r="U153">
            <v>1.2811382796192889</v>
          </cell>
          <cell r="V153">
            <v>2.7630973700060572E-2</v>
          </cell>
          <cell r="W153" t="str">
            <v/>
          </cell>
        </row>
        <row r="154">
          <cell r="A154">
            <v>22</v>
          </cell>
          <cell r="J154">
            <v>0.25161502489742654</v>
          </cell>
          <cell r="K154">
            <v>0.314137313334649</v>
          </cell>
          <cell r="L154">
            <v>0.25161502489742654</v>
          </cell>
          <cell r="M154" t="str">
            <v/>
          </cell>
          <cell r="N154" t="str">
            <v/>
          </cell>
          <cell r="O154" t="str">
            <v/>
          </cell>
          <cell r="P154">
            <v>2.6943407177093244</v>
          </cell>
          <cell r="Q154">
            <v>1.2811382796192889</v>
          </cell>
          <cell r="R154">
            <v>2.4098810947301619</v>
          </cell>
          <cell r="S154">
            <v>0.61691616959027651</v>
          </cell>
          <cell r="T154">
            <v>2.6943407177093244</v>
          </cell>
          <cell r="U154">
            <v>1.2811382796192889</v>
          </cell>
          <cell r="V154">
            <v>2.7350100484771364E-2</v>
          </cell>
          <cell r="W154" t="str">
            <v/>
          </cell>
        </row>
        <row r="155">
          <cell r="A155">
            <v>23</v>
          </cell>
          <cell r="J155">
            <v>0.25890396095516471</v>
          </cell>
          <cell r="K155">
            <v>0.32361250590828772</v>
          </cell>
          <cell r="L155">
            <v>0.25890396095516471</v>
          </cell>
          <cell r="M155" t="str">
            <v/>
          </cell>
          <cell r="N155" t="str">
            <v/>
          </cell>
          <cell r="O155" t="str">
            <v/>
          </cell>
          <cell r="P155">
            <v>2.5823933763072771</v>
          </cell>
          <cell r="Q155">
            <v>1.2811382796192889</v>
          </cell>
          <cell r="R155">
            <v>2.3108418456491684</v>
          </cell>
          <cell r="S155">
            <v>0.62871583316593271</v>
          </cell>
          <cell r="T155">
            <v>2.5823933763072771</v>
          </cell>
          <cell r="U155">
            <v>1.2811382796192889</v>
          </cell>
          <cell r="V155">
            <v>2.7058362305395895E-2</v>
          </cell>
          <cell r="W155" t="str">
            <v/>
          </cell>
        </row>
        <row r="156">
          <cell r="A156">
            <v>24</v>
          </cell>
          <cell r="J156">
            <v>0.26644063309946436</v>
          </cell>
          <cell r="K156">
            <v>0.33337529585614178</v>
          </cell>
          <cell r="L156">
            <v>0.26644063309946436</v>
          </cell>
          <cell r="M156" t="str">
            <v/>
          </cell>
          <cell r="N156" t="str">
            <v/>
          </cell>
          <cell r="O156" t="str">
            <v/>
          </cell>
          <cell r="P156">
            <v>2.4730824118158803</v>
          </cell>
          <cell r="Q156">
            <v>1.2811382796192889</v>
          </cell>
          <cell r="R156">
            <v>2.2140735781425742</v>
          </cell>
          <cell r="S156">
            <v>0.64074951070807529</v>
          </cell>
          <cell r="T156">
            <v>2.4730824118158798</v>
          </cell>
          <cell r="U156">
            <v>1.2811382796192889</v>
          </cell>
          <cell r="V156">
            <v>2.675493525179394E-2</v>
          </cell>
          <cell r="W156" t="str">
            <v/>
          </cell>
        </row>
        <row r="157">
          <cell r="A157">
            <v>25</v>
          </cell>
          <cell r="J157">
            <v>0.27423763848364924</v>
          </cell>
          <cell r="K157">
            <v>0.34343512678382393</v>
          </cell>
          <cell r="L157">
            <v>0.27423763848364924</v>
          </cell>
          <cell r="M157" t="str">
            <v/>
          </cell>
          <cell r="N157" t="str">
            <v/>
          </cell>
          <cell r="O157" t="str">
            <v/>
          </cell>
          <cell r="P157">
            <v>2.3663191439850659</v>
          </cell>
          <cell r="Q157">
            <v>1.2811382796192889</v>
          </cell>
          <cell r="R157">
            <v>2.1195099176144128</v>
          </cell>
          <cell r="S157">
            <v>0.65302016374426863</v>
          </cell>
          <cell r="T157">
            <v>2.3663191439850659</v>
          </cell>
          <cell r="U157">
            <v>1.2811382796192889</v>
          </cell>
          <cell r="V157">
            <v>2.6439333547175432E-2</v>
          </cell>
          <cell r="W157" t="str">
            <v/>
          </cell>
        </row>
        <row r="158">
          <cell r="A158">
            <v>26</v>
          </cell>
          <cell r="J158">
            <v>0.28230854494766483</v>
          </cell>
          <cell r="K158">
            <v>0.3538019883895645</v>
          </cell>
          <cell r="L158">
            <v>0.28230854494766483</v>
          </cell>
          <cell r="M158" t="str">
            <v/>
          </cell>
          <cell r="N158" t="str">
            <v/>
          </cell>
          <cell r="O158" t="str">
            <v/>
          </cell>
          <cell r="P158">
            <v>2.2620175405459464</v>
          </cell>
          <cell r="Q158">
            <v>1.2811382796192889</v>
          </cell>
          <cell r="R158">
            <v>2.0270871156452528</v>
          </cell>
          <cell r="S158">
            <v>0.66553062670547691</v>
          </cell>
          <cell r="T158">
            <v>2.2620175405459464</v>
          </cell>
          <cell r="U158">
            <v>1.2811382796192889</v>
          </cell>
          <cell r="V158">
            <v>2.6111070908469199E-2</v>
          </cell>
          <cell r="W158" t="str">
            <v/>
          </cell>
        </row>
        <row r="159">
          <cell r="A159">
            <v>27</v>
          </cell>
          <cell r="J159">
            <v>0.29066797282719126</v>
          </cell>
          <cell r="K159">
            <v>0.36448698972197929</v>
          </cell>
          <cell r="L159">
            <v>0.29066797282719126</v>
          </cell>
          <cell r="M159" t="str">
            <v/>
          </cell>
          <cell r="N159" t="str">
            <v/>
          </cell>
          <cell r="O159" t="str">
            <v/>
          </cell>
          <cell r="P159">
            <v>2.1600942973558488</v>
          </cell>
          <cell r="Q159">
            <v>1.2811382796192889</v>
          </cell>
          <cell r="R159">
            <v>1.9367509266644252</v>
          </cell>
          <cell r="S159">
            <v>0.67828243863848792</v>
          </cell>
          <cell r="T159">
            <v>2.1600942973558492</v>
          </cell>
          <cell r="U159">
            <v>1.2811382796192889</v>
          </cell>
          <cell r="V159">
            <v>2.5769746362635539E-2</v>
          </cell>
          <cell r="W159" t="str">
            <v/>
          </cell>
        </row>
        <row r="160">
          <cell r="A160">
            <v>28</v>
          </cell>
          <cell r="J160">
            <v>0.29933169937603954</v>
          </cell>
          <cell r="K160">
            <v>0.37550103637858195</v>
          </cell>
          <cell r="L160">
            <v>0.29933169937603954</v>
          </cell>
          <cell r="M160" t="str">
            <v/>
          </cell>
          <cell r="N160" t="str">
            <v/>
          </cell>
          <cell r="O160" t="str">
            <v/>
          </cell>
          <cell r="P160">
            <v>2.0604687341509007</v>
          </cell>
          <cell r="Q160">
            <v>1.2811382796192889</v>
          </cell>
          <cell r="R160">
            <v>1.8484350496789852</v>
          </cell>
          <cell r="S160">
            <v>0.69127942919358976</v>
          </cell>
          <cell r="T160">
            <v>2.0604687341509007</v>
          </cell>
          <cell r="U160">
            <v>1.2811382796192887</v>
          </cell>
          <cell r="V160">
            <v>2.541482224998573E-2</v>
          </cell>
          <cell r="W160" t="str">
            <v/>
          </cell>
        </row>
        <row r="161">
          <cell r="A161">
            <v>29</v>
          </cell>
          <cell r="J161">
            <v>0.30831676207349257</v>
          </cell>
          <cell r="K161">
            <v>0.38685716683552185</v>
          </cell>
          <cell r="L161">
            <v>0.30831676207349257</v>
          </cell>
          <cell r="M161" t="str">
            <v/>
          </cell>
          <cell r="N161" t="str">
            <v/>
          </cell>
          <cell r="O161" t="str">
            <v/>
          </cell>
          <cell r="P161">
            <v>1.9630628492399018</v>
          </cell>
          <cell r="Q161">
            <v>1.2811382796192889</v>
          </cell>
          <cell r="R161">
            <v>1.7620924667971036</v>
          </cell>
          <cell r="S161">
            <v>0.70452251907282526</v>
          </cell>
          <cell r="T161">
            <v>1.9630628492399018</v>
          </cell>
          <cell r="U161">
            <v>1.2811382796192889</v>
          </cell>
          <cell r="V161">
            <v>2.5045980933767999E-2</v>
          </cell>
          <cell r="W161" t="str">
            <v/>
          </cell>
        </row>
        <row r="162">
          <cell r="A162">
            <v>30</v>
          </cell>
          <cell r="J162">
            <v>0.31764155799149535</v>
          </cell>
          <cell r="K162">
            <v>0.39856913279205192</v>
          </cell>
          <cell r="L162">
            <v>0.31764155799149535</v>
          </cell>
          <cell r="M162" t="str">
            <v/>
          </cell>
          <cell r="N162" t="str">
            <v/>
          </cell>
          <cell r="O162" t="str">
            <v/>
          </cell>
          <cell r="P162">
            <v>1.8678015079002237</v>
          </cell>
          <cell r="Q162">
            <v>1.2811382796192889</v>
          </cell>
          <cell r="R162">
            <v>1.6776718703897111</v>
          </cell>
          <cell r="S162">
            <v>0.71801361131116592</v>
          </cell>
          <cell r="T162">
            <v>1.8678015079002237</v>
          </cell>
          <cell r="U162">
            <v>1.2811382796192889</v>
          </cell>
          <cell r="V162">
            <v>2.4662890257420869E-2</v>
          </cell>
          <cell r="W162" t="str">
            <v/>
          </cell>
        </row>
        <row r="163">
          <cell r="A163">
            <v>31</v>
          </cell>
          <cell r="J163">
            <v>0.32732601684583756</v>
          </cell>
          <cell r="K163">
            <v>0.41064934763392968</v>
          </cell>
          <cell r="L163">
            <v>0.32732601684583756</v>
          </cell>
          <cell r="M163" t="str">
            <v/>
          </cell>
          <cell r="N163" t="str">
            <v/>
          </cell>
          <cell r="O163" t="str">
            <v/>
          </cell>
          <cell r="P163">
            <v>1.7746119833101544</v>
          </cell>
          <cell r="Q163">
            <v>1.2811382796192889</v>
          </cell>
          <cell r="R163">
            <v>1.5950988108154922</v>
          </cell>
          <cell r="S163">
            <v>0.73175891232419821</v>
          </cell>
          <cell r="T163">
            <v>1.7746119833101544</v>
          </cell>
          <cell r="U163">
            <v>1.2811382796192889</v>
          </cell>
          <cell r="V163">
            <v>2.4264894827084944E-2</v>
          </cell>
          <cell r="W163" t="str">
            <v/>
          </cell>
        </row>
        <row r="164">
          <cell r="A164">
            <v>32</v>
          </cell>
          <cell r="J164">
            <v>0.33739179150347465</v>
          </cell>
          <cell r="K164">
            <v>0.42311139708979995</v>
          </cell>
          <cell r="L164">
            <v>0.33739179150347465</v>
          </cell>
          <cell r="M164" t="str">
            <v/>
          </cell>
          <cell r="N164" t="str">
            <v/>
          </cell>
          <cell r="O164" t="str">
            <v/>
          </cell>
          <cell r="P164">
            <v>1.6834236265125728</v>
          </cell>
          <cell r="Q164">
            <v>1.2811382796192889</v>
          </cell>
          <cell r="R164">
            <v>1.5143058931171609</v>
          </cell>
          <cell r="S164">
            <v>0.74576395400422169</v>
          </cell>
          <cell r="T164">
            <v>1.6834236265125728</v>
          </cell>
          <cell r="U164">
            <v>1.2811382796192889</v>
          </cell>
          <cell r="V164">
            <v>2.3851387114056523E-2</v>
          </cell>
          <cell r="W164" t="str">
            <v/>
          </cell>
        </row>
        <row r="165">
          <cell r="A165">
            <v>33</v>
          </cell>
          <cell r="J165">
            <v>0.34786243928115274</v>
          </cell>
          <cell r="K165">
            <v>0.43596940504698822</v>
          </cell>
          <cell r="L165">
            <v>0.34786243928115274</v>
          </cell>
          <cell r="M165" t="str">
            <v/>
          </cell>
          <cell r="N165" t="str">
            <v/>
          </cell>
          <cell r="O165" t="str">
            <v/>
          </cell>
          <cell r="P165">
            <v>1.5941678793008363</v>
          </cell>
          <cell r="Q165">
            <v>1.2811382796192889</v>
          </cell>
          <cell r="R165">
            <v>1.4352252910489465</v>
          </cell>
          <cell r="S165">
            <v>0.76003484690143919</v>
          </cell>
          <cell r="T165">
            <v>1.5941678793008363</v>
          </cell>
          <cell r="U165">
            <v>1.2811382796192889</v>
          </cell>
          <cell r="V165">
            <v>2.342170641751332E-2</v>
          </cell>
          <cell r="W165" t="str">
            <v/>
          </cell>
        </row>
        <row r="166">
          <cell r="A166">
            <v>34</v>
          </cell>
          <cell r="J166">
            <v>0.35876364875866074</v>
          </cell>
          <cell r="K166">
            <v>0.449237528219253</v>
          </cell>
          <cell r="L166">
            <v>0.35876364875866074</v>
          </cell>
          <cell r="M166" t="str">
            <v/>
          </cell>
          <cell r="N166" t="str">
            <v/>
          </cell>
          <cell r="O166" t="str">
            <v/>
          </cell>
          <cell r="P166">
            <v>1.5067781000818194</v>
          </cell>
          <cell r="Q166">
            <v>1.2811382796192889</v>
          </cell>
          <cell r="R166">
            <v>1.3577856302524429</v>
          </cell>
          <cell r="S166">
            <v>0.77457882928323074</v>
          </cell>
          <cell r="T166">
            <v>1.5067781000818194</v>
          </cell>
          <cell r="U166">
            <v>1.2811382796192889</v>
          </cell>
          <cell r="V166">
            <v>2.2975062767108999E-2</v>
          </cell>
          <cell r="W166" t="str">
            <v/>
          </cell>
        </row>
        <row r="167">
          <cell r="A167">
            <v>35</v>
          </cell>
          <cell r="J167">
            <v>0.3701234775729027</v>
          </cell>
          <cell r="K167">
            <v>0.4629317692524858</v>
          </cell>
          <cell r="L167">
            <v>0.3701234775729027</v>
          </cell>
          <cell r="M167" t="str">
            <v/>
          </cell>
          <cell r="N167" t="str">
            <v/>
          </cell>
          <cell r="O167" t="str">
            <v/>
          </cell>
          <cell r="P167">
            <v>1.4211895611559149</v>
          </cell>
          <cell r="Q167">
            <v>1.2811382796192889</v>
          </cell>
          <cell r="R167">
            <v>1.2819246317774826</v>
          </cell>
          <cell r="S167">
            <v>0.78940215020041149</v>
          </cell>
          <cell r="T167">
            <v>1.4211895611559149</v>
          </cell>
          <cell r="U167">
            <v>1.2811382796192889</v>
          </cell>
          <cell r="V167">
            <v>2.2510777049572293E-2</v>
          </cell>
          <cell r="W167" t="str">
            <v/>
          </cell>
        </row>
        <row r="168">
          <cell r="A168">
            <v>36</v>
          </cell>
          <cell r="J168">
            <v>0.3819726065402187</v>
          </cell>
          <cell r="K168">
            <v>0.47706914421561919</v>
          </cell>
          <cell r="L168">
            <v>0.3819726065402187</v>
          </cell>
          <cell r="M168" t="str">
            <v/>
          </cell>
          <cell r="N168" t="str">
            <v/>
          </cell>
          <cell r="O168" t="str">
            <v/>
          </cell>
          <cell r="P168">
            <v>1.3373395443843517</v>
          </cell>
          <cell r="Q168">
            <v>1.2811382796192889</v>
          </cell>
          <cell r="R168">
            <v>1.207580917443263</v>
          </cell>
          <cell r="S168">
            <v>0.80451144154591558</v>
          </cell>
          <cell r="T168">
            <v>1.3373395443843517</v>
          </cell>
          <cell r="U168">
            <v>1.2811382796192889</v>
          </cell>
          <cell r="V168">
            <v>2.2028154350055128E-2</v>
          </cell>
          <cell r="W168" t="str">
            <v/>
          </cell>
        </row>
        <row r="169">
          <cell r="A169">
            <v>37</v>
          </cell>
          <cell r="J169">
            <v>0.39434466267646912</v>
          </cell>
          <cell r="K169">
            <v>0.49166680422454356</v>
          </cell>
          <cell r="L169">
            <v>0.39434466267646912</v>
          </cell>
          <cell r="M169" t="str">
            <v/>
          </cell>
          <cell r="N169" t="str">
            <v/>
          </cell>
          <cell r="O169" t="str">
            <v/>
          </cell>
          <cell r="P169">
            <v>1.2551671929689405</v>
          </cell>
          <cell r="Q169">
            <v>1.2811382796192889</v>
          </cell>
          <cell r="R169">
            <v>1.1346893072036337</v>
          </cell>
          <cell r="S169">
            <v>0.81991451044774233</v>
          </cell>
          <cell r="T169">
            <v>1.2551671929689405</v>
          </cell>
          <cell r="U169">
            <v>1.2811382796192889</v>
          </cell>
          <cell r="V169">
            <v>2.1526355764820208E-2</v>
          </cell>
          <cell r="W169" t="str">
            <v/>
          </cell>
        </row>
        <row r="170">
          <cell r="A170">
            <v>38</v>
          </cell>
          <cell r="J170">
            <v>0.40727659554270712</v>
          </cell>
          <cell r="K170">
            <v>0.5067427396057268</v>
          </cell>
          <cell r="L170">
            <v>0.40727659554270712</v>
          </cell>
          <cell r="M170" t="str">
            <v/>
          </cell>
          <cell r="N170" t="str">
            <v/>
          </cell>
          <cell r="O170" t="str">
            <v/>
          </cell>
          <cell r="P170">
            <v>1.1746133585328919</v>
          </cell>
          <cell r="Q170">
            <v>1.2811382796192889</v>
          </cell>
          <cell r="R170">
            <v>1.0631854847074436</v>
          </cell>
          <cell r="S170">
            <v>0.83561958277268955</v>
          </cell>
          <cell r="T170">
            <v>1.1746133585328919</v>
          </cell>
          <cell r="U170">
            <v>1.2811382796192889</v>
          </cell>
          <cell r="V170">
            <v>2.1004479385228089E-2</v>
          </cell>
          <cell r="W170" t="str">
            <v/>
          </cell>
        </row>
        <row r="171">
          <cell r="A171">
            <v>39</v>
          </cell>
          <cell r="J171">
            <v>0.42080917042110294</v>
          </cell>
          <cell r="K171">
            <v>0.52231151321795022</v>
          </cell>
          <cell r="L171">
            <v>0.42080917042110294</v>
          </cell>
          <cell r="M171" t="str">
            <v/>
          </cell>
          <cell r="N171" t="str">
            <v/>
          </cell>
          <cell r="O171" t="str">
            <v/>
          </cell>
          <cell r="P171">
            <v>1.0956201134888057</v>
          </cell>
          <cell r="Q171">
            <v>1.2811382796192889</v>
          </cell>
          <cell r="R171">
            <v>0.99299032727883041</v>
          </cell>
          <cell r="S171">
            <v>0.85163774558961736</v>
          </cell>
          <cell r="T171">
            <v>1.0956201134888057</v>
          </cell>
          <cell r="U171">
            <v>1.2811382796192889</v>
          </cell>
          <cell r="V171">
            <v>2.046103703677904E-2</v>
          </cell>
          <cell r="W171" t="str">
            <v/>
          </cell>
        </row>
        <row r="172">
          <cell r="A172">
            <v>40</v>
          </cell>
          <cell r="J172">
            <v>0.4349875089894773</v>
          </cell>
          <cell r="K172">
            <v>0.53839056329644597</v>
          </cell>
          <cell r="L172">
            <v>0.4349875089894773</v>
          </cell>
          <cell r="M172" t="str">
            <v/>
          </cell>
          <cell r="N172" t="str">
            <v/>
          </cell>
          <cell r="O172" t="str">
            <v/>
          </cell>
          <cell r="P172">
            <v>1.0181305255689315</v>
          </cell>
          <cell r="Q172">
            <v>1.2811382796192889</v>
          </cell>
          <cell r="R172">
            <v>0.92403831835395855</v>
          </cell>
          <cell r="S172">
            <v>0.86797842532559621</v>
          </cell>
          <cell r="T172">
            <v>1.0181305255689315</v>
          </cell>
          <cell r="U172">
            <v>1.2811382796192889</v>
          </cell>
          <cell r="V172">
            <v>1.9894717841680176E-2</v>
          </cell>
          <cell r="W172" t="str">
            <v/>
          </cell>
        </row>
        <row r="173">
          <cell r="A173">
            <v>41</v>
          </cell>
          <cell r="J173">
            <v>0.44986167588463888</v>
          </cell>
          <cell r="K173">
            <v>0.55499579763890894</v>
          </cell>
          <cell r="L173">
            <v>0.44986167588463888</v>
          </cell>
          <cell r="M173" t="str">
            <v/>
          </cell>
          <cell r="N173" t="str">
            <v/>
          </cell>
          <cell r="O173" t="str">
            <v/>
          </cell>
          <cell r="P173">
            <v>0.94208869982226762</v>
          </cell>
          <cell r="Q173">
            <v>1.2811382796192889</v>
          </cell>
          <cell r="R173">
            <v>0.85626026142156064</v>
          </cell>
          <cell r="S173">
            <v>0.88465199291827679</v>
          </cell>
          <cell r="T173">
            <v>0.94208869982226762</v>
          </cell>
          <cell r="U173">
            <v>1.2811382796192889</v>
          </cell>
          <cell r="V173">
            <v>1.93038451141118E-2</v>
          </cell>
          <cell r="W173" t="str">
            <v/>
          </cell>
        </row>
        <row r="174">
          <cell r="A174">
            <v>42</v>
          </cell>
          <cell r="J174">
            <v>0.46548743030581508</v>
          </cell>
          <cell r="K174">
            <v>0.57214249240787862</v>
          </cell>
          <cell r="L174">
            <v>0.46548743030581508</v>
          </cell>
          <cell r="M174" t="str">
            <v/>
          </cell>
          <cell r="N174" t="str">
            <v/>
          </cell>
          <cell r="O174" t="str">
            <v/>
          </cell>
          <cell r="P174">
            <v>0.86743949123955544</v>
          </cell>
          <cell r="Q174">
            <v>1.2811382796192889</v>
          </cell>
          <cell r="R174">
            <v>0.78958873013937958</v>
          </cell>
          <cell r="S174">
            <v>0.90166883124289676</v>
          </cell>
          <cell r="T174">
            <v>0.86743949123955544</v>
          </cell>
          <cell r="U174">
            <v>1.2811382796192889</v>
          </cell>
          <cell r="V174">
            <v>1.868647777662414E-2</v>
          </cell>
          <cell r="W174" t="str">
            <v/>
          </cell>
        </row>
        <row r="175">
          <cell r="A175">
            <v>43</v>
          </cell>
          <cell r="J175">
            <v>0.48192717839307897</v>
          </cell>
          <cell r="K175">
            <v>0.58984007712743736</v>
          </cell>
          <cell r="L175">
            <v>0.48192717839307897</v>
          </cell>
          <cell r="M175" t="str">
            <v/>
          </cell>
          <cell r="N175" t="str">
            <v/>
          </cell>
          <cell r="O175" t="str">
            <v/>
          </cell>
          <cell r="P175">
            <v>0.79412796549195563</v>
          </cell>
          <cell r="Q175">
            <v>1.2811382796192889</v>
          </cell>
          <cell r="R175">
            <v>0.72394812619005511</v>
          </cell>
          <cell r="S175">
            <v>0.91904041211468024</v>
          </cell>
          <cell r="T175">
            <v>0.79412796549195586</v>
          </cell>
          <cell r="U175">
            <v>1.2811382796192889</v>
          </cell>
          <cell r="V175">
            <v>1.8039821440767986E-2</v>
          </cell>
          <cell r="W175" t="str">
            <v/>
          </cell>
        </row>
        <row r="176">
          <cell r="A176">
            <v>44</v>
          </cell>
          <cell r="J176">
            <v>0.49925081131688009</v>
          </cell>
          <cell r="K176">
            <v>0.60811376552308372</v>
          </cell>
          <cell r="L176">
            <v>0.49925081131688009</v>
          </cell>
          <cell r="M176" t="str">
            <v/>
          </cell>
          <cell r="N176" t="str">
            <v/>
          </cell>
          <cell r="O176" t="str">
            <v/>
          </cell>
          <cell r="P176">
            <v>0.72210013487391755</v>
          </cell>
          <cell r="Q176">
            <v>1.2811382796192889</v>
          </cell>
          <cell r="R176">
            <v>0.65930145751525482</v>
          </cell>
          <cell r="S176">
            <v>0.93677359883892253</v>
          </cell>
          <cell r="T176">
            <v>0.72210013487391755</v>
          </cell>
          <cell r="U176">
            <v>1.2811382796192889</v>
          </cell>
          <cell r="V176">
            <v>1.7362631599651568E-2</v>
          </cell>
          <cell r="W176" t="str">
            <v/>
          </cell>
        </row>
        <row r="177">
          <cell r="A177">
            <v>45</v>
          </cell>
          <cell r="J177">
            <v>0.51753676724026898</v>
          </cell>
          <cell r="K177">
            <v>0.62697747752162947</v>
          </cell>
          <cell r="L177">
            <v>0.51753676724026898</v>
          </cell>
          <cell r="M177" t="str">
            <v/>
          </cell>
          <cell r="N177" t="str">
            <v/>
          </cell>
          <cell r="O177" t="str">
            <v/>
          </cell>
          <cell r="P177">
            <v>0.65130326405051953</v>
          </cell>
          <cell r="Q177">
            <v>1.2811382796192889</v>
          </cell>
          <cell r="R177">
            <v>0.59558861053451384</v>
          </cell>
          <cell r="S177">
            <v>0.95487813032834723</v>
          </cell>
          <cell r="T177">
            <v>0.65130326405051953</v>
          </cell>
          <cell r="U177">
            <v>1.2811382796192889</v>
          </cell>
          <cell r="V177">
            <v>1.6652169770678297E-2</v>
          </cell>
          <cell r="W177" t="str">
            <v/>
          </cell>
        </row>
        <row r="178">
          <cell r="A178">
            <v>46</v>
          </cell>
          <cell r="J178">
            <v>0.53687368714129136</v>
          </cell>
          <cell r="K178">
            <v>0.64644135524856927</v>
          </cell>
          <cell r="L178">
            <v>0.53687368714129136</v>
          </cell>
          <cell r="M178" t="str">
            <v/>
          </cell>
          <cell r="N178" t="str">
            <v/>
          </cell>
          <cell r="O178" t="str">
            <v/>
          </cell>
          <cell r="P178">
            <v>0.5816847201031109</v>
          </cell>
          <cell r="Q178">
            <v>1.2811382796192889</v>
          </cell>
          <cell r="R178">
            <v>0.53274982710061369</v>
          </cell>
          <cell r="S178">
            <v>0.97336329589325943</v>
          </cell>
          <cell r="T178">
            <v>0.5816847201031109</v>
          </cell>
          <cell r="U178">
            <v>1.2811382796192889</v>
          </cell>
          <cell r="V178">
            <v>1.5905046341599498E-2</v>
          </cell>
          <cell r="W178" t="str">
            <v/>
          </cell>
        </row>
        <row r="179">
          <cell r="A179">
            <v>47</v>
          </cell>
          <cell r="J179">
            <v>0.55736213244631116</v>
          </cell>
          <cell r="K179">
            <v>0.66651754807433916</v>
          </cell>
          <cell r="L179">
            <v>0.55736213244631116</v>
          </cell>
          <cell r="M179" t="str">
            <v/>
          </cell>
          <cell r="N179" t="str">
            <v/>
          </cell>
          <cell r="O179" t="str">
            <v/>
          </cell>
          <cell r="P179">
            <v>0.51319194363812382</v>
          </cell>
          <cell r="Q179">
            <v>1.2811382796192889</v>
          </cell>
          <cell r="R179">
            <v>0.47073501972267051</v>
          </cell>
          <cell r="S179">
            <v>0.99223705234924631</v>
          </cell>
          <cell r="T179">
            <v>0.51319194363812382</v>
          </cell>
          <cell r="U179">
            <v>1.2811382796192889</v>
          </cell>
          <cell r="V179">
            <v>1.5117822108471827E-2</v>
          </cell>
          <cell r="W179" t="str">
            <v/>
          </cell>
        </row>
        <row r="180">
          <cell r="A180">
            <v>48</v>
          </cell>
          <cell r="J180">
            <v>0.57911631360284266</v>
          </cell>
          <cell r="K180">
            <v>0.68723226102600887</v>
          </cell>
          <cell r="L180">
            <v>0.57911631360284266</v>
          </cell>
          <cell r="M180" t="str">
            <v/>
          </cell>
          <cell r="N180" t="str">
            <v/>
          </cell>
          <cell r="O180" t="str">
            <v/>
          </cell>
          <cell r="P180">
            <v>0.44577345244594707</v>
          </cell>
          <cell r="Q180">
            <v>1.2811382796192889</v>
          </cell>
          <cell r="R180">
            <v>0.40951192805987219</v>
          </cell>
          <cell r="S180">
            <v>1.0115065707825837</v>
          </cell>
          <cell r="T180">
            <v>0.44577345244594713</v>
          </cell>
          <cell r="U180">
            <v>1.2811382796192889</v>
          </cell>
          <cell r="V180">
            <v>1.4288193128141075E-2</v>
          </cell>
          <cell r="W180" t="str">
            <v/>
          </cell>
        </row>
        <row r="181">
          <cell r="A181">
            <v>49</v>
          </cell>
          <cell r="J181">
            <v>0.60226647187321358</v>
          </cell>
          <cell r="K181">
            <v>0.708597602916751</v>
          </cell>
          <cell r="L181">
            <v>0.60226647187321358</v>
          </cell>
          <cell r="M181" t="str">
            <v/>
          </cell>
          <cell r="N181" t="str">
            <v/>
          </cell>
          <cell r="O181" t="str">
            <v/>
          </cell>
          <cell r="P181">
            <v>0.3793788093557301</v>
          </cell>
          <cell r="Q181">
            <v>1.2811382796192889</v>
          </cell>
          <cell r="R181">
            <v>0.34903426571282781</v>
          </cell>
          <cell r="S181">
            <v>1.0311792930098145</v>
          </cell>
          <cell r="T181">
            <v>0.3793788093557301</v>
          </cell>
          <cell r="U181">
            <v>1.2811382796192889</v>
          </cell>
          <cell r="V181">
            <v>1.3412053340309328E-2</v>
          </cell>
          <cell r="W181" t="str">
            <v/>
          </cell>
        </row>
        <row r="182">
          <cell r="A182">
            <v>50</v>
          </cell>
          <cell r="J182">
            <v>0.62696135347206494</v>
          </cell>
          <cell r="K182">
            <v>0.73066421194615061</v>
          </cell>
          <cell r="L182">
            <v>0.62696135347206494</v>
          </cell>
          <cell r="M182" t="str">
            <v/>
          </cell>
          <cell r="N182" t="str">
            <v/>
          </cell>
          <cell r="O182" t="str">
            <v/>
          </cell>
          <cell r="P182">
            <v>0.31395968254739953</v>
          </cell>
          <cell r="Q182">
            <v>1.2811382796192889</v>
          </cell>
          <cell r="R182">
            <v>0.28928302197261407</v>
          </cell>
          <cell r="S182">
            <v>1.0512648109823906</v>
          </cell>
          <cell r="T182">
            <v>0.31395968254739953</v>
          </cell>
          <cell r="U182">
            <v>1.2811382796192889</v>
          </cell>
          <cell r="V182">
            <v>1.2488718825808284E-2</v>
          </cell>
          <cell r="W182" t="str">
            <v/>
          </cell>
        </row>
        <row r="183">
          <cell r="A183">
            <v>51</v>
          </cell>
          <cell r="J183">
            <v>0.65337105736153889</v>
          </cell>
          <cell r="K183">
            <v>0.75347376784472442</v>
          </cell>
          <cell r="L183">
            <v>0.65337105736153889</v>
          </cell>
          <cell r="M183" t="str">
            <v/>
          </cell>
          <cell r="N183" t="str">
            <v/>
          </cell>
          <cell r="O183" t="str">
            <v/>
          </cell>
          <cell r="P183">
            <v>0.24947103111792185</v>
          </cell>
          <cell r="Q183">
            <v>1.2811382796192889</v>
          </cell>
          <cell r="R183">
            <v>0.23022202714714987</v>
          </cell>
          <cell r="S183">
            <v>1.0717745887172581</v>
          </cell>
          <cell r="T183">
            <v>0.2494710311179219</v>
          </cell>
          <cell r="U183">
            <v>1.2811382796192889</v>
          </cell>
          <cell r="V183">
            <v>1.1516131532760232E-2</v>
          </cell>
          <cell r="W183" t="str">
            <v/>
          </cell>
        </row>
        <row r="184">
          <cell r="A184">
            <v>52</v>
          </cell>
          <cell r="J184">
            <v>0.68169128352785191</v>
          </cell>
          <cell r="K184">
            <v>0.77707344992532645</v>
          </cell>
          <cell r="L184">
            <v>0.68169128352785191</v>
          </cell>
          <cell r="M184" t="str">
            <v/>
          </cell>
          <cell r="N184" t="str">
            <v/>
          </cell>
          <cell r="O184" t="str">
            <v/>
          </cell>
          <cell r="P184">
            <v>0.18587031495957881</v>
          </cell>
          <cell r="Q184">
            <v>1.2811382796192889</v>
          </cell>
          <cell r="R184">
            <v>0.17181099145842613</v>
          </cell>
          <cell r="S184">
            <v>1.0927222511946029</v>
          </cell>
          <cell r="T184">
            <v>0.18587031495957884</v>
          </cell>
          <cell r="U184">
            <v>1.2811382796192889</v>
          </cell>
          <cell r="V184">
            <v>1.0492239173124415E-2</v>
          </cell>
          <cell r="W184" t="str">
            <v/>
          </cell>
        </row>
        <row r="185">
          <cell r="A185">
            <v>53</v>
          </cell>
          <cell r="J185">
            <v>0.71214852569270404</v>
          </cell>
          <cell r="K185">
            <v>0.80150349505136875</v>
          </cell>
          <cell r="L185">
            <v>0.71214852569270404</v>
          </cell>
          <cell r="M185" t="str">
            <v/>
          </cell>
          <cell r="N185" t="str">
            <v/>
          </cell>
          <cell r="O185" t="str">
            <v/>
          </cell>
          <cell r="P185">
            <v>0.1231169779399801</v>
          </cell>
          <cell r="Q185">
            <v>1.2811382796192889</v>
          </cell>
          <cell r="R185">
            <v>0.11400240961173098</v>
          </cell>
          <cell r="S185">
            <v>1.1141216832991971</v>
          </cell>
          <cell r="T185">
            <v>0.12311697793998011</v>
          </cell>
          <cell r="U185">
            <v>1.2811382796192889</v>
          </cell>
          <cell r="V185">
            <v>9.4137772381596985E-3</v>
          </cell>
          <cell r="W185" t="str">
            <v/>
          </cell>
        </row>
        <row r="186">
          <cell r="A186">
            <v>54</v>
          </cell>
          <cell r="J186">
            <v>0.74500630898501052</v>
          </cell>
          <cell r="K186">
            <v>0.82682224320723774</v>
          </cell>
          <cell r="L186">
            <v>0.74500630898501052</v>
          </cell>
          <cell r="M186" t="str">
            <v/>
          </cell>
          <cell r="N186" t="str">
            <v/>
          </cell>
          <cell r="O186" t="str">
            <v/>
          </cell>
          <cell r="P186">
            <v>6.1172455900733204E-2</v>
          </cell>
          <cell r="Q186">
            <v>1.2811382796192889</v>
          </cell>
          <cell r="R186">
            <v>5.674951664531383E-2</v>
          </cell>
          <cell r="S186">
            <v>1.1359905979435265</v>
          </cell>
          <cell r="T186">
            <v>6.1172455900733204E-2</v>
          </cell>
          <cell r="U186">
            <v>1.2811382796192889</v>
          </cell>
          <cell r="V186">
            <v>8.2785606514394153E-3</v>
          </cell>
          <cell r="W186" t="str">
            <v/>
          </cell>
        </row>
        <row r="187">
          <cell r="A187">
            <v>55</v>
          </cell>
          <cell r="J187">
            <v>0.78057311889825931</v>
          </cell>
          <cell r="K187">
            <v>0.85307539563095203</v>
          </cell>
          <cell r="L187">
            <v>0.78057311889825931</v>
          </cell>
          <cell r="M187" t="str">
            <v/>
          </cell>
          <cell r="N187" t="str">
            <v/>
          </cell>
          <cell r="O187" t="str">
            <v/>
          </cell>
          <cell r="P187" t="str">
            <v/>
          </cell>
          <cell r="Q187" t="str">
            <v/>
          </cell>
          <cell r="R187">
            <v>0</v>
          </cell>
          <cell r="S187">
            <v>1.1583453675902111</v>
          </cell>
          <cell r="T187" t="str">
            <v/>
          </cell>
          <cell r="U187">
            <v>1.2811382796192889</v>
          </cell>
          <cell r="V187">
            <v>7.0825844232639129E-3</v>
          </cell>
          <cell r="W187" t="str">
            <v/>
          </cell>
        </row>
        <row r="188">
          <cell r="A188">
            <v>56</v>
          </cell>
          <cell r="J188">
            <v>0.81881716010381</v>
          </cell>
          <cell r="K188">
            <v>0.88030730898619747</v>
          </cell>
          <cell r="L188">
            <v>0.81881716010381</v>
          </cell>
          <cell r="M188" t="str">
            <v/>
          </cell>
          <cell r="N188" t="str">
            <v/>
          </cell>
          <cell r="O188" t="str">
            <v/>
          </cell>
          <cell r="P188" t="str">
            <v/>
          </cell>
          <cell r="Q188" t="str">
            <v/>
          </cell>
          <cell r="R188" t="str">
            <v/>
          </cell>
          <cell r="S188" t="str">
            <v/>
          </cell>
          <cell r="T188" t="str">
            <v/>
          </cell>
          <cell r="U188" t="str">
            <v/>
          </cell>
          <cell r="V188">
            <v>5.821005876534671E-3</v>
          </cell>
          <cell r="W188" t="str">
            <v/>
          </cell>
        </row>
        <row r="189">
          <cell r="A189">
            <v>57</v>
          </cell>
          <cell r="J189">
            <v>0.85962943874710185</v>
          </cell>
          <cell r="K189">
            <v>0.90856429583928477</v>
          </cell>
          <cell r="L189">
            <v>0.85962943874710185</v>
          </cell>
          <cell r="M189" t="str">
            <v/>
          </cell>
          <cell r="N189" t="str">
            <v/>
          </cell>
          <cell r="O189" t="str">
            <v/>
          </cell>
          <cell r="P189" t="str">
            <v/>
          </cell>
          <cell r="Q189" t="str">
            <v/>
          </cell>
          <cell r="R189" t="str">
            <v/>
          </cell>
          <cell r="S189" t="str">
            <v/>
          </cell>
          <cell r="T189" t="str">
            <v/>
          </cell>
          <cell r="U189" t="str">
            <v/>
          </cell>
          <cell r="V189">
            <v>4.4883667445937024E-3</v>
          </cell>
          <cell r="W189" t="str">
            <v/>
          </cell>
        </row>
        <row r="190">
          <cell r="A190">
            <v>58</v>
          </cell>
          <cell r="J190">
            <v>0.9032473682430191</v>
          </cell>
          <cell r="K190">
            <v>0.9378967731709662</v>
          </cell>
          <cell r="L190">
            <v>0.9032473682430191</v>
          </cell>
          <cell r="M190" t="str">
            <v/>
          </cell>
          <cell r="N190" t="str">
            <v/>
          </cell>
          <cell r="O190" t="str">
            <v/>
          </cell>
          <cell r="P190" t="str">
            <v/>
          </cell>
          <cell r="Q190" t="str">
            <v/>
          </cell>
          <cell r="R190" t="str">
            <v/>
          </cell>
          <cell r="S190" t="str">
            <v/>
          </cell>
          <cell r="T190" t="str">
            <v/>
          </cell>
          <cell r="U190" t="str">
            <v/>
          </cell>
          <cell r="V190">
            <v>3.0786815963995493E-3</v>
          </cell>
          <cell r="W190" t="str">
            <v/>
          </cell>
        </row>
        <row r="191">
          <cell r="A191">
            <v>59</v>
          </cell>
          <cell r="J191">
            <v>0.94993744405648828</v>
          </cell>
          <cell r="K191">
            <v>0.96835905991430382</v>
          </cell>
          <cell r="L191">
            <v>0.94993744405648828</v>
          </cell>
          <cell r="M191" t="str">
            <v/>
          </cell>
          <cell r="N191" t="str">
            <v/>
          </cell>
          <cell r="O191" t="str">
            <v/>
          </cell>
          <cell r="P191" t="str">
            <v/>
          </cell>
          <cell r="Q191" t="str">
            <v/>
          </cell>
          <cell r="R191" t="str">
            <v/>
          </cell>
          <cell r="S191" t="str">
            <v/>
          </cell>
          <cell r="T191" t="str">
            <v/>
          </cell>
          <cell r="U191" t="str">
            <v/>
          </cell>
          <cell r="V191">
            <v>1.5853058302360474E-3</v>
          </cell>
          <cell r="W191" t="str">
            <v/>
          </cell>
        </row>
        <row r="192">
          <cell r="A192">
            <v>60</v>
          </cell>
          <cell r="J192">
            <v>1</v>
          </cell>
          <cell r="K192">
            <v>1</v>
          </cell>
          <cell r="L192">
            <v>1</v>
          </cell>
          <cell r="M192">
            <v>1</v>
          </cell>
          <cell r="N192">
            <v>1</v>
          </cell>
          <cell r="O192">
            <v>1</v>
          </cell>
          <cell r="P192" t="str">
            <v/>
          </cell>
          <cell r="Q192" t="str">
            <v/>
          </cell>
          <cell r="R192" t="str">
            <v/>
          </cell>
          <cell r="S192" t="str">
            <v/>
          </cell>
          <cell r="T192" t="str">
            <v/>
          </cell>
          <cell r="U192" t="str">
            <v/>
          </cell>
          <cell r="V192">
            <v>0</v>
          </cell>
          <cell r="W192" t="str">
            <v/>
          </cell>
        </row>
        <row r="193">
          <cell r="A193">
            <v>61</v>
          </cell>
          <cell r="J193" t="str">
            <v/>
          </cell>
          <cell r="K193" t="str">
            <v/>
          </cell>
          <cell r="L193" t="str">
            <v/>
          </cell>
          <cell r="M193">
            <v>1.0537744705877468</v>
          </cell>
          <cell r="N193">
            <v>1.0328896101716685</v>
          </cell>
          <cell r="O193">
            <v>1.0537744705877468</v>
          </cell>
          <cell r="P193" t="str">
            <v/>
          </cell>
          <cell r="Q193" t="str">
            <v/>
          </cell>
          <cell r="R193" t="str">
            <v/>
          </cell>
          <cell r="S193" t="str">
            <v/>
          </cell>
          <cell r="T193" t="str">
            <v/>
          </cell>
          <cell r="U193" t="str">
            <v/>
          </cell>
          <cell r="V193" t="str">
            <v/>
          </cell>
          <cell r="W193">
            <v>2.7409738156285407E-3</v>
          </cell>
        </row>
        <row r="194">
          <cell r="A194">
            <v>62</v>
          </cell>
          <cell r="J194" t="str">
            <v/>
          </cell>
          <cell r="K194" t="str">
            <v/>
          </cell>
          <cell r="L194" t="str">
            <v/>
          </cell>
          <cell r="M194">
            <v>1.1116450444182586</v>
          </cell>
          <cell r="N194">
            <v>1.0671137676522271</v>
          </cell>
          <cell r="O194">
            <v>1.1116450444182586</v>
          </cell>
          <cell r="P194" t="str">
            <v/>
          </cell>
          <cell r="Q194" t="str">
            <v/>
          </cell>
          <cell r="R194" t="str">
            <v/>
          </cell>
          <cell r="S194" t="str">
            <v/>
          </cell>
          <cell r="T194" t="str">
            <v/>
          </cell>
          <cell r="U194" t="str">
            <v/>
          </cell>
          <cell r="V194" t="str">
            <v/>
          </cell>
          <cell r="W194">
            <v>5.6776404771954831E-3</v>
          </cell>
        </row>
        <row r="195">
          <cell r="A195">
            <v>63</v>
          </cell>
          <cell r="J195" t="str">
            <v/>
          </cell>
          <cell r="K195" t="str">
            <v/>
          </cell>
          <cell r="L195" t="str">
            <v/>
          </cell>
          <cell r="M195">
            <v>1.1740474318128369</v>
          </cell>
          <cell r="N195">
            <v>1.102778465941765</v>
          </cell>
          <cell r="O195">
            <v>1.1740474318128369</v>
          </cell>
          <cell r="P195" t="str">
            <v/>
          </cell>
          <cell r="Q195" t="str">
            <v/>
          </cell>
          <cell r="R195" t="str">
            <v/>
          </cell>
          <cell r="S195" t="str">
            <v/>
          </cell>
          <cell r="T195" t="str">
            <v/>
          </cell>
          <cell r="U195" t="str">
            <v/>
          </cell>
          <cell r="V195" t="str">
            <v/>
          </cell>
          <cell r="W195">
            <v>8.828568830968414E-3</v>
          </cell>
        </row>
        <row r="196">
          <cell r="A196">
            <v>64</v>
          </cell>
          <cell r="J196" t="str">
            <v/>
          </cell>
          <cell r="K196" t="str">
            <v/>
          </cell>
          <cell r="L196" t="str">
            <v/>
          </cell>
          <cell r="M196">
            <v>1.2414769461130324</v>
          </cell>
          <cell r="N196">
            <v>1.1400058221026954</v>
          </cell>
          <cell r="O196">
            <v>1.2414769461130324</v>
          </cell>
          <cell r="P196" t="str">
            <v/>
          </cell>
          <cell r="Q196" t="str">
            <v/>
          </cell>
          <cell r="R196" t="str">
            <v/>
          </cell>
          <cell r="S196" t="str">
            <v/>
          </cell>
          <cell r="T196" t="str">
            <v/>
          </cell>
          <cell r="U196" t="str">
            <v/>
          </cell>
          <cell r="V196" t="str">
            <v/>
          </cell>
          <cell r="W196">
            <v>1.2214539358085769E-2</v>
          </cell>
        </row>
        <row r="197">
          <cell r="A197">
            <v>65</v>
          </cell>
          <cell r="J197" t="str">
            <v/>
          </cell>
          <cell r="K197" t="str">
            <v/>
          </cell>
          <cell r="L197" t="str">
            <v/>
          </cell>
          <cell r="M197">
            <v>1.3144972912013604</v>
          </cell>
          <cell r="N197">
            <v>1.1789668890793226</v>
          </cell>
          <cell r="O197">
            <v>1.3144972912013604</v>
          </cell>
          <cell r="P197" t="str">
            <v/>
          </cell>
          <cell r="Q197" t="str">
            <v/>
          </cell>
          <cell r="R197" t="str">
            <v/>
          </cell>
          <cell r="S197" t="str">
            <v/>
          </cell>
          <cell r="T197" t="str">
            <v/>
          </cell>
          <cell r="U197" t="str">
            <v/>
          </cell>
          <cell r="V197" t="str">
            <v/>
          </cell>
          <cell r="W197">
            <v>1.5857298384948586E-2</v>
          </cell>
        </row>
        <row r="198">
          <cell r="A198">
            <v>66</v>
          </cell>
          <cell r="J198" t="str">
            <v/>
          </cell>
          <cell r="K198" t="str">
            <v/>
          </cell>
          <cell r="L198" t="str">
            <v/>
          </cell>
          <cell r="M198">
            <v>1.3937522056842737</v>
          </cell>
          <cell r="N198">
            <v>1.2198122715477786</v>
          </cell>
          <cell r="O198">
            <v>1.3937522056842737</v>
          </cell>
          <cell r="P198" t="str">
            <v/>
          </cell>
          <cell r="Q198" t="str">
            <v/>
          </cell>
          <cell r="R198" t="str">
            <v/>
          </cell>
          <cell r="S198" t="str">
            <v/>
          </cell>
          <cell r="T198" t="str">
            <v/>
          </cell>
          <cell r="U198" t="str">
            <v/>
          </cell>
          <cell r="V198" t="str">
            <v/>
          </cell>
          <cell r="W198">
            <v>1.9783582682075234E-2</v>
          </cell>
        </row>
        <row r="199">
          <cell r="A199">
            <v>67</v>
          </cell>
          <cell r="J199" t="str">
            <v/>
          </cell>
          <cell r="K199" t="str">
            <v/>
          </cell>
          <cell r="L199" t="str">
            <v/>
          </cell>
          <cell r="M199">
            <v>1.4799810125838198</v>
          </cell>
          <cell r="N199">
            <v>1.2627078063967736</v>
          </cell>
          <cell r="O199">
            <v>1.4799810125838198</v>
          </cell>
          <cell r="P199" t="str">
            <v/>
          </cell>
          <cell r="Q199" t="str">
            <v/>
          </cell>
          <cell r="R199" t="str">
            <v/>
          </cell>
          <cell r="S199" t="str">
            <v/>
          </cell>
          <cell r="T199" t="str">
            <v/>
          </cell>
          <cell r="U199" t="str">
            <v/>
          </cell>
          <cell r="V199" t="str">
            <v/>
          </cell>
          <cell r="W199">
            <v>2.4024021051878251E-2</v>
          </cell>
        </row>
        <row r="200">
          <cell r="A200">
            <v>68</v>
          </cell>
          <cell r="J200" t="str">
            <v/>
          </cell>
          <cell r="K200" t="str">
            <v/>
          </cell>
          <cell r="L200" t="str">
            <v/>
          </cell>
          <cell r="M200">
            <v>1.5740360728870433</v>
          </cell>
          <cell r="N200">
            <v>1.307845284656636</v>
          </cell>
          <cell r="O200">
            <v>1.5740360728870433</v>
          </cell>
          <cell r="P200" t="str">
            <v/>
          </cell>
          <cell r="Q200" t="str">
            <v/>
          </cell>
          <cell r="R200" t="str">
            <v/>
          </cell>
          <cell r="S200" t="str">
            <v/>
          </cell>
          <cell r="T200" t="str">
            <v/>
          </cell>
          <cell r="U200" t="str">
            <v/>
          </cell>
          <cell r="V200" t="str">
            <v/>
          </cell>
          <cell r="W200">
            <v>2.8613431810081413E-2</v>
          </cell>
        </row>
        <row r="201">
          <cell r="A201">
            <v>69</v>
          </cell>
          <cell r="J201" t="str">
            <v/>
          </cell>
          <cell r="K201" t="str">
            <v/>
          </cell>
          <cell r="L201" t="str">
            <v/>
          </cell>
          <cell r="M201">
            <v>1.6769049754888772</v>
          </cell>
          <cell r="N201">
            <v>1.355415786844161</v>
          </cell>
          <cell r="O201">
            <v>1.6769049754888772</v>
          </cell>
          <cell r="P201" t="str">
            <v/>
          </cell>
          <cell r="Q201" t="str">
            <v/>
          </cell>
          <cell r="R201" t="str">
            <v/>
          </cell>
          <cell r="S201" t="str">
            <v/>
          </cell>
          <cell r="T201" t="str">
            <v/>
          </cell>
          <cell r="U201" t="str">
            <v/>
          </cell>
          <cell r="V201" t="str">
            <v/>
          </cell>
          <cell r="W201">
            <v>3.3593128890965489E-2</v>
          </cell>
        </row>
        <row r="202">
          <cell r="A202">
            <v>70</v>
          </cell>
          <cell r="J202" t="str">
            <v/>
          </cell>
          <cell r="K202" t="str">
            <v/>
          </cell>
          <cell r="L202" t="str">
            <v/>
          </cell>
          <cell r="M202">
            <v>1.7897360040898107</v>
          </cell>
          <cell r="N202">
            <v>1.4056914734446522</v>
          </cell>
          <cell r="O202">
            <v>1.7897360040898107</v>
          </cell>
          <cell r="P202" t="str">
            <v/>
          </cell>
          <cell r="Q202" t="str">
            <v/>
          </cell>
          <cell r="R202" t="str">
            <v/>
          </cell>
          <cell r="S202" t="str">
            <v/>
          </cell>
          <cell r="T202" t="str">
            <v/>
          </cell>
          <cell r="U202" t="str">
            <v/>
          </cell>
          <cell r="V202" t="str">
            <v/>
          </cell>
          <cell r="W202">
            <v>3.9008095933786395E-2</v>
          </cell>
        </row>
        <row r="203">
          <cell r="A203">
            <v>71</v>
          </cell>
          <cell r="J203" t="str">
            <v/>
          </cell>
          <cell r="K203" t="str">
            <v/>
          </cell>
          <cell r="L203" t="str">
            <v/>
          </cell>
          <cell r="M203">
            <v>1.9138708799878179</v>
          </cell>
          <cell r="N203">
            <v>1.4589126963673533</v>
          </cell>
          <cell r="O203">
            <v>1.9138708799878179</v>
          </cell>
          <cell r="P203" t="str">
            <v/>
          </cell>
          <cell r="Q203" t="str">
            <v/>
          </cell>
          <cell r="R203" t="str">
            <v/>
          </cell>
          <cell r="S203" t="str">
            <v/>
          </cell>
          <cell r="T203" t="str">
            <v/>
          </cell>
          <cell r="U203" t="str">
            <v/>
          </cell>
          <cell r="V203" t="str">
            <v/>
          </cell>
          <cell r="W203">
            <v>4.4913818416501501E-2</v>
          </cell>
        </row>
        <row r="204">
          <cell r="A204">
            <v>72</v>
          </cell>
          <cell r="J204" t="str">
            <v/>
          </cell>
          <cell r="K204" t="str">
            <v/>
          </cell>
          <cell r="L204" t="str">
            <v/>
          </cell>
          <cell r="M204">
            <v>2.0508836752169186</v>
          </cell>
          <cell r="N204">
            <v>1.5154587949032876</v>
          </cell>
          <cell r="O204">
            <v>2.0508836752169186</v>
          </cell>
          <cell r="P204" t="str">
            <v/>
          </cell>
          <cell r="Q204" t="str">
            <v/>
          </cell>
          <cell r="R204" t="str">
            <v/>
          </cell>
          <cell r="S204" t="str">
            <v/>
          </cell>
          <cell r="T204" t="str">
            <v/>
          </cell>
          <cell r="U204" t="str">
            <v/>
          </cell>
          <cell r="V204" t="str">
            <v/>
          </cell>
          <cell r="W204">
            <v>5.1369883717947311E-2</v>
          </cell>
        </row>
        <row r="205">
          <cell r="A205">
            <v>73</v>
          </cell>
          <cell r="J205" t="str">
            <v/>
          </cell>
          <cell r="K205" t="str">
            <v/>
          </cell>
          <cell r="L205" t="str">
            <v/>
          </cell>
          <cell r="M205">
            <v>2.2026280891372298</v>
          </cell>
          <cell r="N205">
            <v>1.5756994730701417</v>
          </cell>
          <cell r="O205">
            <v>2.2026280891372298</v>
          </cell>
          <cell r="P205" t="str">
            <v/>
          </cell>
          <cell r="Q205" t="str">
            <v/>
          </cell>
          <cell r="R205" t="str">
            <v/>
          </cell>
          <cell r="S205" t="str">
            <v/>
          </cell>
          <cell r="T205" t="str">
            <v/>
          </cell>
          <cell r="U205" t="str">
            <v/>
          </cell>
          <cell r="V205" t="str">
            <v/>
          </cell>
          <cell r="W205">
            <v>5.8449029695688388E-2</v>
          </cell>
        </row>
        <row r="206">
          <cell r="A206">
            <v>74</v>
          </cell>
          <cell r="J206" t="str">
            <v/>
          </cell>
          <cell r="K206" t="str">
            <v/>
          </cell>
          <cell r="L206" t="str">
            <v/>
          </cell>
          <cell r="M206">
            <v>2.3712993909852491</v>
          </cell>
          <cell r="N206">
            <v>1.6401154814598424</v>
          </cell>
          <cell r="O206">
            <v>2.3712993909852491</v>
          </cell>
          <cell r="P206" t="str">
            <v/>
          </cell>
          <cell r="Q206" t="str">
            <v/>
          </cell>
          <cell r="R206" t="str">
            <v/>
          </cell>
          <cell r="S206" t="str">
            <v/>
          </cell>
          <cell r="T206" t="str">
            <v/>
          </cell>
          <cell r="U206" t="str">
            <v/>
          </cell>
          <cell r="V206" t="str">
            <v/>
          </cell>
          <cell r="W206">
            <v>6.6234116348220101E-2</v>
          </cell>
        </row>
        <row r="207">
          <cell r="A207">
            <v>75</v>
          </cell>
          <cell r="J207" t="str">
            <v/>
          </cell>
          <cell r="K207" t="str">
            <v/>
          </cell>
          <cell r="L207" t="str">
            <v/>
          </cell>
          <cell r="M207">
            <v>2.5595130430756643</v>
          </cell>
          <cell r="N207">
            <v>1.7091839831330893</v>
          </cell>
          <cell r="O207">
            <v>2.5595130430756643</v>
          </cell>
          <cell r="P207" t="str">
            <v/>
          </cell>
          <cell r="Q207" t="str">
            <v/>
          </cell>
          <cell r="R207" t="str">
            <v/>
          </cell>
          <cell r="S207" t="str">
            <v/>
          </cell>
          <cell r="T207" t="str">
            <v/>
          </cell>
          <cell r="U207" t="str">
            <v/>
          </cell>
          <cell r="V207" t="str">
            <v/>
          </cell>
          <cell r="W207">
            <v>7.4826737423607834E-2</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uploads/system/uploads/attachment_data/Pension%20calculator%20v0.26.xl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gov.uk/government/uploads/system/Actuarial%20Factors/2011/transfers%20and%20divorce/PPS%20Non-IH%20ERFs%20v2.xlsm"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Tapering%20calcs%20-%204%20years/Tapering%20to%204%20years%20from%2038%20(as%2045%20taper)%20-%20sent%20to%20HO%2024.7.12.pdf"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S67"/>
  <sheetViews>
    <sheetView workbookViewId="0"/>
  </sheetViews>
  <sheetFormatPr defaultRowHeight="12.75"/>
  <cols>
    <col min="1" max="1" width="20.42578125" style="9" customWidth="1"/>
    <col min="2" max="2" width="130.7109375" style="2" customWidth="1"/>
    <col min="3" max="3" width="9.140625" style="9"/>
    <col min="4" max="4" width="10.140625" style="9" bestFit="1" customWidth="1"/>
    <col min="5" max="7" width="9.140625" style="9"/>
    <col min="8" max="8" width="10.140625" style="9" customWidth="1"/>
    <col min="9" max="9" width="11.42578125" style="9" customWidth="1"/>
    <col min="10" max="11" width="9.140625" style="9"/>
    <col min="12" max="12" width="15.42578125" style="9" bestFit="1" customWidth="1"/>
    <col min="13" max="13" width="21" style="9" bestFit="1" customWidth="1"/>
    <col min="14" max="14" width="9.28515625" style="9" customWidth="1"/>
    <col min="15" max="15" width="9.5703125" style="9" customWidth="1"/>
    <col min="16" max="20" width="13.140625" style="9" customWidth="1"/>
    <col min="21" max="26" width="9.140625" style="9"/>
    <col min="27" max="27" width="11.28515625" style="9" customWidth="1"/>
    <col min="28" max="28" width="10.140625" style="9" customWidth="1"/>
    <col min="29" max="30" width="9.140625" style="9"/>
    <col min="31" max="31" width="15.42578125" style="9" bestFit="1" customWidth="1"/>
    <col min="32" max="32" width="21" style="9" bestFit="1" customWidth="1"/>
    <col min="33" max="34" width="9.5703125" style="9" bestFit="1" customWidth="1"/>
    <col min="35" max="35" width="9.5703125" style="9" customWidth="1"/>
    <col min="36" max="38" width="9.140625" style="9"/>
    <col min="39" max="39" width="12.42578125" style="9" bestFit="1" customWidth="1"/>
    <col min="40" max="45" width="9.140625" style="9"/>
  </cols>
  <sheetData>
    <row r="1" spans="1:45" ht="20.25">
      <c r="A1" s="4" t="s">
        <v>19</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75">
      <c r="A2" s="5" t="s">
        <v>438</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75">
      <c r="A3" s="6" t="s">
        <v>20</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c r="A4" s="7" t="str">
        <f ca="1">CELL("filename",A1)</f>
        <v>G:\My Documents\[Pension_calculator_v5_0.xlsx]Cover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c r="A5" s="7"/>
      <c r="C5"/>
      <c r="D5"/>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ht="19.5" customHeight="1">
      <c r="A6" s="1" t="s">
        <v>42</v>
      </c>
      <c r="C6"/>
      <c r="D6" s="8"/>
      <c r="E6"/>
      <c r="F6"/>
      <c r="G6"/>
      <c r="H6"/>
      <c r="I6"/>
      <c r="J6"/>
      <c r="K6"/>
      <c r="L6"/>
      <c r="M6"/>
      <c r="N6"/>
      <c r="O6"/>
      <c r="P6"/>
      <c r="Q6"/>
      <c r="R6"/>
      <c r="S6"/>
      <c r="T6"/>
      <c r="U6"/>
      <c r="V6"/>
      <c r="W6"/>
      <c r="X6"/>
      <c r="Y6"/>
      <c r="Z6"/>
      <c r="AA6"/>
      <c r="AB6"/>
      <c r="AC6"/>
      <c r="AD6"/>
      <c r="AE6"/>
      <c r="AF6"/>
      <c r="AG6"/>
      <c r="AH6"/>
      <c r="AI6"/>
      <c r="AJ6"/>
      <c r="AK6"/>
      <c r="AL6"/>
      <c r="AM6"/>
      <c r="AN6"/>
      <c r="AO6"/>
      <c r="AP6"/>
      <c r="AQ6"/>
      <c r="AR6"/>
      <c r="AS6"/>
    </row>
    <row r="7" spans="1:45" ht="17.25" customHeight="1">
      <c r="A7" s="1" t="s">
        <v>43</v>
      </c>
      <c r="C7"/>
      <c r="D7" s="8"/>
      <c r="E7"/>
      <c r="F7"/>
      <c r="G7"/>
      <c r="H7"/>
      <c r="I7"/>
      <c r="J7"/>
      <c r="K7"/>
      <c r="L7"/>
      <c r="M7"/>
      <c r="N7"/>
      <c r="O7"/>
      <c r="P7"/>
      <c r="Q7"/>
      <c r="R7"/>
      <c r="S7"/>
      <c r="T7"/>
      <c r="U7"/>
      <c r="V7"/>
      <c r="W7"/>
      <c r="X7"/>
      <c r="Y7"/>
      <c r="Z7"/>
      <c r="AA7"/>
      <c r="AB7"/>
      <c r="AC7"/>
      <c r="AD7"/>
      <c r="AE7"/>
      <c r="AF7"/>
      <c r="AG7"/>
      <c r="AH7"/>
      <c r="AI7"/>
      <c r="AJ7"/>
      <c r="AK7"/>
      <c r="AL7"/>
      <c r="AM7"/>
      <c r="AN7"/>
      <c r="AO7"/>
      <c r="AP7"/>
      <c r="AQ7"/>
      <c r="AR7"/>
      <c r="AS7"/>
    </row>
    <row r="8" spans="1:45">
      <c r="A8"/>
      <c r="C8"/>
      <c r="D8" s="8"/>
      <c r="E8"/>
      <c r="F8"/>
      <c r="G8"/>
      <c r="H8"/>
      <c r="I8"/>
      <c r="J8"/>
      <c r="K8"/>
      <c r="L8"/>
      <c r="M8"/>
      <c r="N8"/>
      <c r="O8"/>
      <c r="P8"/>
      <c r="Q8"/>
      <c r="R8"/>
      <c r="S8"/>
      <c r="T8"/>
      <c r="U8"/>
      <c r="V8"/>
      <c r="W8"/>
      <c r="X8"/>
      <c r="Y8"/>
      <c r="Z8"/>
      <c r="AA8"/>
      <c r="AB8"/>
      <c r="AC8"/>
      <c r="AD8"/>
      <c r="AE8"/>
      <c r="AF8"/>
      <c r="AG8"/>
      <c r="AH8"/>
      <c r="AI8"/>
      <c r="AJ8"/>
      <c r="AK8"/>
      <c r="AL8"/>
      <c r="AM8"/>
      <c r="AN8"/>
      <c r="AO8"/>
      <c r="AP8"/>
      <c r="AQ8"/>
      <c r="AR8"/>
      <c r="AS8"/>
    </row>
    <row r="9" spans="1:45">
      <c r="A9" s="1" t="s">
        <v>11</v>
      </c>
    </row>
    <row r="10" spans="1:45">
      <c r="A10"/>
    </row>
    <row r="11" spans="1:45">
      <c r="A11"/>
      <c r="B11" s="2" t="s">
        <v>248</v>
      </c>
    </row>
    <row r="12" spans="1:45">
      <c r="A12"/>
    </row>
    <row r="13" spans="1:45">
      <c r="A13" s="1" t="s">
        <v>13</v>
      </c>
    </row>
    <row r="14" spans="1:45">
      <c r="A14"/>
    </row>
    <row r="15" spans="1:45">
      <c r="A15" s="1" t="s">
        <v>4</v>
      </c>
      <c r="B15" s="15" t="s">
        <v>5</v>
      </c>
    </row>
    <row r="16" spans="1:45">
      <c r="A16" s="3"/>
      <c r="B16" s="2" t="s">
        <v>39</v>
      </c>
    </row>
    <row r="17" spans="1:2">
      <c r="A17" s="3"/>
    </row>
    <row r="18" spans="1:2">
      <c r="A18" s="3"/>
    </row>
    <row r="19" spans="1:2">
      <c r="A19" s="3"/>
    </row>
    <row r="20" spans="1:2">
      <c r="A20" s="3"/>
    </row>
    <row r="21" spans="1:2">
      <c r="A21" s="3"/>
    </row>
    <row r="22" spans="1:2">
      <c r="A22" s="3"/>
    </row>
    <row r="23" spans="1:2">
      <c r="A23" s="3"/>
    </row>
    <row r="24" spans="1:2">
      <c r="A24" s="3"/>
    </row>
    <row r="25" spans="1:2">
      <c r="A25" s="3"/>
    </row>
    <row r="26" spans="1:2">
      <c r="A26" s="1" t="s">
        <v>40</v>
      </c>
    </row>
    <row r="27" spans="1:2" ht="25.5">
      <c r="A27" s="1"/>
      <c r="B27" s="2" t="s">
        <v>56</v>
      </c>
    </row>
    <row r="28" spans="1:2">
      <c r="A28" s="1"/>
    </row>
    <row r="29" spans="1:2">
      <c r="A29" s="1"/>
    </row>
    <row r="30" spans="1:2">
      <c r="A30" s="1"/>
    </row>
    <row r="31" spans="1:2">
      <c r="A31" s="1"/>
    </row>
    <row r="32" spans="1:2">
      <c r="A32" s="1"/>
    </row>
    <row r="33" spans="1:2">
      <c r="A33" s="1"/>
    </row>
    <row r="34" spans="1:2">
      <c r="A34" s="1"/>
    </row>
    <row r="35" spans="1:2">
      <c r="A35" s="3"/>
    </row>
    <row r="36" spans="1:2">
      <c r="A36" s="1" t="s">
        <v>12</v>
      </c>
    </row>
    <row r="37" spans="1:2">
      <c r="A37"/>
    </row>
    <row r="38" spans="1:2" ht="25.5">
      <c r="A38"/>
      <c r="B38" s="2" t="s">
        <v>18</v>
      </c>
    </row>
    <row r="39" spans="1:2">
      <c r="A39"/>
    </row>
    <row r="40" spans="1:2">
      <c r="A40" s="1" t="s">
        <v>16</v>
      </c>
    </row>
    <row r="41" spans="1:2">
      <c r="A41"/>
    </row>
    <row r="42" spans="1:2">
      <c r="A42" t="s">
        <v>41</v>
      </c>
    </row>
    <row r="43" spans="1:2">
      <c r="A43"/>
      <c r="B43" s="2" t="s">
        <v>17</v>
      </c>
    </row>
    <row r="45" spans="1:2">
      <c r="A45" s="16" t="s">
        <v>21</v>
      </c>
    </row>
    <row r="46" spans="1:2">
      <c r="A46" s="17" t="s">
        <v>23</v>
      </c>
      <c r="B46" s="22" t="s">
        <v>30</v>
      </c>
    </row>
    <row r="47" spans="1:2">
      <c r="A47" s="21" t="s">
        <v>27</v>
      </c>
      <c r="B47" s="22" t="s">
        <v>38</v>
      </c>
    </row>
    <row r="48" spans="1:2">
      <c r="A48" s="18" t="s">
        <v>24</v>
      </c>
      <c r="B48" s="22" t="s">
        <v>37</v>
      </c>
    </row>
    <row r="49" spans="1:2">
      <c r="A49" s="20" t="s">
        <v>26</v>
      </c>
      <c r="B49" s="22" t="s">
        <v>31</v>
      </c>
    </row>
    <row r="50" spans="1:2">
      <c r="A50" s="23" t="s">
        <v>22</v>
      </c>
      <c r="B50" s="22" t="s">
        <v>32</v>
      </c>
    </row>
    <row r="51" spans="1:2">
      <c r="A51" s="24" t="s">
        <v>28</v>
      </c>
      <c r="B51" s="22" t="s">
        <v>34</v>
      </c>
    </row>
    <row r="52" spans="1:2">
      <c r="A52" s="25" t="s">
        <v>29</v>
      </c>
      <c r="B52" s="22" t="s">
        <v>35</v>
      </c>
    </row>
    <row r="53" spans="1:2">
      <c r="A53" s="19" t="s">
        <v>25</v>
      </c>
      <c r="B53" s="22" t="s">
        <v>33</v>
      </c>
    </row>
    <row r="54" spans="1:2" hidden="1">
      <c r="A54" s="26" t="s">
        <v>44</v>
      </c>
    </row>
    <row r="55" spans="1:2" hidden="1">
      <c r="A55" s="26" t="s">
        <v>45</v>
      </c>
    </row>
    <row r="56" spans="1:2" hidden="1">
      <c r="A56" s="26" t="s">
        <v>46</v>
      </c>
    </row>
    <row r="57" spans="1:2" hidden="1">
      <c r="A57" s="27" t="s">
        <v>47</v>
      </c>
    </row>
    <row r="58" spans="1:2" hidden="1">
      <c r="A58" s="27" t="s">
        <v>48</v>
      </c>
    </row>
    <row r="59" spans="1:2" hidden="1">
      <c r="A59" s="27" t="s">
        <v>49</v>
      </c>
    </row>
    <row r="60" spans="1:2" hidden="1">
      <c r="A60" s="27" t="s">
        <v>50</v>
      </c>
    </row>
    <row r="61" spans="1:2" hidden="1">
      <c r="A61" s="27" t="s">
        <v>51</v>
      </c>
    </row>
    <row r="62" spans="1:2" hidden="1">
      <c r="A62" s="27" t="s">
        <v>52</v>
      </c>
    </row>
    <row r="63" spans="1:2" hidden="1">
      <c r="A63" s="27" t="s">
        <v>53</v>
      </c>
    </row>
    <row r="64" spans="1:2" hidden="1">
      <c r="A64" s="27" t="s">
        <v>54</v>
      </c>
    </row>
    <row r="65" spans="1:1" hidden="1">
      <c r="A65" s="27" t="s">
        <v>55</v>
      </c>
    </row>
    <row r="66" spans="1:1" hidden="1">
      <c r="A66" s="26">
        <v>2</v>
      </c>
    </row>
    <row r="67" spans="1:1" hidden="1">
      <c r="A67" s="9">
        <v>7</v>
      </c>
    </row>
  </sheetData>
  <phoneticPr fontId="2" type="noConversion"/>
  <pageMargins left="0.75" right="0.75" top="1" bottom="1" header="0.5" footer="0.5"/>
  <pageSetup paperSize="9" scale="67" orientation="landscape" r:id="rId1"/>
  <headerFooter alignWithMargins="0">
    <oddHeader>&amp;L&amp;Z&amp;F  [&amp;A]</oddHeader>
    <oddFooter>&amp;LPage &amp;P of &amp;N&amp;R&amp;T &amp;D</oddFooter>
  </headerFooter>
  <legacyDrawing r:id="rId2"/>
</worksheet>
</file>

<file path=xl/worksheets/sheet2.xml><?xml version="1.0" encoding="utf-8"?>
<worksheet xmlns="http://schemas.openxmlformats.org/spreadsheetml/2006/main" xmlns:r="http://schemas.openxmlformats.org/officeDocument/2006/relationships">
  <sheetPr codeName="Sheet2"/>
  <dimension ref="A1:L46"/>
  <sheetViews>
    <sheetView topLeftCell="H1" zoomScaleNormal="100" workbookViewId="0">
      <pane ySplit="6" topLeftCell="A40" activePane="bottomLeft" state="frozen"/>
      <selection pane="bottomLeft" activeCell="K46" sqref="K46"/>
    </sheetView>
  </sheetViews>
  <sheetFormatPr defaultRowHeight="12.75"/>
  <cols>
    <col min="2" max="2" width="66" customWidth="1"/>
    <col min="3" max="4" width="11.5703125" customWidth="1"/>
    <col min="5" max="5" width="26.42578125" customWidth="1"/>
    <col min="6" max="6" width="17.7109375" customWidth="1"/>
    <col min="7" max="7" width="11.42578125" customWidth="1"/>
    <col min="8" max="8" width="65.7109375" customWidth="1"/>
    <col min="9" max="9" width="17.7109375" customWidth="1"/>
    <col min="10" max="10" width="11.42578125" customWidth="1"/>
    <col min="11" max="11" width="65.7109375" customWidth="1"/>
    <col min="12" max="12" width="14.140625" customWidth="1"/>
    <col min="15" max="15" width="15.42578125" bestFit="1" customWidth="1"/>
    <col min="16" max="16" width="21" bestFit="1" customWidth="1"/>
    <col min="17" max="17" width="9.28515625" customWidth="1"/>
    <col min="18" max="22" width="9.5703125" customWidth="1"/>
    <col min="23" max="23" width="13.140625" customWidth="1"/>
    <col min="30" max="30" width="10.28515625" customWidth="1"/>
    <col min="31" max="31" width="10.7109375" customWidth="1"/>
    <col min="34" max="34" width="15.42578125" bestFit="1" customWidth="1"/>
    <col min="35" max="35" width="21" bestFit="1" customWidth="1"/>
    <col min="36" max="37" width="9.5703125" bestFit="1" customWidth="1"/>
    <col min="38" max="38" width="9.5703125" customWidth="1"/>
  </cols>
  <sheetData>
    <row r="1" spans="1:12" ht="20.25">
      <c r="A1" s="4" t="s">
        <v>19</v>
      </c>
      <c r="B1" s="4"/>
      <c r="C1" s="4"/>
      <c r="D1" s="4"/>
      <c r="E1" s="4"/>
      <c r="F1" s="4"/>
      <c r="G1" s="4"/>
      <c r="H1" s="4"/>
      <c r="I1" s="4"/>
      <c r="J1" s="4"/>
      <c r="K1" s="4"/>
      <c r="L1" s="4"/>
    </row>
    <row r="2" spans="1:12" ht="15.75">
      <c r="A2" s="5" t="str">
        <f>IF(title="&gt; Enter workbook title here","Enter workbook title in Cover sheet",title)</f>
        <v>Police Scheme Reform Pension calculator</v>
      </c>
      <c r="B2" s="5"/>
      <c r="C2" s="5"/>
      <c r="D2" s="5"/>
      <c r="E2" s="5"/>
      <c r="F2" s="5"/>
      <c r="G2" s="5"/>
      <c r="H2" s="5"/>
      <c r="I2" s="5"/>
      <c r="J2" s="5"/>
      <c r="K2" s="5"/>
      <c r="L2" s="5"/>
    </row>
    <row r="3" spans="1:12" ht="15.75">
      <c r="A3" s="6" t="s">
        <v>0</v>
      </c>
      <c r="B3" s="6"/>
      <c r="C3" s="6"/>
      <c r="D3" s="6"/>
      <c r="E3" s="6"/>
      <c r="F3" s="6"/>
      <c r="G3" s="6"/>
      <c r="H3" s="6"/>
      <c r="I3" s="6"/>
      <c r="J3" s="6"/>
      <c r="K3" s="6"/>
      <c r="L3" s="6"/>
    </row>
    <row r="4" spans="1:12">
      <c r="A4" s="7" t="str">
        <f ca="1">CELL("filename",A1)</f>
        <v>G:\My Documents\[Pension_calculator_v5_0.xlsx]Version control</v>
      </c>
      <c r="B4" s="7"/>
    </row>
    <row r="5" spans="1:12">
      <c r="E5" s="8"/>
      <c r="F5" s="8"/>
      <c r="G5" s="8"/>
    </row>
    <row r="6" spans="1:12" ht="38.25">
      <c r="A6" s="10" t="s">
        <v>1</v>
      </c>
      <c r="B6" s="10" t="s">
        <v>36</v>
      </c>
      <c r="C6" s="10" t="s">
        <v>8</v>
      </c>
      <c r="D6" s="10" t="s">
        <v>9</v>
      </c>
      <c r="E6" s="10" t="s">
        <v>7</v>
      </c>
      <c r="F6" s="10" t="s">
        <v>10</v>
      </c>
      <c r="G6" s="10" t="s">
        <v>2</v>
      </c>
      <c r="H6" s="10" t="s">
        <v>3</v>
      </c>
      <c r="I6" s="10" t="s">
        <v>6</v>
      </c>
      <c r="J6" s="10" t="s">
        <v>2</v>
      </c>
      <c r="K6" s="10" t="s">
        <v>3</v>
      </c>
      <c r="L6" s="10" t="s">
        <v>15</v>
      </c>
    </row>
    <row r="7" spans="1:12" ht="25.5">
      <c r="A7" s="2" t="s">
        <v>14</v>
      </c>
      <c r="B7" s="2" t="s">
        <v>57</v>
      </c>
      <c r="C7" s="2"/>
      <c r="D7" s="2"/>
      <c r="E7" s="2"/>
      <c r="F7" s="2" t="s">
        <v>58</v>
      </c>
      <c r="G7" s="29">
        <v>41136</v>
      </c>
      <c r="H7" s="2" t="s">
        <v>279</v>
      </c>
      <c r="I7" s="2" t="s">
        <v>255</v>
      </c>
      <c r="J7" s="29">
        <v>41137</v>
      </c>
      <c r="K7" s="2" t="s">
        <v>256</v>
      </c>
      <c r="L7" s="2"/>
    </row>
    <row r="8" spans="1:12" ht="63.75">
      <c r="A8" s="2">
        <v>2</v>
      </c>
      <c r="B8" s="2" t="s">
        <v>230</v>
      </c>
      <c r="C8" s="2"/>
      <c r="D8" s="2"/>
      <c r="E8" s="2"/>
      <c r="F8" s="2" t="s">
        <v>58</v>
      </c>
      <c r="G8" s="29">
        <v>41138</v>
      </c>
      <c r="H8" s="2" t="s">
        <v>280</v>
      </c>
      <c r="I8" s="2" t="s">
        <v>255</v>
      </c>
      <c r="J8" s="29">
        <v>41141</v>
      </c>
      <c r="K8" s="2" t="s">
        <v>257</v>
      </c>
      <c r="L8" s="2" t="s">
        <v>259</v>
      </c>
    </row>
    <row r="9" spans="1:12" ht="51">
      <c r="A9" s="2">
        <v>3</v>
      </c>
      <c r="B9" s="2" t="s">
        <v>244</v>
      </c>
      <c r="C9" s="2"/>
      <c r="D9" s="2"/>
      <c r="E9" s="2"/>
      <c r="F9" s="2" t="s">
        <v>58</v>
      </c>
      <c r="G9" s="29">
        <v>41142</v>
      </c>
      <c r="H9" s="2" t="s">
        <v>281</v>
      </c>
      <c r="I9" s="2" t="s">
        <v>255</v>
      </c>
      <c r="J9" s="29">
        <v>41142</v>
      </c>
      <c r="K9" s="2" t="s">
        <v>258</v>
      </c>
      <c r="L9" s="2"/>
    </row>
    <row r="10" spans="1:12" ht="76.5">
      <c r="A10" s="2">
        <v>4</v>
      </c>
      <c r="B10" s="2" t="s">
        <v>260</v>
      </c>
      <c r="C10" s="2"/>
      <c r="D10" s="2"/>
      <c r="E10" s="2"/>
      <c r="F10" s="2" t="s">
        <v>58</v>
      </c>
      <c r="G10" s="29">
        <v>41142</v>
      </c>
      <c r="H10" s="2" t="s">
        <v>282</v>
      </c>
      <c r="I10" s="2" t="s">
        <v>255</v>
      </c>
      <c r="J10" s="29">
        <v>41142</v>
      </c>
      <c r="K10" s="2" t="s">
        <v>283</v>
      </c>
      <c r="L10" s="2"/>
    </row>
    <row r="11" spans="1:12" ht="25.5">
      <c r="A11" s="2">
        <v>5</v>
      </c>
      <c r="B11" s="2" t="s">
        <v>284</v>
      </c>
      <c r="C11" s="2"/>
      <c r="D11" s="2"/>
      <c r="E11" s="2"/>
      <c r="F11" s="2" t="s">
        <v>58</v>
      </c>
      <c r="G11" s="29">
        <v>41143</v>
      </c>
      <c r="H11" s="2" t="s">
        <v>286</v>
      </c>
      <c r="I11" s="2" t="s">
        <v>255</v>
      </c>
      <c r="J11" s="29">
        <v>41143</v>
      </c>
      <c r="K11" s="2" t="s">
        <v>287</v>
      </c>
      <c r="L11" s="2"/>
    </row>
    <row r="12" spans="1:12" ht="63.75">
      <c r="A12" s="2">
        <v>6</v>
      </c>
      <c r="B12" s="2" t="s">
        <v>288</v>
      </c>
      <c r="C12" s="2"/>
      <c r="D12" s="2"/>
      <c r="E12" s="2"/>
      <c r="F12" s="2" t="s">
        <v>58</v>
      </c>
      <c r="G12" s="29">
        <v>41143</v>
      </c>
      <c r="H12" s="2" t="s">
        <v>294</v>
      </c>
      <c r="I12" s="2" t="s">
        <v>295</v>
      </c>
      <c r="J12" s="29">
        <v>41144</v>
      </c>
      <c r="K12" s="2" t="s">
        <v>296</v>
      </c>
      <c r="L12" s="2"/>
    </row>
    <row r="13" spans="1:12" ht="140.25">
      <c r="A13" s="2">
        <v>7</v>
      </c>
      <c r="B13" s="104" t="s">
        <v>297</v>
      </c>
      <c r="C13" s="2"/>
      <c r="D13" s="2"/>
      <c r="E13" s="2"/>
      <c r="F13" s="2" t="s">
        <v>298</v>
      </c>
      <c r="G13" s="29">
        <v>41144</v>
      </c>
      <c r="H13" s="2" t="s">
        <v>324</v>
      </c>
      <c r="I13" s="2" t="s">
        <v>255</v>
      </c>
      <c r="J13" s="29">
        <v>41145</v>
      </c>
      <c r="K13" s="2" t="s">
        <v>325</v>
      </c>
      <c r="L13" s="2"/>
    </row>
    <row r="14" spans="1:12" ht="38.25">
      <c r="A14" s="2">
        <v>8</v>
      </c>
      <c r="B14" s="104" t="s">
        <v>326</v>
      </c>
      <c r="C14" s="2"/>
      <c r="D14" s="2"/>
      <c r="E14" s="2"/>
      <c r="F14" s="2" t="s">
        <v>327</v>
      </c>
      <c r="G14" s="29">
        <v>41145</v>
      </c>
      <c r="H14" s="2" t="s">
        <v>328</v>
      </c>
      <c r="I14" s="2" t="s">
        <v>255</v>
      </c>
      <c r="J14" s="29">
        <v>41145</v>
      </c>
      <c r="K14" s="2" t="s">
        <v>330</v>
      </c>
      <c r="L14" s="2"/>
    </row>
    <row r="15" spans="1:12" ht="51">
      <c r="A15" s="2">
        <v>9</v>
      </c>
      <c r="B15" s="2" t="s">
        <v>353</v>
      </c>
      <c r="C15" s="2"/>
      <c r="D15" s="2"/>
      <c r="E15" s="2"/>
      <c r="F15" s="2" t="s">
        <v>58</v>
      </c>
      <c r="G15" s="29">
        <v>41145</v>
      </c>
      <c r="H15" s="2" t="s">
        <v>345</v>
      </c>
      <c r="I15" s="2" t="s">
        <v>255</v>
      </c>
      <c r="J15" s="29">
        <v>41145</v>
      </c>
      <c r="K15" s="2" t="s">
        <v>347</v>
      </c>
      <c r="L15" s="2"/>
    </row>
    <row r="16" spans="1:12" ht="38.25">
      <c r="A16" s="2">
        <v>10</v>
      </c>
      <c r="B16" s="2" t="s">
        <v>352</v>
      </c>
      <c r="C16" s="2"/>
      <c r="D16" s="2"/>
      <c r="E16" s="2"/>
      <c r="F16" s="2" t="s">
        <v>58</v>
      </c>
      <c r="G16" s="29">
        <v>41149</v>
      </c>
      <c r="H16" s="2" t="s">
        <v>357</v>
      </c>
      <c r="I16" s="2" t="s">
        <v>255</v>
      </c>
      <c r="J16" s="29">
        <v>41149</v>
      </c>
      <c r="K16" s="2" t="s">
        <v>365</v>
      </c>
      <c r="L16" s="2"/>
    </row>
    <row r="17" spans="1:12" ht="38.25">
      <c r="A17" s="2">
        <v>11</v>
      </c>
      <c r="B17" s="2" t="s">
        <v>358</v>
      </c>
      <c r="C17" s="2"/>
      <c r="D17" s="2"/>
      <c r="E17" s="2"/>
      <c r="F17" s="2" t="s">
        <v>58</v>
      </c>
      <c r="G17" s="29">
        <v>41149</v>
      </c>
      <c r="H17" s="2" t="s">
        <v>360</v>
      </c>
      <c r="I17" s="2" t="s">
        <v>255</v>
      </c>
      <c r="J17" s="29">
        <v>41150</v>
      </c>
      <c r="K17" s="2" t="s">
        <v>377</v>
      </c>
      <c r="L17" s="2"/>
    </row>
    <row r="18" spans="1:12" ht="38.25">
      <c r="A18" s="2">
        <v>12</v>
      </c>
      <c r="B18" s="2" t="s">
        <v>366</v>
      </c>
      <c r="C18" s="2"/>
      <c r="D18" s="2"/>
      <c r="E18" s="2"/>
      <c r="F18" s="2" t="s">
        <v>58</v>
      </c>
      <c r="G18" s="29">
        <v>41150</v>
      </c>
      <c r="H18" s="2" t="s">
        <v>367</v>
      </c>
      <c r="I18" s="2" t="s">
        <v>255</v>
      </c>
      <c r="J18" s="29">
        <v>41150</v>
      </c>
      <c r="K18" s="2" t="s">
        <v>378</v>
      </c>
      <c r="L18" s="2"/>
    </row>
    <row r="19" spans="1:12" ht="63.75">
      <c r="A19" s="2">
        <v>13</v>
      </c>
      <c r="B19" s="2" t="s">
        <v>372</v>
      </c>
      <c r="C19" s="2"/>
      <c r="D19" s="2"/>
      <c r="E19" s="2"/>
      <c r="F19" s="2" t="s">
        <v>58</v>
      </c>
      <c r="G19" s="29">
        <v>41150</v>
      </c>
      <c r="H19" s="2" t="s">
        <v>373</v>
      </c>
      <c r="I19" s="2" t="s">
        <v>255</v>
      </c>
      <c r="J19" s="29">
        <v>41150</v>
      </c>
      <c r="K19" s="2" t="s">
        <v>379</v>
      </c>
      <c r="L19" s="2"/>
    </row>
    <row r="20" spans="1:12" ht="51">
      <c r="A20" s="2">
        <v>14</v>
      </c>
      <c r="B20" s="2" t="s">
        <v>374</v>
      </c>
      <c r="C20" s="2"/>
      <c r="D20" s="2"/>
      <c r="E20" s="2"/>
      <c r="F20" s="2" t="s">
        <v>58</v>
      </c>
      <c r="G20" s="29">
        <v>41150</v>
      </c>
      <c r="H20" s="2" t="s">
        <v>375</v>
      </c>
      <c r="I20" s="2" t="s">
        <v>255</v>
      </c>
      <c r="J20" s="29">
        <v>41150</v>
      </c>
      <c r="K20" s="2" t="s">
        <v>380</v>
      </c>
      <c r="L20" s="2"/>
    </row>
    <row r="21" spans="1:12" ht="80.25" customHeight="1">
      <c r="A21" s="2">
        <v>15</v>
      </c>
      <c r="B21" s="2" t="s">
        <v>381</v>
      </c>
      <c r="C21" s="2"/>
      <c r="D21" s="2"/>
      <c r="E21" s="2"/>
      <c r="F21" s="2" t="s">
        <v>382</v>
      </c>
      <c r="G21" s="29">
        <v>41151</v>
      </c>
      <c r="H21" s="2" t="s">
        <v>391</v>
      </c>
      <c r="I21" s="2" t="s">
        <v>255</v>
      </c>
      <c r="J21" s="29">
        <v>41151</v>
      </c>
      <c r="K21" s="2" t="s">
        <v>287</v>
      </c>
      <c r="L21" s="2"/>
    </row>
    <row r="22" spans="1:12" ht="63.75">
      <c r="A22" s="2">
        <v>16</v>
      </c>
      <c r="B22" s="2" t="s">
        <v>405</v>
      </c>
      <c r="C22" s="2"/>
      <c r="D22" s="2"/>
      <c r="E22" s="2"/>
      <c r="F22" s="2" t="s">
        <v>382</v>
      </c>
      <c r="G22" s="29">
        <v>41151</v>
      </c>
      <c r="H22" s="2" t="s">
        <v>406</v>
      </c>
      <c r="I22" s="2" t="s">
        <v>255</v>
      </c>
      <c r="J22" s="29">
        <v>41151</v>
      </c>
      <c r="K22" s="2" t="s">
        <v>408</v>
      </c>
      <c r="L22" s="2"/>
    </row>
    <row r="23" spans="1:12" ht="36.75" customHeight="1">
      <c r="A23" s="2">
        <v>17</v>
      </c>
      <c r="B23" s="2" t="s">
        <v>411</v>
      </c>
      <c r="C23" s="2"/>
      <c r="D23" s="2"/>
      <c r="E23" s="2"/>
      <c r="F23" s="2" t="s">
        <v>382</v>
      </c>
      <c r="G23" s="29">
        <v>41152</v>
      </c>
      <c r="H23" s="2" t="s">
        <v>412</v>
      </c>
      <c r="I23" s="2" t="s">
        <v>255</v>
      </c>
      <c r="J23" s="29">
        <v>41152</v>
      </c>
      <c r="K23" s="2" t="s">
        <v>413</v>
      </c>
      <c r="L23" s="2"/>
    </row>
    <row r="24" spans="1:12" ht="25.5">
      <c r="A24" s="2">
        <v>18</v>
      </c>
      <c r="B24" s="104" t="s">
        <v>420</v>
      </c>
      <c r="C24" s="2"/>
      <c r="D24" s="2"/>
      <c r="E24" s="2"/>
      <c r="F24" s="2" t="s">
        <v>421</v>
      </c>
      <c r="G24" s="29">
        <v>41152</v>
      </c>
      <c r="H24" s="2" t="s">
        <v>422</v>
      </c>
      <c r="I24" s="2" t="s">
        <v>255</v>
      </c>
      <c r="J24" s="29">
        <v>41155</v>
      </c>
      <c r="K24" s="2" t="s">
        <v>431</v>
      </c>
      <c r="L24" s="2"/>
    </row>
    <row r="25" spans="1:12" ht="25.5">
      <c r="A25" s="2">
        <v>19</v>
      </c>
      <c r="B25" s="104" t="s">
        <v>442</v>
      </c>
      <c r="C25" s="2"/>
      <c r="D25" s="2"/>
      <c r="E25" s="2"/>
      <c r="F25" s="2" t="s">
        <v>421</v>
      </c>
      <c r="G25" s="29">
        <v>41154</v>
      </c>
      <c r="H25" s="2" t="s">
        <v>422</v>
      </c>
      <c r="I25" s="2" t="s">
        <v>255</v>
      </c>
      <c r="J25" s="29">
        <v>41155</v>
      </c>
      <c r="K25" s="2" t="s">
        <v>431</v>
      </c>
      <c r="L25" s="2"/>
    </row>
    <row r="26" spans="1:12" ht="38.25">
      <c r="A26" s="2">
        <v>20</v>
      </c>
      <c r="B26" s="2" t="s">
        <v>443</v>
      </c>
      <c r="C26" s="2"/>
      <c r="D26" s="2"/>
      <c r="E26" s="2"/>
      <c r="F26" s="2" t="s">
        <v>255</v>
      </c>
      <c r="G26" s="29">
        <v>41155</v>
      </c>
      <c r="H26" s="2" t="s">
        <v>441</v>
      </c>
      <c r="I26" s="2" t="s">
        <v>421</v>
      </c>
      <c r="J26" s="29">
        <v>41155</v>
      </c>
      <c r="K26" s="2" t="s">
        <v>448</v>
      </c>
      <c r="L26" s="2"/>
    </row>
    <row r="27" spans="1:12" ht="38.25">
      <c r="A27" s="2">
        <v>21</v>
      </c>
      <c r="B27" s="2" t="s">
        <v>447</v>
      </c>
      <c r="C27" s="2"/>
      <c r="D27" s="2"/>
      <c r="E27" s="2"/>
      <c r="F27" s="2" t="s">
        <v>58</v>
      </c>
      <c r="G27" s="29">
        <v>41163</v>
      </c>
      <c r="H27" s="2" t="s">
        <v>446</v>
      </c>
      <c r="I27" s="2" t="s">
        <v>255</v>
      </c>
      <c r="J27" s="29">
        <v>41163</v>
      </c>
      <c r="K27" s="2" t="s">
        <v>413</v>
      </c>
      <c r="L27" s="2"/>
    </row>
    <row r="28" spans="1:12" ht="63.75">
      <c r="A28" s="2"/>
      <c r="B28" s="2"/>
      <c r="C28" s="2"/>
      <c r="D28" s="2"/>
      <c r="E28" s="2"/>
      <c r="F28" s="2"/>
      <c r="G28" s="2"/>
      <c r="H28" s="2"/>
      <c r="I28" s="2" t="s">
        <v>449</v>
      </c>
      <c r="J28" s="29">
        <v>41171</v>
      </c>
      <c r="K28" s="2" t="s">
        <v>469</v>
      </c>
      <c r="L28" s="2"/>
    </row>
    <row r="29" spans="1:12" ht="38.25">
      <c r="A29" s="2">
        <v>22</v>
      </c>
      <c r="B29" s="2" t="s">
        <v>450</v>
      </c>
      <c r="C29" s="2"/>
      <c r="D29" s="2"/>
      <c r="E29" s="2"/>
      <c r="F29" s="2" t="s">
        <v>58</v>
      </c>
      <c r="G29" s="29">
        <v>41173</v>
      </c>
      <c r="H29" s="2" t="s">
        <v>458</v>
      </c>
      <c r="I29" s="2" t="s">
        <v>255</v>
      </c>
      <c r="J29" s="29">
        <v>41173</v>
      </c>
      <c r="K29" s="2" t="s">
        <v>459</v>
      </c>
      <c r="L29" s="2"/>
    </row>
    <row r="30" spans="1:12" ht="51">
      <c r="A30" s="2">
        <v>23</v>
      </c>
      <c r="B30" s="2" t="s">
        <v>460</v>
      </c>
      <c r="C30" s="2"/>
      <c r="D30" s="2"/>
      <c r="E30" s="2"/>
      <c r="F30" s="2" t="s">
        <v>58</v>
      </c>
      <c r="G30" s="29">
        <v>41173</v>
      </c>
      <c r="H30" s="2" t="s">
        <v>461</v>
      </c>
      <c r="I30" s="2" t="s">
        <v>255</v>
      </c>
      <c r="J30" s="29">
        <v>41176</v>
      </c>
      <c r="K30" s="2" t="s">
        <v>462</v>
      </c>
      <c r="L30" s="2"/>
    </row>
    <row r="31" spans="1:12" ht="25.5">
      <c r="A31" s="2">
        <v>24</v>
      </c>
      <c r="B31" s="2" t="s">
        <v>463</v>
      </c>
      <c r="F31" s="2" t="s">
        <v>58</v>
      </c>
      <c r="G31" s="29">
        <v>41177</v>
      </c>
      <c r="H31" s="2" t="s">
        <v>464</v>
      </c>
      <c r="I31" s="2" t="s">
        <v>255</v>
      </c>
      <c r="J31" s="29">
        <v>41179</v>
      </c>
      <c r="K31" s="2" t="s">
        <v>413</v>
      </c>
    </row>
    <row r="32" spans="1:12" ht="51">
      <c r="F32" s="2" t="s">
        <v>255</v>
      </c>
      <c r="G32" s="29">
        <v>41180</v>
      </c>
      <c r="H32" s="2" t="s">
        <v>468</v>
      </c>
      <c r="I32" s="2" t="s">
        <v>470</v>
      </c>
      <c r="J32" s="8">
        <v>41183</v>
      </c>
      <c r="K32" s="2" t="s">
        <v>474</v>
      </c>
    </row>
    <row r="33" spans="1:11" ht="25.5">
      <c r="F33" s="2" t="s">
        <v>470</v>
      </c>
      <c r="G33" s="183">
        <v>41183</v>
      </c>
      <c r="H33" s="2" t="s">
        <v>473</v>
      </c>
      <c r="I33" s="2" t="s">
        <v>255</v>
      </c>
      <c r="J33" s="8">
        <v>41183</v>
      </c>
      <c r="K33" s="2" t="s">
        <v>475</v>
      </c>
    </row>
    <row r="34" spans="1:11" ht="38.25">
      <c r="A34" s="2">
        <v>25</v>
      </c>
      <c r="B34" s="2" t="s">
        <v>476</v>
      </c>
      <c r="F34" s="2" t="s">
        <v>58</v>
      </c>
      <c r="G34" s="8">
        <v>41184</v>
      </c>
      <c r="H34" s="2" t="s">
        <v>478</v>
      </c>
      <c r="I34" s="2" t="s">
        <v>255</v>
      </c>
      <c r="J34" s="8">
        <v>40910</v>
      </c>
      <c r="K34" s="2" t="s">
        <v>413</v>
      </c>
    </row>
    <row r="35" spans="1:11" ht="89.25">
      <c r="A35" s="2">
        <v>26</v>
      </c>
      <c r="B35" s="103" t="s">
        <v>482</v>
      </c>
      <c r="F35" s="2" t="s">
        <v>483</v>
      </c>
      <c r="G35" s="8">
        <v>41619</v>
      </c>
      <c r="H35" s="106" t="s">
        <v>487</v>
      </c>
    </row>
    <row r="36" spans="1:11" ht="51">
      <c r="F36" s="2" t="s">
        <v>483</v>
      </c>
      <c r="G36" s="8">
        <v>41619</v>
      </c>
      <c r="H36" s="2" t="s">
        <v>491</v>
      </c>
      <c r="I36" s="2" t="s">
        <v>492</v>
      </c>
      <c r="J36" s="8">
        <v>41620</v>
      </c>
    </row>
    <row r="37" spans="1:11" ht="25.5">
      <c r="A37">
        <v>27</v>
      </c>
      <c r="B37" s="104" t="s">
        <v>493</v>
      </c>
      <c r="F37" s="2" t="s">
        <v>492</v>
      </c>
      <c r="G37" s="8">
        <v>41626</v>
      </c>
      <c r="H37" s="2" t="s">
        <v>494</v>
      </c>
      <c r="I37" s="2" t="s">
        <v>500</v>
      </c>
      <c r="J37" s="8">
        <v>41626</v>
      </c>
      <c r="K37" s="2" t="s">
        <v>501</v>
      </c>
    </row>
    <row r="38" spans="1:11" ht="51">
      <c r="A38">
        <v>28</v>
      </c>
      <c r="B38" s="104" t="s">
        <v>502</v>
      </c>
      <c r="F38" s="2" t="s">
        <v>500</v>
      </c>
      <c r="G38" s="8">
        <v>41626</v>
      </c>
      <c r="H38" s="2" t="s">
        <v>504</v>
      </c>
      <c r="I38" s="2" t="s">
        <v>492</v>
      </c>
      <c r="J38" s="8">
        <v>41626</v>
      </c>
    </row>
    <row r="39" spans="1:11" ht="38.25">
      <c r="A39">
        <v>29</v>
      </c>
      <c r="B39" s="104" t="s">
        <v>505</v>
      </c>
      <c r="F39" s="2" t="s">
        <v>492</v>
      </c>
      <c r="G39" s="8">
        <v>41627</v>
      </c>
      <c r="H39" s="2" t="s">
        <v>510</v>
      </c>
      <c r="I39" s="2" t="s">
        <v>500</v>
      </c>
      <c r="J39" s="8">
        <v>41642</v>
      </c>
      <c r="K39" s="2" t="s">
        <v>509</v>
      </c>
    </row>
    <row r="40" spans="1:11" ht="25.5">
      <c r="A40">
        <v>30</v>
      </c>
      <c r="B40" s="104" t="s">
        <v>511</v>
      </c>
      <c r="F40" s="2" t="s">
        <v>492</v>
      </c>
      <c r="G40" s="8">
        <v>41647</v>
      </c>
      <c r="H40" s="2" t="s">
        <v>512</v>
      </c>
      <c r="I40" s="2" t="s">
        <v>500</v>
      </c>
      <c r="J40" s="8">
        <v>41647</v>
      </c>
      <c r="K40" s="2" t="s">
        <v>513</v>
      </c>
    </row>
    <row r="41" spans="1:11" ht="38.25">
      <c r="A41">
        <v>31</v>
      </c>
      <c r="B41" s="104" t="s">
        <v>514</v>
      </c>
      <c r="F41" s="2" t="s">
        <v>500</v>
      </c>
      <c r="G41" s="8">
        <v>41648</v>
      </c>
      <c r="H41" s="2" t="s">
        <v>515</v>
      </c>
    </row>
    <row r="42" spans="1:11" ht="25.5">
      <c r="A42">
        <v>32</v>
      </c>
      <c r="B42" s="104" t="s">
        <v>516</v>
      </c>
      <c r="F42" s="2" t="s">
        <v>492</v>
      </c>
      <c r="G42" s="8">
        <v>41767</v>
      </c>
    </row>
    <row r="43" spans="1:11" ht="25.5">
      <c r="A43">
        <v>33</v>
      </c>
      <c r="B43" s="104" t="s">
        <v>517</v>
      </c>
      <c r="F43" t="s">
        <v>58</v>
      </c>
      <c r="G43" s="8">
        <v>41897</v>
      </c>
      <c r="H43" s="190" t="s">
        <v>518</v>
      </c>
    </row>
    <row r="44" spans="1:11" ht="25.5">
      <c r="G44" s="8">
        <v>41913</v>
      </c>
      <c r="H44" s="2" t="s">
        <v>519</v>
      </c>
    </row>
    <row r="45" spans="1:11" ht="63.75">
      <c r="A45">
        <v>34</v>
      </c>
      <c r="B45" s="104" t="s">
        <v>525</v>
      </c>
      <c r="F45" s="30" t="s">
        <v>523</v>
      </c>
      <c r="G45" s="8">
        <v>42125</v>
      </c>
      <c r="H45" s="190" t="s">
        <v>524</v>
      </c>
    </row>
    <row r="46" spans="1:11" ht="35.25">
      <c r="A46" t="s">
        <v>526</v>
      </c>
      <c r="B46" s="104" t="s">
        <v>527</v>
      </c>
      <c r="F46" s="30" t="s">
        <v>483</v>
      </c>
      <c r="G46" s="8">
        <v>42153</v>
      </c>
      <c r="H46" s="190" t="s">
        <v>528</v>
      </c>
      <c r="I46" t="s">
        <v>523</v>
      </c>
      <c r="J46" s="8">
        <v>42156</v>
      </c>
      <c r="K46" t="s">
        <v>543</v>
      </c>
    </row>
  </sheetData>
  <phoneticPr fontId="2" type="noConversion"/>
  <hyperlinks>
    <hyperlink ref="B35" r:id="rId1"/>
  </hyperlinks>
  <pageMargins left="0.74803149606299213" right="0.74803149606299213" top="0.98425196850393704" bottom="0.98425196850393704" header="0.51181102362204722" footer="0.51181102362204722"/>
  <pageSetup paperSize="9" scale="58" fitToWidth="2" orientation="landscape" r:id="rId2"/>
  <headerFooter alignWithMargins="0">
    <oddHeader>&amp;L&amp;Z&amp;F  [&amp;A]</oddHeader>
    <oddFooter>&amp;LPage &amp;P of &amp;N&amp;R&amp;T &amp;D</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sheetPr codeName="Sheet6">
    <pageSetUpPr fitToPage="1"/>
  </sheetPr>
  <dimension ref="A1:N181"/>
  <sheetViews>
    <sheetView showGridLines="0" tabSelected="1" zoomScaleNormal="100" workbookViewId="0">
      <selection activeCell="Q10" sqref="Q10"/>
    </sheetView>
  </sheetViews>
  <sheetFormatPr defaultRowHeight="12.75"/>
  <cols>
    <col min="1" max="1" width="6.7109375" style="123" customWidth="1"/>
    <col min="2" max="2" width="10" style="123" customWidth="1"/>
    <col min="3" max="3" width="12.140625" style="123" customWidth="1"/>
    <col min="4" max="4" width="13.28515625" style="123" customWidth="1"/>
    <col min="5" max="6" width="10.140625" style="123" bestFit="1" customWidth="1"/>
    <col min="7" max="7" width="13.140625" style="123" customWidth="1"/>
    <col min="8" max="8" width="14" style="123" customWidth="1"/>
    <col min="9" max="9" width="12.85546875" style="123" customWidth="1"/>
    <col min="10" max="10" width="14" style="123" customWidth="1"/>
    <col min="11" max="11" width="12.85546875" style="123" customWidth="1"/>
    <col min="12" max="12" width="14" style="123" customWidth="1"/>
    <col min="13" max="13" width="16.42578125" style="123" customWidth="1"/>
    <col min="14" max="14" width="10.140625" style="123" bestFit="1" customWidth="1"/>
    <col min="15" max="16384" width="9.140625" style="123"/>
  </cols>
  <sheetData>
    <row r="1" spans="1:13" ht="20.25">
      <c r="A1" s="121" t="s">
        <v>437</v>
      </c>
      <c r="B1" s="122"/>
      <c r="C1" s="122"/>
      <c r="D1" s="122"/>
      <c r="E1" s="122"/>
      <c r="F1" s="122"/>
      <c r="G1" s="122"/>
      <c r="H1" s="122"/>
      <c r="I1" s="122"/>
    </row>
    <row r="2" spans="1:13" ht="15.75">
      <c r="A2" s="124" t="str">
        <f>IF(title="&gt; Enter workbook title here","Enter workbook title in Cover sheet",title)</f>
        <v>Police Scheme Reform Pension calculator</v>
      </c>
      <c r="B2" s="125"/>
      <c r="C2" s="125"/>
      <c r="D2" s="125"/>
      <c r="E2" s="125"/>
      <c r="F2" s="125"/>
      <c r="G2" s="125"/>
      <c r="H2" s="125"/>
      <c r="I2" s="125"/>
    </row>
    <row r="3" spans="1:13" ht="15.75">
      <c r="A3" s="126" t="s">
        <v>195</v>
      </c>
      <c r="B3" s="125"/>
      <c r="C3" s="125"/>
      <c r="D3" s="125"/>
      <c r="E3" s="125"/>
      <c r="F3" s="125"/>
      <c r="G3" s="125"/>
      <c r="H3" s="125"/>
      <c r="I3" s="125"/>
    </row>
    <row r="4" spans="1:13">
      <c r="A4" s="127"/>
    </row>
    <row r="6" spans="1:13" ht="21">
      <c r="B6" s="145" t="s">
        <v>386</v>
      </c>
    </row>
    <row r="7" spans="1:13" ht="15.75" customHeight="1">
      <c r="B7" s="200" t="s">
        <v>521</v>
      </c>
      <c r="C7" s="201"/>
      <c r="D7" s="201"/>
      <c r="E7" s="201"/>
      <c r="F7" s="201"/>
      <c r="G7" s="201"/>
      <c r="H7" s="201"/>
      <c r="I7" s="201"/>
      <c r="J7" s="201"/>
      <c r="K7" s="201"/>
      <c r="L7" s="201"/>
      <c r="M7" s="201"/>
    </row>
    <row r="8" spans="1:13" ht="15.75" customHeight="1">
      <c r="B8" s="203" t="s">
        <v>415</v>
      </c>
      <c r="C8" s="204"/>
      <c r="D8" s="204"/>
      <c r="E8" s="204"/>
      <c r="F8" s="204"/>
      <c r="G8" s="204"/>
      <c r="H8" s="204"/>
      <c r="I8" s="204"/>
      <c r="J8" s="204"/>
      <c r="K8" s="204"/>
      <c r="L8" s="204"/>
      <c r="M8" s="146"/>
    </row>
    <row r="9" spans="1:13" ht="15">
      <c r="B9" s="205" t="s">
        <v>390</v>
      </c>
      <c r="C9" s="204"/>
      <c r="D9" s="204"/>
      <c r="E9" s="204"/>
      <c r="F9" s="204"/>
      <c r="G9" s="204"/>
      <c r="H9" s="204"/>
      <c r="I9" s="204"/>
      <c r="J9" s="204"/>
      <c r="K9" s="204"/>
      <c r="L9" s="204"/>
      <c r="M9" s="146"/>
    </row>
    <row r="11" spans="1:13" ht="23.25">
      <c r="A11" s="138"/>
      <c r="B11" s="168" t="s">
        <v>432</v>
      </c>
      <c r="C11" s="168"/>
      <c r="D11" s="169"/>
      <c r="E11" s="169"/>
      <c r="F11" s="169"/>
      <c r="G11" s="169"/>
      <c r="H11" s="169"/>
      <c r="I11" s="172"/>
      <c r="J11" s="172"/>
      <c r="K11" s="172"/>
      <c r="L11" s="172"/>
      <c r="M11" s="172"/>
    </row>
    <row r="12" spans="1:13">
      <c r="A12" s="144"/>
      <c r="B12" s="169" t="s">
        <v>424</v>
      </c>
      <c r="C12" s="169"/>
      <c r="D12" s="169"/>
      <c r="E12" s="169"/>
      <c r="F12" s="169"/>
      <c r="G12" s="169"/>
      <c r="H12" s="169"/>
      <c r="I12" s="172"/>
      <c r="J12" s="172"/>
      <c r="K12" s="172"/>
      <c r="L12" s="172"/>
      <c r="M12" s="172"/>
    </row>
    <row r="13" spans="1:13" ht="13.5" thickBot="1">
      <c r="A13" s="144"/>
      <c r="B13" s="169"/>
      <c r="C13" s="169"/>
      <c r="D13" s="169"/>
      <c r="E13" s="169"/>
      <c r="F13" s="169"/>
      <c r="G13" s="169"/>
      <c r="H13" s="169"/>
      <c r="I13" s="172"/>
      <c r="J13" s="172"/>
      <c r="K13" s="172"/>
      <c r="L13" s="172"/>
      <c r="M13" s="172"/>
    </row>
    <row r="14" spans="1:13" ht="15.75" thickBot="1">
      <c r="A14" s="144"/>
      <c r="B14" s="170" t="s">
        <v>425</v>
      </c>
      <c r="C14" s="171"/>
      <c r="D14" s="171"/>
      <c r="E14" s="171"/>
      <c r="F14" s="171"/>
      <c r="G14" s="171"/>
      <c r="H14" s="172"/>
      <c r="I14" s="153"/>
      <c r="J14" s="172"/>
      <c r="K14" s="173"/>
      <c r="L14" s="172"/>
      <c r="M14" s="172"/>
    </row>
    <row r="15" spans="1:13" ht="15.75" thickBot="1">
      <c r="A15" s="144"/>
      <c r="B15" s="171"/>
      <c r="C15" s="171"/>
      <c r="D15" s="171"/>
      <c r="E15" s="171"/>
      <c r="F15" s="171"/>
      <c r="G15" s="171"/>
      <c r="H15" s="172"/>
      <c r="I15" s="172"/>
      <c r="J15" s="172"/>
      <c r="K15" s="172"/>
      <c r="L15" s="172"/>
      <c r="M15" s="172"/>
    </row>
    <row r="16" spans="1:13" ht="32.25" customHeight="1" thickBot="1">
      <c r="A16" s="144"/>
      <c r="B16" s="208" t="s">
        <v>529</v>
      </c>
      <c r="C16" s="208"/>
      <c r="D16" s="208"/>
      <c r="E16" s="208"/>
      <c r="F16" s="208"/>
      <c r="G16" s="208"/>
      <c r="H16" s="172"/>
      <c r="I16" s="184"/>
      <c r="J16" s="172"/>
      <c r="K16" s="176" t="s">
        <v>414</v>
      </c>
      <c r="L16" s="172"/>
      <c r="M16" s="172"/>
    </row>
    <row r="17" spans="1:13" ht="15.75" thickBot="1">
      <c r="A17" s="144"/>
      <c r="B17" s="171"/>
      <c r="C17" s="171"/>
      <c r="D17" s="171"/>
      <c r="E17" s="171"/>
      <c r="F17" s="171"/>
      <c r="G17" s="171"/>
      <c r="H17" s="172"/>
      <c r="I17" s="172"/>
      <c r="J17" s="172"/>
      <c r="K17" s="173"/>
      <c r="L17" s="172"/>
      <c r="M17" s="172"/>
    </row>
    <row r="18" spans="1:13" ht="15.75" thickBot="1">
      <c r="A18" s="144"/>
      <c r="B18" s="170" t="s">
        <v>430</v>
      </c>
      <c r="C18" s="171"/>
      <c r="D18" s="171"/>
      <c r="E18" s="171"/>
      <c r="F18" s="171"/>
      <c r="G18" s="171"/>
      <c r="H18" s="172"/>
      <c r="I18" s="153"/>
      <c r="J18" s="172"/>
      <c r="K18" s="176" t="s">
        <v>414</v>
      </c>
      <c r="L18" s="172"/>
      <c r="M18" s="172"/>
    </row>
    <row r="19" spans="1:13" ht="15.75" thickBot="1">
      <c r="A19" s="144"/>
      <c r="B19" s="171"/>
      <c r="C19" s="171"/>
      <c r="D19" s="171"/>
      <c r="E19" s="171"/>
      <c r="F19" s="171"/>
      <c r="G19" s="171"/>
      <c r="H19" s="172"/>
      <c r="I19" s="172"/>
      <c r="J19" s="172"/>
      <c r="K19" s="172"/>
      <c r="L19" s="172"/>
      <c r="M19" s="172"/>
    </row>
    <row r="20" spans="1:13" ht="15.75" thickBot="1">
      <c r="A20" s="144"/>
      <c r="B20" s="170" t="s">
        <v>426</v>
      </c>
      <c r="C20" s="171"/>
      <c r="D20" s="171"/>
      <c r="E20" s="171"/>
      <c r="F20" s="171"/>
      <c r="G20" s="171"/>
      <c r="H20" s="172"/>
      <c r="I20" s="154"/>
      <c r="J20" s="135" t="s">
        <v>76</v>
      </c>
      <c r="K20" s="176" t="s">
        <v>414</v>
      </c>
      <c r="L20" s="172"/>
      <c r="M20" s="172"/>
    </row>
    <row r="21" spans="1:13" ht="15.75" thickBot="1">
      <c r="A21" s="144"/>
      <c r="B21" s="171"/>
      <c r="C21" s="171"/>
      <c r="D21" s="171"/>
      <c r="E21" s="171"/>
      <c r="F21" s="171"/>
      <c r="G21" s="171"/>
      <c r="H21" s="172"/>
      <c r="I21" s="154"/>
      <c r="J21" s="135" t="s">
        <v>183</v>
      </c>
      <c r="K21" s="176" t="s">
        <v>414</v>
      </c>
      <c r="L21" s="172"/>
      <c r="M21" s="172"/>
    </row>
    <row r="22" spans="1:13" ht="15.75" thickBot="1">
      <c r="A22" s="144"/>
      <c r="B22" s="171"/>
      <c r="C22" s="171"/>
      <c r="D22" s="171"/>
      <c r="E22" s="171"/>
      <c r="F22" s="171"/>
      <c r="G22" s="171"/>
      <c r="H22" s="172"/>
      <c r="I22" s="172"/>
      <c r="J22" s="172"/>
      <c r="K22" s="172"/>
      <c r="L22" s="172"/>
      <c r="M22" s="172"/>
    </row>
    <row r="23" spans="1:13" ht="15.75" thickBot="1">
      <c r="A23" s="144"/>
      <c r="B23" s="170" t="s">
        <v>427</v>
      </c>
      <c r="C23" s="171"/>
      <c r="D23" s="171"/>
      <c r="E23" s="171"/>
      <c r="F23" s="171"/>
      <c r="G23" s="171"/>
      <c r="H23" s="172"/>
      <c r="I23" s="155"/>
      <c r="J23" s="172"/>
      <c r="K23" s="172"/>
      <c r="L23" s="172"/>
      <c r="M23" s="172"/>
    </row>
    <row r="24" spans="1:13" ht="15.75" thickBot="1">
      <c r="A24" s="144"/>
      <c r="B24" s="171"/>
      <c r="C24" s="171"/>
      <c r="D24" s="171"/>
      <c r="E24" s="171"/>
      <c r="F24" s="171"/>
      <c r="G24" s="171"/>
      <c r="H24" s="172"/>
      <c r="I24" s="172"/>
      <c r="J24" s="172"/>
      <c r="K24" s="172"/>
      <c r="L24" s="172"/>
      <c r="M24" s="172"/>
    </row>
    <row r="25" spans="1:13" ht="15.75" thickBot="1">
      <c r="A25" s="144"/>
      <c r="B25" s="170" t="s">
        <v>428</v>
      </c>
      <c r="C25" s="171"/>
      <c r="D25" s="171"/>
      <c r="E25" s="171"/>
      <c r="F25" s="171"/>
      <c r="G25" s="171"/>
      <c r="H25" s="172"/>
      <c r="I25" s="154"/>
      <c r="J25" s="172"/>
      <c r="K25" s="176" t="s">
        <v>414</v>
      </c>
      <c r="L25" s="172"/>
      <c r="M25" s="172"/>
    </row>
    <row r="26" spans="1:13" ht="15.75" thickBot="1">
      <c r="A26" s="144"/>
      <c r="B26" s="171"/>
      <c r="C26" s="171"/>
      <c r="D26" s="171"/>
      <c r="E26" s="171"/>
      <c r="F26" s="171"/>
      <c r="G26" s="171"/>
      <c r="H26" s="172"/>
      <c r="I26" s="174"/>
      <c r="J26" s="172"/>
      <c r="K26" s="175"/>
      <c r="L26" s="172"/>
      <c r="M26" s="172"/>
    </row>
    <row r="27" spans="1:13" ht="15.75" thickBot="1">
      <c r="A27" s="144"/>
      <c r="B27" s="170" t="s">
        <v>495</v>
      </c>
      <c r="C27" s="171"/>
      <c r="D27" s="171"/>
      <c r="E27" s="171"/>
      <c r="F27" s="171"/>
      <c r="G27" s="171"/>
      <c r="H27" s="172"/>
      <c r="I27" s="187" t="s">
        <v>480</v>
      </c>
      <c r="J27" s="172"/>
      <c r="K27" s="176" t="s">
        <v>414</v>
      </c>
      <c r="L27" s="172"/>
      <c r="M27" s="172"/>
    </row>
    <row r="28" spans="1:13" ht="15">
      <c r="A28" s="144"/>
      <c r="B28" s="171"/>
      <c r="C28" s="171"/>
      <c r="D28" s="171"/>
      <c r="E28" s="171"/>
      <c r="F28" s="171"/>
      <c r="G28" s="171"/>
      <c r="H28" s="172"/>
      <c r="I28" s="174"/>
      <c r="J28" s="172"/>
      <c r="K28" s="175"/>
      <c r="L28" s="172"/>
      <c r="M28" s="172"/>
    </row>
    <row r="29" spans="1:13" ht="15">
      <c r="A29" s="144"/>
      <c r="B29" s="170" t="s">
        <v>503</v>
      </c>
      <c r="C29" s="170"/>
      <c r="D29" s="170"/>
      <c r="E29" s="170"/>
      <c r="F29" s="170"/>
      <c r="G29" s="170"/>
      <c r="H29" s="170"/>
      <c r="I29" s="170"/>
      <c r="J29" s="170"/>
      <c r="K29" s="170"/>
      <c r="L29" s="170"/>
      <c r="M29" s="170"/>
    </row>
    <row r="30" spans="1:13" ht="15.75" thickBot="1">
      <c r="A30" s="144"/>
      <c r="B30" s="170"/>
      <c r="C30" s="170"/>
      <c r="D30" s="170"/>
      <c r="E30" s="170"/>
      <c r="F30" s="170"/>
      <c r="G30" s="170"/>
      <c r="H30" s="170"/>
      <c r="I30" s="170"/>
      <c r="J30" s="170"/>
      <c r="K30" s="170"/>
      <c r="L30" s="170"/>
      <c r="M30" s="170"/>
    </row>
    <row r="31" spans="1:13" ht="15.75" thickBot="1">
      <c r="A31" s="144"/>
      <c r="B31" s="170" t="s">
        <v>541</v>
      </c>
      <c r="C31" s="170"/>
      <c r="D31" s="170"/>
      <c r="E31" s="170"/>
      <c r="F31" s="170"/>
      <c r="G31" s="170"/>
      <c r="H31" s="172"/>
      <c r="I31" s="192"/>
      <c r="J31" s="172"/>
      <c r="K31" s="175"/>
      <c r="L31" s="172"/>
      <c r="M31" s="172"/>
    </row>
    <row r="32" spans="1:13" ht="15.75" thickBot="1">
      <c r="A32" s="144"/>
      <c r="B32" s="170"/>
      <c r="C32" s="170"/>
      <c r="D32" s="170"/>
      <c r="E32" s="170"/>
      <c r="F32" s="170"/>
      <c r="G32" s="170"/>
      <c r="H32" s="172"/>
      <c r="I32" s="193"/>
      <c r="J32" s="172"/>
      <c r="K32" s="175"/>
      <c r="L32" s="172"/>
      <c r="M32" s="172"/>
    </row>
    <row r="33" spans="1:13" ht="15.75" thickBot="1">
      <c r="A33" s="144"/>
      <c r="B33" s="170" t="s">
        <v>530</v>
      </c>
      <c r="C33" s="170"/>
      <c r="D33" s="170"/>
      <c r="E33" s="170"/>
      <c r="F33" s="170"/>
      <c r="G33" s="170"/>
      <c r="H33" s="135"/>
      <c r="I33" s="187"/>
      <c r="J33" s="135" t="s">
        <v>76</v>
      </c>
      <c r="K33" s="176" t="s">
        <v>414</v>
      </c>
      <c r="L33" s="172"/>
      <c r="M33" s="172"/>
    </row>
    <row r="34" spans="1:13" ht="15.75" thickBot="1">
      <c r="A34" s="144"/>
      <c r="B34" s="170" t="s">
        <v>531</v>
      </c>
      <c r="C34" s="170"/>
      <c r="D34" s="170"/>
      <c r="E34" s="170"/>
      <c r="F34" s="170"/>
      <c r="G34" s="170"/>
      <c r="H34" s="135"/>
      <c r="I34" s="187"/>
      <c r="J34" s="135" t="s">
        <v>183</v>
      </c>
      <c r="K34" s="175"/>
      <c r="L34" s="172"/>
      <c r="M34" s="172"/>
    </row>
    <row r="35" spans="1:13" ht="15.75" thickBot="1">
      <c r="A35" s="144"/>
      <c r="B35" s="170"/>
      <c r="C35" s="170"/>
      <c r="D35" s="170"/>
      <c r="E35" s="170"/>
      <c r="F35" s="170"/>
      <c r="G35" s="170"/>
      <c r="H35" s="172"/>
      <c r="I35" s="193"/>
      <c r="J35" s="172"/>
      <c r="K35" s="175"/>
      <c r="L35" s="172"/>
      <c r="M35" s="172"/>
    </row>
    <row r="36" spans="1:13" ht="15.75" thickBot="1">
      <c r="A36" s="144"/>
      <c r="B36" s="170" t="s">
        <v>542</v>
      </c>
      <c r="C36" s="170"/>
      <c r="D36" s="170"/>
      <c r="E36" s="170"/>
      <c r="F36" s="170"/>
      <c r="G36" s="170"/>
      <c r="H36" s="172"/>
      <c r="I36" s="194"/>
      <c r="J36" s="172"/>
      <c r="K36" s="176" t="s">
        <v>414</v>
      </c>
      <c r="L36" s="172"/>
      <c r="M36" s="172"/>
    </row>
    <row r="37" spans="1:13" ht="15">
      <c r="A37" s="144"/>
      <c r="B37" s="170"/>
      <c r="C37" s="170"/>
      <c r="D37" s="170"/>
      <c r="E37" s="170"/>
      <c r="F37" s="170"/>
      <c r="G37" s="170"/>
      <c r="H37" s="172"/>
      <c r="I37" s="193"/>
      <c r="J37" s="172"/>
      <c r="K37" s="175"/>
      <c r="L37" s="172"/>
      <c r="M37" s="172"/>
    </row>
    <row r="38" spans="1:13">
      <c r="B38" s="129"/>
      <c r="C38" s="129"/>
      <c r="D38" s="129"/>
      <c r="E38" s="129"/>
      <c r="F38" s="129"/>
      <c r="G38" s="129"/>
      <c r="H38" s="129"/>
    </row>
    <row r="39" spans="1:13" ht="23.25">
      <c r="A39" s="128"/>
      <c r="B39" s="156" t="s">
        <v>416</v>
      </c>
      <c r="C39" s="157"/>
      <c r="D39" s="157"/>
      <c r="E39" s="157"/>
      <c r="F39" s="157"/>
      <c r="G39" s="157"/>
      <c r="H39" s="157"/>
      <c r="I39" s="158"/>
      <c r="J39" s="158"/>
      <c r="K39" s="158"/>
      <c r="L39" s="158"/>
      <c r="M39" s="158"/>
    </row>
    <row r="40" spans="1:13" ht="23.25">
      <c r="A40" s="128"/>
      <c r="B40" s="156"/>
      <c r="C40" s="157"/>
      <c r="D40" s="157"/>
      <c r="E40" s="157"/>
      <c r="F40" s="157"/>
      <c r="G40" s="157"/>
      <c r="H40" s="157"/>
      <c r="I40" s="158"/>
      <c r="J40" s="158"/>
      <c r="K40" s="158"/>
      <c r="L40" s="158"/>
      <c r="M40" s="158"/>
    </row>
    <row r="41" spans="1:13" ht="18.75" customHeight="1">
      <c r="A41" s="128"/>
      <c r="B41" s="160" t="s">
        <v>477</v>
      </c>
      <c r="C41" s="157"/>
      <c r="D41" s="157"/>
      <c r="E41" s="157"/>
      <c r="F41" s="157"/>
      <c r="G41" s="157"/>
      <c r="H41" s="157"/>
      <c r="I41" s="158"/>
      <c r="J41" s="158"/>
      <c r="K41" s="158"/>
      <c r="L41" s="158"/>
      <c r="M41" s="158"/>
    </row>
    <row r="42" spans="1:13" ht="15" customHeight="1">
      <c r="A42" s="128"/>
      <c r="B42" s="156"/>
      <c r="C42" s="157"/>
      <c r="D42" s="157"/>
      <c r="E42" s="157"/>
      <c r="F42" s="157"/>
      <c r="G42" s="157"/>
      <c r="H42" s="157"/>
      <c r="I42" s="158"/>
      <c r="J42" s="158"/>
      <c r="K42" s="158"/>
      <c r="L42" s="158"/>
      <c r="M42" s="158"/>
    </row>
    <row r="43" spans="1:13" ht="30" customHeight="1">
      <c r="A43" s="128"/>
      <c r="B43" s="202" t="str">
        <f>IF('PPS and NPPS calcs'!H44=0,D147,VLOOKUP('PPS and NPPS calcs'!H34,$B$145:$D$147,3,FALSE))</f>
        <v>Yes. You qualify for full transitional protection, and as such you will remain in the  until you retire or leave service.</v>
      </c>
      <c r="C43" s="202"/>
      <c r="D43" s="202"/>
      <c r="E43" s="202"/>
      <c r="F43" s="202"/>
      <c r="G43" s="202"/>
      <c r="H43" s="202"/>
      <c r="I43" s="202"/>
      <c r="J43" s="202"/>
      <c r="K43" s="202"/>
      <c r="L43" s="202"/>
      <c r="M43" s="202"/>
    </row>
    <row r="44" spans="1:13" ht="15" customHeight="1">
      <c r="B44" s="159"/>
      <c r="C44" s="157"/>
      <c r="D44" s="157"/>
      <c r="E44" s="157"/>
      <c r="F44" s="157"/>
      <c r="G44" s="157"/>
      <c r="H44" s="157"/>
      <c r="I44" s="158"/>
      <c r="J44" s="158"/>
      <c r="K44" s="158"/>
      <c r="L44" s="158"/>
      <c r="M44" s="158"/>
    </row>
    <row r="45" spans="1:13" ht="18.75">
      <c r="B45" s="160" t="s">
        <v>370</v>
      </c>
      <c r="C45" s="161"/>
      <c r="D45" s="161"/>
      <c r="E45" s="161"/>
      <c r="F45" s="161"/>
      <c r="G45" s="161"/>
      <c r="H45" s="162"/>
      <c r="I45" s="162"/>
      <c r="J45" s="162"/>
      <c r="K45" s="162"/>
      <c r="L45" s="162"/>
      <c r="M45" s="158"/>
    </row>
    <row r="46" spans="1:13" ht="15">
      <c r="B46" s="162"/>
      <c r="C46" s="162"/>
      <c r="D46" s="162"/>
      <c r="E46" s="162"/>
      <c r="F46" s="162"/>
      <c r="G46" s="162"/>
      <c r="H46" s="162"/>
      <c r="I46" s="162"/>
      <c r="J46" s="162"/>
      <c r="K46" s="162"/>
      <c r="L46" s="162"/>
      <c r="M46" s="158"/>
    </row>
    <row r="47" spans="1:13" ht="15">
      <c r="B47" s="163" t="s">
        <v>467</v>
      </c>
      <c r="C47" s="162"/>
      <c r="D47" s="162"/>
      <c r="E47" s="162"/>
      <c r="F47" s="162"/>
      <c r="G47" s="162"/>
      <c r="H47" s="162"/>
      <c r="I47" s="162"/>
      <c r="J47" s="162"/>
      <c r="K47" s="162"/>
      <c r="L47" s="162"/>
      <c r="M47" s="158"/>
    </row>
    <row r="48" spans="1:13" ht="15">
      <c r="B48" s="162"/>
      <c r="C48" s="162"/>
      <c r="D48" s="162"/>
      <c r="E48" s="162"/>
      <c r="F48" s="162"/>
      <c r="G48" s="162"/>
      <c r="H48" s="162"/>
      <c r="I48" s="162"/>
      <c r="J48" s="162"/>
      <c r="K48" s="162"/>
      <c r="L48" s="162"/>
      <c r="M48" s="158"/>
    </row>
    <row r="49" spans="2:13" s="130" customFormat="1" ht="12.75" customHeight="1">
      <c r="B49" s="164"/>
      <c r="C49" s="164"/>
      <c r="D49" s="164"/>
      <c r="E49" s="164"/>
      <c r="F49" s="164"/>
      <c r="G49" s="164"/>
      <c r="H49" s="207" t="s">
        <v>368</v>
      </c>
      <c r="I49" s="163"/>
      <c r="J49" s="207" t="s">
        <v>369</v>
      </c>
      <c r="K49" s="163"/>
      <c r="L49" s="207" t="s">
        <v>229</v>
      </c>
      <c r="M49" s="158"/>
    </row>
    <row r="50" spans="2:13" s="130" customFormat="1" ht="12.75" customHeight="1">
      <c r="B50" s="164"/>
      <c r="C50" s="164"/>
      <c r="D50" s="164"/>
      <c r="E50" s="164"/>
      <c r="F50" s="164"/>
      <c r="G50" s="164"/>
      <c r="H50" s="207"/>
      <c r="I50" s="163"/>
      <c r="J50" s="207"/>
      <c r="K50" s="163"/>
      <c r="L50" s="207"/>
      <c r="M50" s="158"/>
    </row>
    <row r="51" spans="2:13" s="130" customFormat="1" ht="20.25" customHeight="1">
      <c r="B51" s="164"/>
      <c r="C51" s="164"/>
      <c r="D51" s="164"/>
      <c r="E51" s="164"/>
      <c r="F51" s="164"/>
      <c r="G51" s="164"/>
      <c r="H51" s="207"/>
      <c r="I51" s="163"/>
      <c r="J51" s="207"/>
      <c r="K51" s="163"/>
      <c r="L51" s="207"/>
      <c r="M51" s="158"/>
    </row>
    <row r="52" spans="2:13" s="130" customFormat="1" ht="15">
      <c r="B52" s="164"/>
      <c r="C52" s="164"/>
      <c r="D52" s="164"/>
      <c r="E52" s="164"/>
      <c r="F52" s="164"/>
      <c r="G52" s="164"/>
      <c r="H52" s="165">
        <f ca="1" xml:space="preserve">
MIN(ROUND('PPS and NPPS calcs'!H25,0),65)</f>
        <v>65</v>
      </c>
      <c r="I52" s="163"/>
      <c r="J52" s="166">
        <f xml:space="preserve">
ChosenRA</f>
        <v>0</v>
      </c>
      <c r="K52" s="163"/>
      <c r="L52" s="166">
        <v>60</v>
      </c>
      <c r="M52" s="158"/>
    </row>
    <row r="53" spans="2:13" s="130" customFormat="1" ht="15">
      <c r="B53" s="164"/>
      <c r="C53" s="164"/>
      <c r="D53" s="164"/>
      <c r="E53" s="164"/>
      <c r="F53" s="164"/>
      <c r="G53" s="164"/>
      <c r="H53" s="163"/>
      <c r="I53" s="163"/>
      <c r="J53" s="163"/>
      <c r="K53" s="163"/>
      <c r="L53" s="163"/>
      <c r="M53" s="158"/>
    </row>
    <row r="54" spans="2:13" ht="15">
      <c r="B54" s="163" t="str">
        <f>"Your projected pension at retirement in the "&amp;CurrentScheme</f>
        <v xml:space="preserve">Your projected pension at retirement in the </v>
      </c>
      <c r="C54" s="163"/>
      <c r="D54" s="163"/>
      <c r="E54" s="163"/>
      <c r="F54" s="163"/>
      <c r="G54" s="163"/>
      <c r="H54" s="150">
        <f ca="1">IF(H155&gt;$D$152,$D$152,$H$155)</f>
        <v>0</v>
      </c>
      <c r="I54" s="167"/>
      <c r="J54" s="150">
        <f ca="1">IF(J155&gt;$D$152,$D$152,$J$155)</f>
        <v>0</v>
      </c>
      <c r="K54" s="167"/>
      <c r="L54" s="150">
        <f ca="1">IF(L155&gt;$D$152,$D$152,$L$155)</f>
        <v>0</v>
      </c>
      <c r="M54" s="158"/>
    </row>
    <row r="55" spans="2:13" ht="15">
      <c r="B55" s="163" t="str">
        <f>IF(CurrentScheme="PPS","(You will have the option to commute part of this pension for a lump sum)","Plus lump sum")</f>
        <v>Plus lump sum</v>
      </c>
      <c r="C55" s="163"/>
      <c r="D55" s="163"/>
      <c r="E55" s="163"/>
      <c r="F55" s="163"/>
      <c r="G55" s="163"/>
      <c r="H55" s="151">
        <f ca="1">IF(CurrentScheme="PPS","",IF(H156&gt;$D$153,$D$153,$H$156))</f>
        <v>0</v>
      </c>
      <c r="I55" s="167"/>
      <c r="J55" s="151">
        <f ca="1">IF(CurrentScheme="PPS","",IF(J156&gt;$D$153,$D$153,$J$156))</f>
        <v>0</v>
      </c>
      <c r="K55" s="167"/>
      <c r="L55" s="151">
        <f ca="1">IF(CurrentScheme="PPS","",IF(L156&gt;$D$153,$D$153,$L$156))</f>
        <v>0</v>
      </c>
      <c r="M55" s="158"/>
    </row>
    <row r="56" spans="2:13" ht="15">
      <c r="B56" s="163"/>
      <c r="C56" s="163"/>
      <c r="D56" s="163"/>
      <c r="E56" s="163"/>
      <c r="F56" s="163"/>
      <c r="G56" s="163"/>
      <c r="H56" s="151" t="s">
        <v>465</v>
      </c>
      <c r="I56" s="167"/>
      <c r="J56" s="151" t="s">
        <v>465</v>
      </c>
      <c r="K56" s="167"/>
      <c r="L56" s="151" t="s">
        <v>465</v>
      </c>
      <c r="M56" s="158"/>
    </row>
    <row r="57" spans="2:13" ht="15">
      <c r="B57" s="163" t="s">
        <v>240</v>
      </c>
      <c r="C57" s="163"/>
      <c r="D57" s="163"/>
      <c r="E57" s="163"/>
      <c r="F57" s="163"/>
      <c r="G57" s="163"/>
      <c r="H57" s="151">
        <f ca="1">IF(I27="Part-time",IF('CARE calcs'!H28&lt;0,"input error",ROUND(I36*'CARE calcs'!H28,-2)),IF('CARE calcs'!H28&lt;0,"input error",ROUND('CARE calcs'!H28,-2)))</f>
        <v>0</v>
      </c>
      <c r="I57" s="167"/>
      <c r="J57" s="151" t="str">
        <f ca="1">IF(I27="Part-time", IF(OR(J52&lt;H52,'CARE calcs'!H34&lt;0),"input error",ROUND(I36*'CARE calcs'!H34,-2)), IF(OR(J52&lt;H52,'CARE calcs'!H34&lt;0),"input error",ROUND('CARE calcs'!H34,-2)))</f>
        <v>input error</v>
      </c>
      <c r="K57" s="167"/>
      <c r="L57" s="151">
        <f ca="1">IF(I27="Part-time",IF(C133&gt;L52,0,IF('CARE calcs'!H39&lt;0,"input error",ROUND(I36*'CARE calcs'!H39,-2))),IF(C133&gt;L52,0,IF('CARE calcs'!H39&lt;0,"input error",ROUND('CARE calcs'!H39,-2))))</f>
        <v>0</v>
      </c>
      <c r="M57" s="158"/>
    </row>
    <row r="58" spans="2:13" ht="15">
      <c r="B58" s="163" t="s">
        <v>445</v>
      </c>
      <c r="C58" s="163"/>
      <c r="D58" s="163"/>
      <c r="E58" s="163"/>
      <c r="F58" s="163"/>
      <c r="G58" s="163"/>
      <c r="H58" s="152">
        <f>IF(I27="Part-time", IF('CARE calcs'!H42&lt;0,"input error",ROUND(I36*'CARE calcs'!H42,-2)), IF('CARE calcs'!H42&lt;0,"input error",ROUND('CARE calcs'!H42,-2)))</f>
        <v>0</v>
      </c>
      <c r="I58" s="167"/>
      <c r="J58" s="152" t="str">
        <f ca="1">IF(I27="Part-time", IF(OR(J52&lt;H52,'CARE calcs'!H45&lt;0),"input error",ROUND(I36*'CARE calcs'!H45,-2)), IF(OR(J52&lt;H52,'CARE calcs'!H45&lt;0),"input error",ROUND('CARE calcs'!H45,-2)))</f>
        <v>input error</v>
      </c>
      <c r="K58" s="167"/>
      <c r="L58" s="152">
        <v>0</v>
      </c>
      <c r="M58" s="158"/>
    </row>
    <row r="59" spans="2:13" ht="15">
      <c r="B59" s="163" t="s">
        <v>479</v>
      </c>
      <c r="C59" s="162"/>
      <c r="D59" s="162"/>
      <c r="E59" s="162"/>
      <c r="F59" s="162"/>
      <c r="G59" s="162"/>
      <c r="H59" s="163"/>
      <c r="I59" s="163"/>
      <c r="J59" s="163"/>
      <c r="K59" s="163"/>
      <c r="L59" s="163"/>
      <c r="M59" s="158"/>
    </row>
    <row r="60" spans="2:13" s="144" customFormat="1"/>
    <row r="61" spans="2:13" s="144" customFormat="1"/>
    <row r="62" spans="2:13" ht="15.75">
      <c r="B62" s="147" t="s">
        <v>385</v>
      </c>
      <c r="C62" s="147"/>
      <c r="D62" s="147"/>
      <c r="E62" s="147"/>
      <c r="F62" s="147"/>
      <c r="G62" s="147"/>
      <c r="H62" s="147"/>
      <c r="I62" s="147"/>
      <c r="J62" s="147"/>
      <c r="K62" s="147"/>
      <c r="L62" s="147"/>
      <c r="M62" s="147"/>
    </row>
    <row r="63" spans="2:13" ht="27" customHeight="1">
      <c r="B63" s="199" t="s">
        <v>532</v>
      </c>
      <c r="C63" s="196"/>
      <c r="D63" s="196"/>
      <c r="E63" s="196"/>
      <c r="F63" s="196"/>
      <c r="G63" s="196"/>
      <c r="H63" s="196"/>
      <c r="I63" s="196"/>
      <c r="J63" s="196"/>
      <c r="K63" s="196"/>
      <c r="L63" s="196"/>
      <c r="M63" s="196"/>
    </row>
    <row r="64" spans="2:13" ht="12.75" customHeight="1">
      <c r="B64" s="199" t="s">
        <v>417</v>
      </c>
      <c r="C64" s="196"/>
      <c r="D64" s="196"/>
      <c r="E64" s="196"/>
      <c r="F64" s="196"/>
      <c r="G64" s="196"/>
      <c r="H64" s="196"/>
      <c r="I64" s="196"/>
      <c r="J64" s="196"/>
      <c r="K64" s="196"/>
      <c r="L64" s="196"/>
      <c r="M64" s="196"/>
    </row>
    <row r="65" spans="1:13" ht="12.75" customHeight="1">
      <c r="B65" s="195" t="s">
        <v>392</v>
      </c>
      <c r="C65" s="196"/>
      <c r="D65" s="196"/>
      <c r="E65" s="196"/>
      <c r="F65" s="196"/>
      <c r="G65" s="196"/>
      <c r="H65" s="196"/>
      <c r="I65" s="196"/>
      <c r="J65" s="196"/>
      <c r="K65" s="196"/>
      <c r="L65" s="196"/>
      <c r="M65" s="196"/>
    </row>
    <row r="66" spans="1:13" ht="12.75" customHeight="1">
      <c r="B66" s="206" t="s">
        <v>387</v>
      </c>
      <c r="C66" s="206"/>
      <c r="D66" s="206"/>
      <c r="E66" s="206"/>
      <c r="F66" s="206"/>
      <c r="G66" s="206"/>
      <c r="H66" s="206"/>
      <c r="I66" s="206"/>
      <c r="J66" s="206"/>
      <c r="K66" s="206"/>
      <c r="L66" s="206"/>
      <c r="M66" s="206"/>
    </row>
    <row r="67" spans="1:13" ht="12.75" customHeight="1">
      <c r="B67" s="206" t="s">
        <v>388</v>
      </c>
      <c r="C67" s="206"/>
      <c r="D67" s="206"/>
      <c r="E67" s="206"/>
      <c r="F67" s="206"/>
      <c r="G67" s="206"/>
      <c r="H67" s="206"/>
      <c r="I67" s="206"/>
      <c r="J67" s="206"/>
      <c r="K67" s="206"/>
      <c r="L67" s="206"/>
      <c r="M67" s="206"/>
    </row>
    <row r="68" spans="1:13" ht="12.75" customHeight="1">
      <c r="B68" s="206" t="s">
        <v>389</v>
      </c>
      <c r="C68" s="206"/>
      <c r="D68" s="206"/>
      <c r="E68" s="206"/>
      <c r="F68" s="206"/>
      <c r="G68" s="206"/>
      <c r="H68" s="206"/>
      <c r="I68" s="206"/>
      <c r="J68" s="206"/>
      <c r="K68" s="206"/>
      <c r="L68" s="206"/>
      <c r="M68" s="206"/>
    </row>
    <row r="69" spans="1:13" ht="12.75" customHeight="1">
      <c r="B69" s="195" t="s">
        <v>393</v>
      </c>
      <c r="C69" s="196"/>
      <c r="D69" s="196"/>
      <c r="E69" s="196"/>
      <c r="F69" s="196"/>
      <c r="G69" s="196"/>
      <c r="H69" s="196"/>
      <c r="I69" s="196"/>
      <c r="J69" s="196"/>
      <c r="K69" s="196"/>
      <c r="L69" s="196"/>
      <c r="M69" s="196"/>
    </row>
    <row r="70" spans="1:13" ht="26.25" customHeight="1">
      <c r="B70" s="195" t="s">
        <v>394</v>
      </c>
      <c r="C70" s="196"/>
      <c r="D70" s="196"/>
      <c r="E70" s="196"/>
      <c r="F70" s="196"/>
      <c r="G70" s="196"/>
      <c r="H70" s="196"/>
      <c r="I70" s="196"/>
      <c r="J70" s="196"/>
      <c r="K70" s="196"/>
      <c r="L70" s="196"/>
      <c r="M70" s="196"/>
    </row>
    <row r="71" spans="1:13" ht="40.5" customHeight="1">
      <c r="B71" s="197" t="s">
        <v>439</v>
      </c>
      <c r="C71" s="198"/>
      <c r="D71" s="198"/>
      <c r="E71" s="198"/>
      <c r="F71" s="198"/>
      <c r="G71" s="198"/>
      <c r="H71" s="198"/>
      <c r="I71" s="198"/>
      <c r="J71" s="198"/>
      <c r="K71" s="198"/>
      <c r="L71" s="198"/>
      <c r="M71" s="198"/>
    </row>
    <row r="72" spans="1:13" ht="12.75" customHeight="1">
      <c r="A72" s="130"/>
      <c r="B72" s="195" t="s">
        <v>395</v>
      </c>
      <c r="C72" s="196"/>
      <c r="D72" s="196"/>
      <c r="E72" s="196"/>
      <c r="F72" s="196"/>
      <c r="G72" s="196"/>
      <c r="H72" s="196"/>
      <c r="I72" s="196"/>
      <c r="J72" s="196"/>
      <c r="K72" s="196"/>
      <c r="L72" s="196"/>
      <c r="M72" s="196"/>
    </row>
    <row r="73" spans="1:13" ht="12.75" customHeight="1">
      <c r="A73" s="130"/>
      <c r="B73" s="199" t="s">
        <v>471</v>
      </c>
      <c r="C73" s="196"/>
      <c r="D73" s="196"/>
      <c r="E73" s="196"/>
      <c r="F73" s="196"/>
      <c r="G73" s="196"/>
      <c r="H73" s="196"/>
      <c r="I73" s="196"/>
      <c r="J73" s="196"/>
      <c r="K73" s="196"/>
      <c r="L73" s="196"/>
      <c r="M73" s="196"/>
    </row>
    <row r="74" spans="1:13" ht="12.75" customHeight="1">
      <c r="A74" s="130"/>
      <c r="B74" s="199" t="s">
        <v>533</v>
      </c>
      <c r="C74" s="196"/>
      <c r="D74" s="196"/>
      <c r="E74" s="196"/>
      <c r="F74" s="196"/>
      <c r="G74" s="196"/>
      <c r="H74" s="196"/>
      <c r="I74" s="196"/>
      <c r="J74" s="196"/>
      <c r="K74" s="196"/>
      <c r="L74" s="196"/>
      <c r="M74" s="196"/>
    </row>
    <row r="75" spans="1:13" ht="12.75" customHeight="1">
      <c r="A75" s="130"/>
      <c r="B75" s="199" t="s">
        <v>534</v>
      </c>
      <c r="C75" s="196"/>
      <c r="D75" s="196"/>
      <c r="E75" s="196"/>
      <c r="F75" s="196"/>
      <c r="G75" s="196"/>
      <c r="H75" s="196"/>
      <c r="I75" s="196"/>
      <c r="J75" s="196"/>
      <c r="K75" s="196"/>
      <c r="L75" s="196"/>
      <c r="M75" s="196"/>
    </row>
    <row r="76" spans="1:13" ht="12.75" customHeight="1">
      <c r="A76" s="130"/>
      <c r="B76" s="199" t="s">
        <v>535</v>
      </c>
      <c r="C76" s="196"/>
      <c r="D76" s="196"/>
      <c r="E76" s="196"/>
      <c r="F76" s="196"/>
      <c r="G76" s="196"/>
      <c r="H76" s="196"/>
      <c r="I76" s="196"/>
      <c r="J76" s="196"/>
      <c r="K76" s="196"/>
      <c r="L76" s="196"/>
      <c r="M76" s="196"/>
    </row>
    <row r="77" spans="1:13" ht="12.75" customHeight="1">
      <c r="B77" s="199" t="s">
        <v>536</v>
      </c>
      <c r="C77" s="196"/>
      <c r="D77" s="196"/>
      <c r="E77" s="196"/>
      <c r="F77" s="196"/>
      <c r="G77" s="196"/>
      <c r="H77" s="196"/>
      <c r="I77" s="196"/>
      <c r="J77" s="196"/>
      <c r="K77" s="196"/>
      <c r="L77" s="196"/>
      <c r="M77" s="196"/>
    </row>
    <row r="78" spans="1:13" ht="12.75" customHeight="1">
      <c r="B78" s="199" t="s">
        <v>537</v>
      </c>
      <c r="C78" s="196"/>
      <c r="D78" s="196"/>
      <c r="E78" s="196"/>
      <c r="F78" s="196"/>
      <c r="G78" s="196"/>
      <c r="H78" s="196"/>
      <c r="I78" s="196"/>
      <c r="J78" s="196"/>
      <c r="K78" s="196"/>
      <c r="L78" s="196"/>
      <c r="M78" s="196"/>
    </row>
    <row r="79" spans="1:13" ht="12.75" customHeight="1">
      <c r="A79" s="130"/>
      <c r="B79" s="199" t="s">
        <v>396</v>
      </c>
      <c r="C79" s="196"/>
      <c r="D79" s="196"/>
      <c r="E79" s="196"/>
      <c r="F79" s="196"/>
      <c r="G79" s="196"/>
      <c r="H79" s="196"/>
      <c r="I79" s="196"/>
      <c r="J79" s="196"/>
      <c r="K79" s="196"/>
      <c r="L79" s="196"/>
      <c r="M79" s="196"/>
    </row>
    <row r="80" spans="1:13" ht="27" customHeight="1">
      <c r="A80" s="130"/>
      <c r="B80" s="199" t="s">
        <v>397</v>
      </c>
      <c r="C80" s="196"/>
      <c r="D80" s="196"/>
      <c r="E80" s="196"/>
      <c r="F80" s="196"/>
      <c r="G80" s="196"/>
      <c r="H80" s="196"/>
      <c r="I80" s="196"/>
      <c r="J80" s="196"/>
      <c r="K80" s="196"/>
      <c r="L80" s="196"/>
      <c r="M80" s="196"/>
    </row>
    <row r="81" spans="1:13" ht="12.75" customHeight="1">
      <c r="A81" s="130"/>
      <c r="B81" s="199" t="s">
        <v>398</v>
      </c>
      <c r="C81" s="196"/>
      <c r="D81" s="196"/>
      <c r="E81" s="196"/>
      <c r="F81" s="196"/>
      <c r="G81" s="196"/>
      <c r="H81" s="196"/>
      <c r="I81" s="196"/>
      <c r="J81" s="196"/>
      <c r="K81" s="196"/>
      <c r="L81" s="196"/>
      <c r="M81" s="196"/>
    </row>
    <row r="82" spans="1:13" ht="43.5" customHeight="1">
      <c r="A82" s="130"/>
      <c r="B82" s="199" t="s">
        <v>538</v>
      </c>
      <c r="C82" s="196"/>
      <c r="D82" s="196"/>
      <c r="E82" s="196"/>
      <c r="F82" s="196"/>
      <c r="G82" s="196"/>
      <c r="H82" s="196"/>
      <c r="I82" s="196"/>
      <c r="J82" s="196"/>
      <c r="K82" s="196"/>
      <c r="L82" s="196"/>
      <c r="M82" s="196"/>
    </row>
    <row r="83" spans="1:13" ht="12.75" customHeight="1">
      <c r="A83" s="130"/>
      <c r="B83" s="199" t="s">
        <v>399</v>
      </c>
      <c r="C83" s="196"/>
      <c r="D83" s="196"/>
      <c r="E83" s="196"/>
      <c r="F83" s="196"/>
      <c r="G83" s="196"/>
      <c r="H83" s="196"/>
      <c r="I83" s="196"/>
      <c r="J83" s="196"/>
      <c r="K83" s="196"/>
      <c r="L83" s="196"/>
      <c r="M83" s="196"/>
    </row>
    <row r="84" spans="1:13" ht="39" customHeight="1">
      <c r="A84" s="130"/>
      <c r="B84" s="199" t="s">
        <v>539</v>
      </c>
      <c r="C84" s="196"/>
      <c r="D84" s="196"/>
      <c r="E84" s="196"/>
      <c r="F84" s="196"/>
      <c r="G84" s="196"/>
      <c r="H84" s="196"/>
      <c r="I84" s="196"/>
      <c r="J84" s="196"/>
      <c r="K84" s="196"/>
      <c r="L84" s="196"/>
      <c r="M84" s="196"/>
    </row>
    <row r="85" spans="1:13" ht="33.75" customHeight="1">
      <c r="A85" s="130"/>
      <c r="B85" s="199" t="s">
        <v>540</v>
      </c>
      <c r="C85" s="196"/>
      <c r="D85" s="196"/>
      <c r="E85" s="196"/>
      <c r="F85" s="196"/>
      <c r="G85" s="196"/>
      <c r="H85" s="196"/>
      <c r="I85" s="196"/>
      <c r="J85" s="196"/>
      <c r="K85" s="196"/>
      <c r="L85" s="196"/>
      <c r="M85" s="196"/>
    </row>
    <row r="86" spans="1:13" ht="12.75" customHeight="1">
      <c r="A86" s="130"/>
      <c r="B86" s="191"/>
      <c r="C86" s="148"/>
      <c r="D86" s="148"/>
      <c r="E86" s="148"/>
      <c r="F86" s="148"/>
      <c r="G86" s="148"/>
      <c r="H86" s="148"/>
      <c r="I86" s="148"/>
      <c r="J86" s="148"/>
      <c r="K86" s="148"/>
      <c r="L86" s="148"/>
      <c r="M86" s="148"/>
    </row>
    <row r="87" spans="1:13" ht="12.75" customHeight="1">
      <c r="A87" s="130"/>
      <c r="B87" s="147" t="s">
        <v>384</v>
      </c>
      <c r="C87" s="149"/>
      <c r="D87" s="149"/>
      <c r="E87" s="149"/>
      <c r="F87" s="149"/>
      <c r="G87" s="149"/>
      <c r="H87" s="149"/>
      <c r="I87" s="149"/>
      <c r="J87" s="149"/>
      <c r="K87" s="149"/>
      <c r="L87" s="149"/>
      <c r="M87" s="149"/>
    </row>
    <row r="88" spans="1:13" ht="12.75" customHeight="1">
      <c r="A88" s="130"/>
      <c r="B88" s="199" t="s">
        <v>429</v>
      </c>
      <c r="C88" s="196"/>
      <c r="D88" s="196"/>
      <c r="E88" s="196"/>
      <c r="F88" s="196"/>
      <c r="G88" s="196"/>
      <c r="H88" s="196"/>
      <c r="I88" s="196"/>
      <c r="J88" s="196"/>
      <c r="K88" s="196"/>
      <c r="L88" s="196"/>
      <c r="M88" s="196"/>
    </row>
    <row r="89" spans="1:13" ht="12.75" customHeight="1">
      <c r="A89" s="130"/>
      <c r="B89" s="199" t="s">
        <v>440</v>
      </c>
      <c r="C89" s="196"/>
      <c r="D89" s="196"/>
      <c r="E89" s="196"/>
      <c r="F89" s="196"/>
      <c r="G89" s="196"/>
      <c r="H89" s="196"/>
      <c r="I89" s="196"/>
      <c r="J89" s="196"/>
      <c r="K89" s="196"/>
      <c r="L89" s="196"/>
      <c r="M89" s="196"/>
    </row>
    <row r="90" spans="1:13" ht="27" customHeight="1">
      <c r="A90" s="130"/>
      <c r="B90" s="199" t="s">
        <v>400</v>
      </c>
      <c r="C90" s="196"/>
      <c r="D90" s="196"/>
      <c r="E90" s="196"/>
      <c r="F90" s="196"/>
      <c r="G90" s="196"/>
      <c r="H90" s="196"/>
      <c r="I90" s="196"/>
      <c r="J90" s="196"/>
      <c r="K90" s="196"/>
      <c r="L90" s="196"/>
      <c r="M90" s="196"/>
    </row>
    <row r="91" spans="1:13" ht="26.25" customHeight="1">
      <c r="A91" s="130"/>
      <c r="B91" s="199" t="s">
        <v>423</v>
      </c>
      <c r="C91" s="196"/>
      <c r="D91" s="196"/>
      <c r="E91" s="196"/>
      <c r="F91" s="196"/>
      <c r="G91" s="196"/>
      <c r="H91" s="196"/>
      <c r="I91" s="196"/>
      <c r="J91" s="196"/>
      <c r="K91" s="196"/>
      <c r="L91" s="196"/>
      <c r="M91" s="196"/>
    </row>
    <row r="92" spans="1:13" ht="12.75" customHeight="1">
      <c r="A92" s="130"/>
      <c r="B92" s="199" t="s">
        <v>401</v>
      </c>
      <c r="C92" s="196"/>
      <c r="D92" s="196"/>
      <c r="E92" s="196"/>
      <c r="F92" s="196"/>
      <c r="G92" s="196"/>
      <c r="H92" s="196"/>
      <c r="I92" s="196"/>
      <c r="J92" s="196"/>
      <c r="K92" s="196"/>
      <c r="L92" s="196"/>
      <c r="M92" s="196"/>
    </row>
    <row r="93" spans="1:13" ht="28.5" customHeight="1">
      <c r="A93" s="130"/>
      <c r="B93" s="199" t="s">
        <v>402</v>
      </c>
      <c r="C93" s="196"/>
      <c r="D93" s="196"/>
      <c r="E93" s="196"/>
      <c r="F93" s="196"/>
      <c r="G93" s="196"/>
      <c r="H93" s="196"/>
      <c r="I93" s="196"/>
      <c r="J93" s="196"/>
      <c r="K93" s="196"/>
      <c r="L93" s="196"/>
      <c r="M93" s="196"/>
    </row>
    <row r="94" spans="1:13" ht="12.75" customHeight="1">
      <c r="A94" s="130"/>
      <c r="B94" s="199"/>
      <c r="C94" s="196"/>
      <c r="D94" s="196"/>
      <c r="E94" s="196"/>
      <c r="F94" s="196"/>
      <c r="G94" s="196"/>
      <c r="H94" s="196"/>
      <c r="I94" s="196"/>
      <c r="J94" s="196"/>
      <c r="K94" s="196"/>
      <c r="L94" s="196"/>
      <c r="M94" s="196"/>
    </row>
    <row r="95" spans="1:13" s="130" customFormat="1" ht="12.75" customHeight="1">
      <c r="B95" s="147" t="s">
        <v>407</v>
      </c>
      <c r="C95" s="147"/>
      <c r="D95" s="147"/>
      <c r="E95" s="147"/>
      <c r="F95" s="147"/>
      <c r="G95" s="147"/>
      <c r="H95" s="147"/>
      <c r="I95" s="147"/>
      <c r="J95" s="147"/>
      <c r="K95" s="147"/>
      <c r="L95" s="147"/>
      <c r="M95" s="147"/>
    </row>
    <row r="96" spans="1:13" ht="31.5" customHeight="1">
      <c r="B96" s="199" t="s">
        <v>418</v>
      </c>
      <c r="C96" s="196"/>
      <c r="D96" s="196"/>
      <c r="E96" s="196"/>
      <c r="F96" s="196"/>
      <c r="G96" s="196"/>
      <c r="H96" s="196"/>
      <c r="I96" s="196"/>
      <c r="J96" s="196"/>
      <c r="K96" s="196"/>
      <c r="L96" s="196"/>
      <c r="M96" s="196"/>
    </row>
    <row r="97" spans="1:14">
      <c r="B97" s="199" t="s">
        <v>403</v>
      </c>
      <c r="C97" s="196"/>
      <c r="D97" s="196"/>
      <c r="E97" s="196"/>
      <c r="F97" s="196"/>
      <c r="G97" s="196"/>
      <c r="H97" s="196"/>
      <c r="I97" s="196"/>
      <c r="J97" s="196"/>
      <c r="K97" s="196"/>
      <c r="L97" s="196"/>
      <c r="M97" s="196"/>
    </row>
    <row r="98" spans="1:14" ht="28.5" customHeight="1">
      <c r="B98" s="199" t="s">
        <v>520</v>
      </c>
      <c r="C98" s="196"/>
      <c r="D98" s="196"/>
      <c r="E98" s="196"/>
      <c r="F98" s="196"/>
      <c r="G98" s="196"/>
      <c r="H98" s="196"/>
      <c r="I98" s="196"/>
      <c r="J98" s="196"/>
      <c r="K98" s="196"/>
      <c r="L98" s="196"/>
      <c r="M98" s="196"/>
    </row>
    <row r="99" spans="1:14" ht="16.5" customHeight="1">
      <c r="B99" s="199" t="s">
        <v>404</v>
      </c>
      <c r="C99" s="196"/>
      <c r="D99" s="196"/>
      <c r="E99" s="196"/>
      <c r="F99" s="196"/>
      <c r="G99" s="196"/>
      <c r="H99" s="196"/>
      <c r="I99" s="196"/>
      <c r="J99" s="196"/>
      <c r="K99" s="196"/>
      <c r="L99" s="196"/>
      <c r="M99" s="196"/>
    </row>
    <row r="100" spans="1:14" ht="27.75" customHeight="1">
      <c r="B100" s="199" t="s">
        <v>419</v>
      </c>
      <c r="C100" s="196"/>
      <c r="D100" s="196"/>
      <c r="E100" s="196"/>
      <c r="F100" s="196"/>
      <c r="G100" s="196"/>
      <c r="H100" s="196"/>
      <c r="I100" s="196"/>
      <c r="J100" s="196"/>
      <c r="K100" s="196"/>
      <c r="L100" s="196"/>
      <c r="M100" s="196"/>
    </row>
    <row r="101" spans="1:14" hidden="1">
      <c r="B101"/>
      <c r="C101"/>
      <c r="D101"/>
      <c r="E101"/>
      <c r="F101"/>
      <c r="G101"/>
      <c r="H101"/>
      <c r="I101"/>
      <c r="J101"/>
      <c r="K101"/>
      <c r="L101"/>
      <c r="M101"/>
    </row>
    <row r="102" spans="1:14" hidden="1">
      <c r="B102"/>
      <c r="C102"/>
      <c r="D102"/>
      <c r="E102"/>
      <c r="F102"/>
      <c r="G102"/>
      <c r="H102"/>
      <c r="I102"/>
      <c r="J102"/>
      <c r="K102"/>
      <c r="L102"/>
      <c r="M102"/>
    </row>
    <row r="103" spans="1:14" hidden="1">
      <c r="B103"/>
      <c r="C103"/>
      <c r="D103"/>
      <c r="E103"/>
      <c r="F103"/>
      <c r="G103"/>
      <c r="H103"/>
      <c r="I103"/>
      <c r="J103"/>
      <c r="K103"/>
      <c r="L103"/>
      <c r="M103"/>
    </row>
    <row r="104" spans="1:14" hidden="1"/>
    <row r="105" spans="1:14" hidden="1">
      <c r="C105" s="129" t="s">
        <v>376</v>
      </c>
      <c r="D105" s="131">
        <f ca="1">TODAY()</f>
        <v>42461</v>
      </c>
      <c r="F105" s="128"/>
      <c r="G105" s="141"/>
    </row>
    <row r="106" spans="1:14" hidden="1">
      <c r="F106" s="128"/>
    </row>
    <row r="107" spans="1:14" hidden="1">
      <c r="K107" s="129"/>
      <c r="N107" s="132"/>
    </row>
    <row r="108" spans="1:14" hidden="1">
      <c r="A108" s="133" t="s">
        <v>322</v>
      </c>
      <c r="B108" s="134"/>
      <c r="C108" s="134"/>
      <c r="K108" s="129"/>
      <c r="N108" s="132"/>
    </row>
    <row r="109" spans="1:14" hidden="1"/>
    <row r="110" spans="1:14" hidden="1">
      <c r="A110" s="135" t="s">
        <v>300</v>
      </c>
      <c r="B110" s="136">
        <v>35521</v>
      </c>
      <c r="C110" s="128"/>
      <c r="D110" s="128" t="s">
        <v>434</v>
      </c>
      <c r="E110" s="128"/>
      <c r="F110" s="128"/>
      <c r="G110" s="128"/>
      <c r="H110" s="128"/>
      <c r="I110" s="128"/>
      <c r="J110" s="128"/>
      <c r="K110" s="128"/>
      <c r="L110" s="128"/>
      <c r="M110" s="128"/>
    </row>
    <row r="111" spans="1:14" hidden="1">
      <c r="A111" s="136"/>
      <c r="B111" s="136">
        <f>DATE(YEAR(DJS)-18,MONTH(DJS),DAY(DJS))</f>
        <v>687388</v>
      </c>
      <c r="C111" s="128"/>
      <c r="D111" s="128" t="s">
        <v>433</v>
      </c>
      <c r="E111" s="128"/>
      <c r="F111" s="128"/>
      <c r="G111" s="128"/>
      <c r="H111" s="128"/>
      <c r="I111" s="128"/>
      <c r="J111" s="128"/>
      <c r="K111" s="128"/>
      <c r="L111" s="128"/>
      <c r="M111" s="128"/>
    </row>
    <row r="112" spans="1:14" hidden="1">
      <c r="A112" s="136"/>
      <c r="B112" s="136">
        <f>MIN(B110:B111)</f>
        <v>35521</v>
      </c>
      <c r="C112" s="128"/>
      <c r="D112" s="128" t="s">
        <v>435</v>
      </c>
      <c r="E112" s="128"/>
      <c r="F112" s="128"/>
      <c r="G112" s="128"/>
      <c r="H112" s="128"/>
      <c r="I112" s="128"/>
      <c r="J112" s="128"/>
      <c r="K112" s="128"/>
      <c r="L112" s="128"/>
      <c r="M112" s="128"/>
    </row>
    <row r="113" spans="1:13" hidden="1">
      <c r="A113" s="136"/>
      <c r="B113" s="136">
        <f ca="1">DATE(YEAR(D105)-65,MONTH(D105),DAY(D105))</f>
        <v>18719</v>
      </c>
      <c r="C113" s="128"/>
      <c r="D113" s="128" t="s">
        <v>436</v>
      </c>
      <c r="E113" s="128"/>
      <c r="F113" s="128"/>
      <c r="G113" s="128"/>
      <c r="H113" s="128"/>
      <c r="I113" s="128"/>
      <c r="J113" s="128"/>
      <c r="K113" s="128"/>
      <c r="L113" s="128"/>
      <c r="M113" s="128"/>
    </row>
    <row r="114" spans="1:13" hidden="1">
      <c r="A114" s="135" t="s">
        <v>59</v>
      </c>
      <c r="B114" s="137"/>
      <c r="C114" s="128"/>
      <c r="D114" s="128"/>
      <c r="E114" s="128"/>
      <c r="F114" s="128"/>
      <c r="G114" s="128"/>
      <c r="H114" s="128"/>
      <c r="I114" s="128"/>
      <c r="J114" s="128"/>
      <c r="K114" s="128"/>
      <c r="L114" s="128"/>
      <c r="M114" s="128"/>
    </row>
    <row r="115" spans="1:13" hidden="1">
      <c r="A115" s="138"/>
      <c r="B115" s="128" t="str">
        <f>+IF(D115&gt;=18,IF(DJS&gt;F115,C116,C115),C116)</f>
        <v>PPS</v>
      </c>
      <c r="C115" s="128" t="s">
        <v>60</v>
      </c>
      <c r="D115" s="139">
        <f>+(F115-DoB)/365.25</f>
        <v>106.26420260095824</v>
      </c>
      <c r="E115" s="140" t="s">
        <v>323</v>
      </c>
      <c r="F115" s="136">
        <v>38813</v>
      </c>
      <c r="G115" s="128"/>
      <c r="H115" s="128"/>
      <c r="I115" s="128"/>
      <c r="J115" s="128"/>
      <c r="K115" s="128"/>
      <c r="L115" s="128"/>
      <c r="M115" s="128"/>
    </row>
    <row r="116" spans="1:13" hidden="1">
      <c r="A116" s="138"/>
      <c r="B116" s="128" t="s">
        <v>61</v>
      </c>
      <c r="C116" s="128" t="str">
        <f>""</f>
        <v/>
      </c>
      <c r="D116" s="128" t="s">
        <v>310</v>
      </c>
      <c r="E116" s="128"/>
      <c r="F116" s="128"/>
      <c r="G116" s="128"/>
      <c r="H116" s="128"/>
      <c r="I116" s="128"/>
      <c r="J116" s="128"/>
      <c r="K116" s="128"/>
      <c r="L116" s="128"/>
      <c r="M116" s="128"/>
    </row>
    <row r="117" spans="1:13" hidden="1">
      <c r="A117" s="135" t="s">
        <v>302</v>
      </c>
      <c r="B117" s="128" t="s">
        <v>314</v>
      </c>
      <c r="C117" s="136">
        <f>+IF(CurrentScheme="PPS",D119,D117)</f>
        <v>42095</v>
      </c>
      <c r="D117" s="136">
        <v>42095</v>
      </c>
      <c r="E117" s="128" t="s">
        <v>304</v>
      </c>
      <c r="F117" s="128"/>
      <c r="G117" s="128"/>
      <c r="H117" s="128"/>
      <c r="I117" s="128"/>
      <c r="J117" s="128"/>
      <c r="K117" s="128"/>
      <c r="L117" s="128"/>
      <c r="M117" s="128"/>
    </row>
    <row r="118" spans="1:13" hidden="1">
      <c r="A118" s="128"/>
      <c r="B118" s="128" t="s">
        <v>313</v>
      </c>
      <c r="C118" s="136">
        <f>+DATE(YEAR(DoB)+18,MONTH(DoB),DAY(DoB))</f>
        <v>6575</v>
      </c>
      <c r="D118" s="136"/>
      <c r="E118" s="128" t="s">
        <v>303</v>
      </c>
      <c r="F118" s="128"/>
      <c r="G118" s="128"/>
      <c r="H118" s="128"/>
      <c r="I118" s="128"/>
      <c r="J118" s="128"/>
      <c r="K118" s="128"/>
      <c r="L118" s="128"/>
      <c r="M118" s="128"/>
    </row>
    <row r="119" spans="1:13" hidden="1">
      <c r="A119" s="128"/>
      <c r="B119" s="128"/>
      <c r="C119" s="136"/>
      <c r="D119" s="136">
        <v>38813</v>
      </c>
      <c r="E119" s="128" t="s">
        <v>310</v>
      </c>
      <c r="F119" s="128"/>
      <c r="G119" s="128"/>
      <c r="H119" s="128"/>
      <c r="I119" s="128"/>
      <c r="J119" s="128"/>
      <c r="K119" s="128"/>
      <c r="L119" s="128"/>
      <c r="M119" s="128"/>
    </row>
    <row r="120" spans="1:13" hidden="1">
      <c r="A120" s="135" t="s">
        <v>305</v>
      </c>
      <c r="B120" s="137"/>
      <c r="C120" s="136"/>
      <c r="E120" s="128"/>
      <c r="F120" s="128"/>
      <c r="G120" s="128"/>
      <c r="H120" s="128"/>
      <c r="I120" s="128"/>
      <c r="J120" s="128"/>
      <c r="K120" s="128"/>
      <c r="L120" s="128"/>
      <c r="M120" s="128"/>
    </row>
    <row r="121" spans="1:13" hidden="1">
      <c r="A121" s="128" t="s">
        <v>313</v>
      </c>
      <c r="B121" s="128">
        <v>23000</v>
      </c>
      <c r="D121" s="128"/>
      <c r="E121" s="128"/>
      <c r="F121" s="128"/>
      <c r="G121" s="128"/>
      <c r="H121" s="128"/>
      <c r="I121" s="128"/>
      <c r="J121" s="128"/>
      <c r="K121" s="128"/>
      <c r="L121" s="128"/>
      <c r="M121" s="128"/>
    </row>
    <row r="122" spans="1:13" hidden="1">
      <c r="A122" s="128" t="s">
        <v>314</v>
      </c>
      <c r="B122" s="128">
        <v>140000</v>
      </c>
      <c r="D122" s="128"/>
      <c r="E122" s="128"/>
      <c r="F122" s="128"/>
      <c r="G122" s="128"/>
      <c r="H122" s="128"/>
      <c r="I122" s="128"/>
      <c r="J122" s="128"/>
      <c r="K122" s="128"/>
      <c r="L122" s="128"/>
      <c r="M122" s="128"/>
    </row>
    <row r="123" spans="1:13" hidden="1">
      <c r="A123" s="135" t="s">
        <v>311</v>
      </c>
      <c r="B123" s="135"/>
      <c r="C123" s="135"/>
      <c r="D123" s="128"/>
      <c r="E123" s="128"/>
      <c r="F123" s="128"/>
      <c r="G123" s="128"/>
      <c r="H123" s="128"/>
      <c r="I123" s="128"/>
      <c r="J123" s="128"/>
      <c r="K123" s="128"/>
      <c r="L123" s="128"/>
      <c r="M123" s="128"/>
    </row>
    <row r="124" spans="1:13" hidden="1">
      <c r="A124" s="128" t="s">
        <v>314</v>
      </c>
      <c r="B124" s="141">
        <f>INT((DJS-DATE(YEAR(DoB)+16,MONTH(DoB),DAY(DoB)))/365.25)</f>
        <v>-16</v>
      </c>
      <c r="C124" s="139">
        <f>+IF(TVinYears&gt;=B124,D124,D125)</f>
        <v>0</v>
      </c>
      <c r="D124" s="128">
        <f>+INT(((DJS-DATE(YEAR(DoB)+16,MONTH(DoB),DAY(DoB)))/365.25-INT((DJS-DATE(YEAR(DoB)+16,MONTH(DoB),DAY(DoB)))/365.25))*365.25)</f>
        <v>0</v>
      </c>
      <c r="E124" s="128" t="s">
        <v>312</v>
      </c>
      <c r="F124" s="128"/>
      <c r="G124" s="128"/>
      <c r="H124" s="128"/>
      <c r="I124" s="128"/>
      <c r="J124" s="128"/>
      <c r="K124" s="128"/>
      <c r="L124" s="128"/>
      <c r="M124" s="128"/>
    </row>
    <row r="125" spans="1:13" hidden="1">
      <c r="A125" s="128"/>
      <c r="B125" s="128"/>
      <c r="C125" s="128"/>
      <c r="D125" s="128">
        <v>365</v>
      </c>
      <c r="E125" s="128"/>
      <c r="F125" s="128"/>
      <c r="G125" s="128"/>
      <c r="H125" s="128"/>
      <c r="I125" s="128"/>
      <c r="J125" s="128"/>
      <c r="K125" s="128"/>
      <c r="L125" s="128"/>
      <c r="M125" s="128"/>
    </row>
    <row r="126" spans="1:13" hidden="1">
      <c r="A126" s="135" t="s">
        <v>315</v>
      </c>
      <c r="B126" s="135"/>
      <c r="D126" s="128"/>
      <c r="E126" s="128"/>
      <c r="F126" s="128"/>
      <c r="G126" s="128"/>
      <c r="H126" s="128"/>
      <c r="I126" s="128"/>
      <c r="J126" s="128"/>
      <c r="K126" s="128"/>
      <c r="L126" s="128"/>
      <c r="M126" s="128"/>
    </row>
    <row r="127" spans="1:13" hidden="1">
      <c r="A127" s="128" t="s">
        <v>313</v>
      </c>
      <c r="B127" s="141">
        <f ca="1">+IF(CurrentScheme="NPPS",B130,D130)</f>
        <v>117</v>
      </c>
      <c r="C127" s="128"/>
      <c r="D127" s="128"/>
      <c r="E127" s="128"/>
      <c r="F127" s="128"/>
      <c r="G127" s="128"/>
      <c r="I127" s="128"/>
      <c r="J127" s="128"/>
      <c r="K127" s="128"/>
      <c r="L127" s="128"/>
      <c r="M127" s="128"/>
    </row>
    <row r="128" spans="1:13" hidden="1">
      <c r="A128" s="128" t="s">
        <v>314</v>
      </c>
      <c r="B128" s="141">
        <f>+IF(CurrentScheme="NPPS",B131,D131)</f>
        <v>65</v>
      </c>
      <c r="C128" s="128"/>
      <c r="D128" s="128"/>
      <c r="E128" s="128"/>
      <c r="F128" s="128"/>
      <c r="G128" s="128"/>
      <c r="I128" s="128"/>
      <c r="J128" s="128"/>
      <c r="K128" s="128"/>
      <c r="L128" s="128"/>
      <c r="M128" s="128"/>
    </row>
    <row r="129" spans="1:13" hidden="1">
      <c r="A129" s="128" t="s">
        <v>61</v>
      </c>
      <c r="B129" s="128"/>
      <c r="C129" s="128" t="s">
        <v>60</v>
      </c>
      <c r="D129" s="128"/>
      <c r="E129" s="128"/>
      <c r="F129" s="128"/>
      <c r="G129" s="128"/>
      <c r="I129" s="128"/>
      <c r="J129" s="128"/>
      <c r="K129" s="128"/>
      <c r="L129" s="128"/>
      <c r="M129" s="128"/>
    </row>
    <row r="130" spans="1:13" hidden="1">
      <c r="A130" s="128" t="s">
        <v>313</v>
      </c>
      <c r="B130" s="141">
        <f ca="1">+MAX(55,C133)</f>
        <v>117</v>
      </c>
      <c r="C130" s="128" t="s">
        <v>313</v>
      </c>
      <c r="D130" s="141">
        <f ca="1">MAX(ROUND((C138-DoB)/365.25,2),C133)</f>
        <v>117</v>
      </c>
      <c r="E130" s="139"/>
      <c r="F130" s="139"/>
      <c r="G130" s="128"/>
      <c r="I130" s="128"/>
      <c r="J130" s="128"/>
      <c r="K130" s="128"/>
      <c r="L130" s="128"/>
      <c r="M130" s="128"/>
    </row>
    <row r="131" spans="1:13" hidden="1">
      <c r="A131" s="128" t="s">
        <v>314</v>
      </c>
      <c r="B131" s="141">
        <v>65</v>
      </c>
      <c r="C131" s="128" t="s">
        <v>314</v>
      </c>
      <c r="D131" s="141">
        <v>65</v>
      </c>
      <c r="E131" s="128"/>
      <c r="F131" s="136"/>
      <c r="G131" s="128"/>
      <c r="I131" s="128"/>
      <c r="J131" s="128"/>
      <c r="K131" s="128"/>
      <c r="L131" s="128"/>
      <c r="M131" s="128"/>
    </row>
    <row r="132" spans="1:13" hidden="1">
      <c r="A132" s="138" t="s">
        <v>329</v>
      </c>
      <c r="B132" s="141"/>
      <c r="C132" s="128"/>
      <c r="D132" s="136">
        <f>+DATE(YEAR(DJS)-TVinYears,MONTH(DJS),DAY(DJS))-TVinDays</f>
        <v>0</v>
      </c>
      <c r="E132" s="128"/>
      <c r="F132" s="136"/>
      <c r="G132" s="128"/>
      <c r="I132" s="128"/>
      <c r="J132" s="128"/>
      <c r="K132" s="128"/>
      <c r="L132" s="128"/>
      <c r="M132" s="128"/>
    </row>
    <row r="133" spans="1:13" hidden="1">
      <c r="A133" s="138"/>
      <c r="B133" s="141"/>
      <c r="C133" s="139">
        <f ca="1">+ROUNDUP((D105-DoB)/365.25,0)</f>
        <v>117</v>
      </c>
      <c r="D133" s="136" t="s">
        <v>383</v>
      </c>
      <c r="E133" s="128"/>
      <c r="F133" s="136"/>
      <c r="G133" s="128"/>
      <c r="I133" s="128"/>
      <c r="J133" s="128"/>
      <c r="K133" s="128"/>
      <c r="L133" s="128"/>
      <c r="M133" s="128"/>
    </row>
    <row r="134" spans="1:13" hidden="1">
      <c r="A134" s="128"/>
      <c r="B134" s="136"/>
      <c r="C134" s="136">
        <f>+DATE(YEAR(D132)+30,MONTH(D132),DAY(D132))</f>
        <v>10958</v>
      </c>
      <c r="D134" s="128" t="s">
        <v>317</v>
      </c>
      <c r="E134" s="128"/>
      <c r="F134" s="128"/>
      <c r="G134" s="128"/>
      <c r="I134" s="128"/>
      <c r="J134" s="128"/>
      <c r="K134" s="128"/>
      <c r="L134" s="128"/>
      <c r="M134" s="128"/>
    </row>
    <row r="135" spans="1:13" hidden="1">
      <c r="A135" s="128"/>
      <c r="B135" s="128"/>
      <c r="C135" s="136">
        <f>+DATE(YEAR(DoB)+55,MONTH(DoB),DAY(DoB))</f>
        <v>20089</v>
      </c>
      <c r="D135" s="128" t="s">
        <v>316</v>
      </c>
      <c r="E135" s="128"/>
      <c r="F135" s="128"/>
      <c r="G135" s="128"/>
      <c r="I135" s="128"/>
      <c r="J135" s="128"/>
      <c r="K135" s="128"/>
      <c r="L135" s="128"/>
      <c r="M135" s="128"/>
    </row>
    <row r="136" spans="1:13" hidden="1">
      <c r="A136" s="128"/>
      <c r="B136" s="128"/>
      <c r="C136" s="136">
        <f>+DATE(YEAR(D132)+25,MONTH(D132),DAY(D132))</f>
        <v>9132</v>
      </c>
      <c r="D136" s="128" t="s">
        <v>318</v>
      </c>
      <c r="E136" s="128"/>
      <c r="F136" s="128"/>
      <c r="G136" s="128"/>
      <c r="I136" s="128"/>
      <c r="J136" s="128"/>
      <c r="K136" s="128"/>
      <c r="L136" s="128"/>
      <c r="M136" s="128"/>
    </row>
    <row r="137" spans="1:13" hidden="1">
      <c r="A137" s="128"/>
      <c r="B137" s="136"/>
      <c r="C137" s="136">
        <f>+DATE(YEAR(DoB)+50,MONTH(DoB),DAY(DoB))</f>
        <v>18263</v>
      </c>
      <c r="D137" s="128" t="s">
        <v>319</v>
      </c>
      <c r="E137" s="128"/>
      <c r="F137" s="128"/>
      <c r="G137" s="128"/>
      <c r="I137" s="128"/>
      <c r="J137" s="128"/>
      <c r="K137" s="128"/>
      <c r="L137" s="128"/>
      <c r="M137" s="128"/>
    </row>
    <row r="138" spans="1:13" hidden="1">
      <c r="A138" s="129" t="s">
        <v>320</v>
      </c>
      <c r="B138" s="128"/>
      <c r="C138" s="136">
        <f>+MIN(C134,C135,MAX(C136,C137))</f>
        <v>10958</v>
      </c>
      <c r="D138" s="128" t="s">
        <v>321</v>
      </c>
      <c r="F138" s="128"/>
      <c r="G138" s="128"/>
      <c r="H138" s="128"/>
      <c r="I138" s="128"/>
      <c r="J138" s="128"/>
      <c r="K138" s="128"/>
      <c r="L138" s="128"/>
      <c r="M138" s="128"/>
    </row>
    <row r="139" spans="1:13" hidden="1">
      <c r="K139" s="128"/>
      <c r="L139" s="128"/>
      <c r="M139" s="128"/>
    </row>
    <row r="140" spans="1:13" hidden="1">
      <c r="B140" s="129" t="s">
        <v>186</v>
      </c>
      <c r="D140" s="123" t="str">
        <f>'PPS and NPPS calcs'!H34</f>
        <v>Full</v>
      </c>
      <c r="K140" s="128"/>
      <c r="L140" s="128"/>
      <c r="M140" s="128"/>
    </row>
    <row r="141" spans="1:13" hidden="1">
      <c r="B141" s="129" t="s">
        <v>203</v>
      </c>
      <c r="D141" s="131" t="str">
        <f>'PPS and NPPS calcs'!H46</f>
        <v>N/A</v>
      </c>
      <c r="E141" s="123" t="str">
        <f>TEXT(D141,"d mmmm yyyy")</f>
        <v>N/A</v>
      </c>
      <c r="K141" s="128"/>
      <c r="L141" s="128"/>
      <c r="M141" s="128"/>
    </row>
    <row r="142" spans="1:13" hidden="1">
      <c r="B142" s="129" t="s">
        <v>184</v>
      </c>
      <c r="D142" s="131" t="e">
        <f>D141+1</f>
        <v>#VALUE!</v>
      </c>
      <c r="E142" s="123" t="e">
        <f>TEXT(D142,"d mmmm yyyy")</f>
        <v>#VALUE!</v>
      </c>
      <c r="K142" s="128"/>
      <c r="L142" s="128"/>
      <c r="M142" s="128"/>
    </row>
    <row r="143" spans="1:13" hidden="1">
      <c r="B143" s="129"/>
      <c r="K143" s="128"/>
      <c r="L143" s="128"/>
      <c r="M143" s="128"/>
    </row>
    <row r="144" spans="1:13" ht="12.75" hidden="1" customHeight="1">
      <c r="A144" s="129"/>
      <c r="B144" s="178" t="s">
        <v>454</v>
      </c>
      <c r="C144" s="177"/>
      <c r="D144" s="178" t="s">
        <v>455</v>
      </c>
      <c r="I144" s="128"/>
      <c r="J144" s="128"/>
      <c r="K144" s="128"/>
    </row>
    <row r="145" spans="1:12" hidden="1">
      <c r="B145" s="123" t="s">
        <v>451</v>
      </c>
      <c r="C145" s="128"/>
      <c r="D145" s="128" t="str">
        <f>"Yes. You qualify for full transitional protection, and as such you will remain in the "&amp;CurrentScheme&amp;" until you retire or leave service."</f>
        <v>Yes. You qualify for full transitional protection, and as such you will remain in the  until you retire or leave service.</v>
      </c>
      <c r="I145" s="128"/>
      <c r="J145" s="128"/>
      <c r="K145" s="128"/>
    </row>
    <row r="146" spans="1:12" hidden="1">
      <c r="A146" s="128"/>
      <c r="B146" s="128" t="s">
        <v>452</v>
      </c>
      <c r="C146" s="128"/>
      <c r="D146" s="128" t="e">
        <f>"Yes. You qualify for tapered protection, and as such you will remain in the "&amp;CurrentScheme&amp;" until no later than "&amp;E141&amp;". Unless you have retired early or left service, you came, or will become, a member of the new scheme from "&amp;E142&amp;"."</f>
        <v>#VALUE!</v>
      </c>
      <c r="E146" s="128"/>
      <c r="F146" s="128"/>
      <c r="G146" s="128"/>
      <c r="H146" s="128"/>
      <c r="I146" s="128"/>
      <c r="J146" s="128"/>
      <c r="K146" s="128"/>
    </row>
    <row r="147" spans="1:12" hidden="1">
      <c r="B147" s="123" t="s">
        <v>453</v>
      </c>
      <c r="C147" s="128"/>
      <c r="D147" s="128" t="s">
        <v>522</v>
      </c>
    </row>
    <row r="148" spans="1:12" hidden="1">
      <c r="C148" s="128"/>
      <c r="D148" s="128"/>
    </row>
    <row r="149" spans="1:12" hidden="1">
      <c r="B149" s="128" t="s">
        <v>496</v>
      </c>
      <c r="C149" s="128"/>
      <c r="D149" s="128">
        <f>INT((I31-DJS)/365.25)</f>
        <v>0</v>
      </c>
    </row>
    <row r="150" spans="1:12" hidden="1">
      <c r="B150" s="128" t="s">
        <v>499</v>
      </c>
      <c r="C150" s="128"/>
      <c r="D150" s="136">
        <f ca="1">TODAY()</f>
        <v>42461</v>
      </c>
    </row>
    <row r="151" spans="1:12" hidden="1">
      <c r="B151" s="128"/>
      <c r="C151" s="128"/>
      <c r="D151" s="136"/>
    </row>
    <row r="152" spans="1:12" hidden="1">
      <c r="B152" s="128" t="s">
        <v>506</v>
      </c>
      <c r="C152" s="128"/>
      <c r="D152" s="189">
        <f>ROUND(IF(CurrentScheme="NPPS",0.5*CurrentSal,2/3*CurrentSal),-2)</f>
        <v>0</v>
      </c>
    </row>
    <row r="153" spans="1:12" hidden="1">
      <c r="B153" s="128" t="s">
        <v>507</v>
      </c>
      <c r="C153" s="128"/>
      <c r="D153" s="189">
        <f>ROUND(4*0.5*CurrentSal,-2)</f>
        <v>0</v>
      </c>
    </row>
    <row r="154" spans="1:12" hidden="1">
      <c r="B154" s="128" t="s">
        <v>508</v>
      </c>
      <c r="C154" s="128"/>
      <c r="D154" s="189"/>
    </row>
    <row r="155" spans="1:12" ht="15" hidden="1">
      <c r="B155" s="163" t="s">
        <v>466</v>
      </c>
      <c r="C155" s="163"/>
      <c r="D155" s="163"/>
      <c r="E155" s="163"/>
      <c r="F155" s="163"/>
      <c r="G155" s="163"/>
      <c r="H155" s="150">
        <f ca="1">IF(I27="Part-time",IF('PPS and NPPS calcs'!H71&lt;0,"input error",ROUND(C178*'PPS and NPPS calcs'!H71,-2)),IF('PPS and NPPS calcs'!H71&lt;0,"input error",ROUND('PPS and NPPS calcs'!H71,-2)))</f>
        <v>0</v>
      </c>
      <c r="I155" s="167"/>
      <c r="J155" s="150" t="str">
        <f ca="1">IF(I27="Part-time",IF(OR(J52&lt;H52,'PPS and NPPS calcs'!H75&lt;0),"input error",ROUND(D178*'PPS and NPPS calcs'!H75,-2)), IF(OR(J52&lt;H52,'PPS and NPPS calcs'!H75&lt;0),"input error",ROUND('PPS and NPPS calcs'!H75,-2)))</f>
        <v>input error</v>
      </c>
      <c r="K155" s="167"/>
      <c r="L155" s="150">
        <f ca="1">IF(I27="Part-time",IF(C133&gt;L52,0,IF('PPS and NPPS calcs'!H79&lt;0,"input error",ROUND(E178*'PPS and NPPS calcs'!H79,-2))), IF(C133&gt;L52,0,IF('PPS and NPPS calcs'!H79&lt;0,"input error",ROUND('PPS and NPPS calcs'!H79,-2))))</f>
        <v>0</v>
      </c>
    </row>
    <row r="156" spans="1:12" ht="15" hidden="1">
      <c r="B156" s="163" t="str">
        <f>IF(CurrentScheme="PPS","(You will have the option to commute part of this pension for a lump sum)","Plus lump sum")</f>
        <v>Plus lump sum</v>
      </c>
      <c r="C156" s="163"/>
      <c r="D156" s="163"/>
      <c r="E156" s="163"/>
      <c r="F156" s="163"/>
      <c r="G156" s="163"/>
      <c r="H156" s="151">
        <f ca="1">IF(I27="Part-time", IF(CurrentScheme="PPS","",IF('PPS and NPPS calcs'!H72&lt;0,"input error",ROUND(C178*'PPS and NPPS calcs'!H72,-2))), IF(CurrentScheme="PPS","",IF('PPS and NPPS calcs'!H72&lt;0,"input error",ROUND('PPS and NPPS calcs'!H72,-2))))</f>
        <v>0</v>
      </c>
      <c r="I156" s="167"/>
      <c r="J156" s="151" t="str">
        <f ca="1">IF(I27="Part-time", IF(CurrentScheme="PPS","",IF(OR(J52&lt;H52,'PPS and NPPS calcs'!H76&lt;0),"input error",ROUND(D178*'PPS and NPPS calcs'!H76,-2))), IF(CurrentScheme="PPS","",IF(OR(J52&lt;H52,'PPS and NPPS calcs'!H76&lt;0),"input error",ROUND('PPS and NPPS calcs'!H76,-2))))</f>
        <v>input error</v>
      </c>
      <c r="K156" s="167"/>
      <c r="L156" s="151">
        <f ca="1">IF(I27="Part-time",IF(C133&gt;L52,0,IF(CurrentScheme="PPS","",IF('PPS and NPPS calcs'!H80&lt;0,"input error",ROUND(E178*'PPS and NPPS calcs'!H80,-2)))), IF(C133&gt;L52,0,IF(CurrentScheme="PPS","",IF('PPS and NPPS calcs'!H80&lt;0,"input error",ROUND('PPS and NPPS calcs'!H80,-2)))))</f>
        <v>0</v>
      </c>
    </row>
    <row r="157" spans="1:12" hidden="1">
      <c r="B157" s="128"/>
      <c r="C157" s="128"/>
      <c r="D157" s="189"/>
    </row>
    <row r="158" spans="1:12" hidden="1">
      <c r="B158" s="128"/>
      <c r="C158" s="128"/>
      <c r="D158" s="189"/>
    </row>
    <row r="159" spans="1:12" hidden="1"/>
    <row r="160" spans="1:12" hidden="1">
      <c r="A160" s="142" t="s">
        <v>299</v>
      </c>
      <c r="B160" s="143"/>
      <c r="C160" s="143"/>
      <c r="D160" s="143"/>
      <c r="E160" s="143"/>
      <c r="F160" s="143"/>
      <c r="G160" s="143"/>
      <c r="H160" s="143"/>
      <c r="I160" s="143"/>
      <c r="J160" s="143"/>
    </row>
    <row r="161" spans="1:10" hidden="1">
      <c r="A161" s="143"/>
      <c r="B161" s="143"/>
      <c r="C161" s="143"/>
      <c r="D161" s="143"/>
      <c r="E161" s="143"/>
      <c r="F161" s="143"/>
      <c r="G161" s="143"/>
      <c r="H161" s="143"/>
      <c r="I161" s="143"/>
      <c r="J161" s="143"/>
    </row>
    <row r="162" spans="1:10" hidden="1">
      <c r="A162" s="143" t="s">
        <v>300</v>
      </c>
      <c r="B162" s="143" t="s">
        <v>301</v>
      </c>
      <c r="C162" s="143"/>
      <c r="D162" s="143"/>
      <c r="E162" s="143"/>
      <c r="F162" s="143"/>
      <c r="G162" s="143"/>
      <c r="H162" s="143"/>
      <c r="I162" s="143"/>
      <c r="J162" s="143"/>
    </row>
    <row r="163" spans="1:10" hidden="1">
      <c r="A163" s="143" t="s">
        <v>302</v>
      </c>
      <c r="B163" s="143" t="s">
        <v>303</v>
      </c>
      <c r="C163" s="143"/>
      <c r="D163" s="143"/>
      <c r="E163" s="143"/>
      <c r="F163" s="143"/>
      <c r="G163" s="143"/>
      <c r="H163" s="143"/>
      <c r="I163" s="143"/>
      <c r="J163" s="143"/>
    </row>
    <row r="164" spans="1:10" hidden="1">
      <c r="A164" s="143"/>
      <c r="B164" s="143" t="s">
        <v>304</v>
      </c>
      <c r="C164" s="143"/>
      <c r="D164" s="143"/>
      <c r="E164" s="143"/>
      <c r="F164" s="143"/>
      <c r="G164" s="143"/>
      <c r="H164" s="143"/>
      <c r="I164" s="143"/>
      <c r="J164" s="143"/>
    </row>
    <row r="165" spans="1:10" hidden="1">
      <c r="A165" s="143" t="s">
        <v>305</v>
      </c>
      <c r="B165" s="143" t="s">
        <v>306</v>
      </c>
      <c r="C165" s="143"/>
      <c r="D165" s="143"/>
      <c r="E165" s="143"/>
      <c r="F165" s="143"/>
      <c r="G165" s="143"/>
      <c r="H165" s="143"/>
      <c r="I165" s="143"/>
      <c r="J165" s="143"/>
    </row>
    <row r="166" spans="1:10" hidden="1">
      <c r="A166" s="143" t="s">
        <v>307</v>
      </c>
      <c r="B166" s="143" t="s">
        <v>308</v>
      </c>
      <c r="C166" s="143"/>
      <c r="D166" s="143"/>
      <c r="E166" s="143"/>
      <c r="F166" s="143"/>
      <c r="G166" s="143"/>
      <c r="H166" s="143"/>
      <c r="I166" s="143"/>
      <c r="J166" s="143"/>
    </row>
    <row r="167" spans="1:10" hidden="1">
      <c r="A167" s="143"/>
      <c r="B167" s="143" t="s">
        <v>309</v>
      </c>
      <c r="C167" s="143"/>
      <c r="D167" s="143"/>
      <c r="E167" s="143"/>
      <c r="F167" s="143"/>
      <c r="G167" s="143"/>
      <c r="H167" s="143"/>
      <c r="I167" s="143"/>
      <c r="J167" s="143"/>
    </row>
    <row r="168" spans="1:10" hidden="1">
      <c r="A168" s="143" t="s">
        <v>216</v>
      </c>
      <c r="B168" s="143" t="s">
        <v>310</v>
      </c>
      <c r="C168" s="143"/>
      <c r="D168" s="143"/>
      <c r="E168" s="143"/>
      <c r="F168" s="143"/>
      <c r="G168" s="143"/>
      <c r="H168" s="143"/>
      <c r="I168" s="143"/>
      <c r="J168" s="143"/>
    </row>
    <row r="169" spans="1:10" hidden="1">
      <c r="A169" s="143" t="s">
        <v>311</v>
      </c>
      <c r="B169" s="143" t="s">
        <v>312</v>
      </c>
      <c r="C169" s="143"/>
      <c r="D169" s="143"/>
      <c r="E169" s="143"/>
      <c r="F169" s="143"/>
      <c r="G169" s="143"/>
      <c r="H169" s="143"/>
      <c r="I169" s="143"/>
      <c r="J169" s="143"/>
    </row>
    <row r="170" spans="1:10" hidden="1">
      <c r="A170" s="188" t="s">
        <v>497</v>
      </c>
      <c r="B170" s="143"/>
      <c r="C170" s="143"/>
      <c r="D170" s="143"/>
      <c r="E170" s="143"/>
      <c r="F170" s="143"/>
      <c r="G170" s="143"/>
      <c r="H170" s="143"/>
      <c r="I170" s="143"/>
      <c r="J170" s="143"/>
    </row>
    <row r="171" spans="1:10" hidden="1">
      <c r="A171" s="188" t="s">
        <v>498</v>
      </c>
      <c r="B171" s="143"/>
      <c r="C171" s="143"/>
      <c r="D171" s="143"/>
      <c r="E171" s="143"/>
      <c r="F171" s="143"/>
      <c r="G171" s="143"/>
      <c r="H171" s="143"/>
      <c r="I171" s="143"/>
      <c r="J171" s="143"/>
    </row>
    <row r="172" spans="1:10" hidden="1"/>
    <row r="173" spans="1:10" hidden="1">
      <c r="A173" s="128" t="s">
        <v>480</v>
      </c>
    </row>
    <row r="174" spans="1:10" hidden="1">
      <c r="A174" s="128" t="s">
        <v>481</v>
      </c>
    </row>
    <row r="175" spans="1:10" hidden="1">
      <c r="C175" s="129" t="s">
        <v>488</v>
      </c>
      <c r="D175" s="129" t="s">
        <v>489</v>
      </c>
      <c r="E175" s="129" t="s">
        <v>490</v>
      </c>
    </row>
    <row r="176" spans="1:10" hidden="1">
      <c r="A176" s="123" t="s">
        <v>484</v>
      </c>
      <c r="C176" s="131">
        <f ca="1">IF(D140="Full", C177, D141)</f>
        <v>23742</v>
      </c>
      <c r="D176" s="131">
        <f>IF(D140="Full", D177, D141)</f>
        <v>0</v>
      </c>
      <c r="E176" s="131">
        <f>IF(D140="Full", E177, D141)</f>
        <v>21915</v>
      </c>
    </row>
    <row r="177" spans="1:6" ht="15" hidden="1" customHeight="1">
      <c r="A177" s="128" t="s">
        <v>486</v>
      </c>
      <c r="C177" s="131">
        <f ca="1">DATE(YEAR(DoB)+H52,MONTH(DoB),DAY(DoB))</f>
        <v>23742</v>
      </c>
      <c r="D177" s="131">
        <f>DATE(YEAR(DoB)+J52,MONTH(DoB),DAY(DoB))</f>
        <v>0</v>
      </c>
      <c r="E177" s="131">
        <f>DATE(YEAR(DoB)+L52,MONTH(DoB),DAY(DoB))</f>
        <v>21915</v>
      </c>
      <c r="F177" s="128"/>
    </row>
    <row r="178" spans="1:6" hidden="1">
      <c r="A178" s="186" t="s">
        <v>485</v>
      </c>
      <c r="C178" s="185">
        <f ca="1">(I33+(I34/365.25) +TVinYears+TVinDays/365.25 +I36*((C176-I31)/365.25))/(((C176-DJS)/365.25)+TVinYears+TVinDays/365.25)</f>
        <v>0</v>
      </c>
      <c r="D178" s="123" t="e">
        <f>(I33+(I34/365.25) +TVinYears+TVinDays/365.25 +I36*((D176-I31)/365.25))/(((D176-DJS)/365.25)+TVinYears+TVinDays/365.25)</f>
        <v>#DIV/0!</v>
      </c>
      <c r="E178" s="123">
        <f>(I33+(I34/365.25) +TVinYears+TVinDays/365.25 +I36*((E176-I31)/365.25))/(((E176-DJS)/365.25)+TVinYears+TVinDays/365.25)</f>
        <v>0</v>
      </c>
    </row>
    <row r="179" spans="1:6">
      <c r="D179" s="131"/>
      <c r="F179" s="131"/>
    </row>
    <row r="180" spans="1:6">
      <c r="D180" s="131"/>
      <c r="F180" s="131"/>
    </row>
    <row r="181" spans="1:6">
      <c r="D181" s="131"/>
      <c r="F181" s="131"/>
    </row>
  </sheetData>
  <dataConsolidate/>
  <mergeCells count="43">
    <mergeCell ref="B99:M99"/>
    <mergeCell ref="B100:M100"/>
    <mergeCell ref="B91:M91"/>
    <mergeCell ref="B92:M92"/>
    <mergeCell ref="B94:M94"/>
    <mergeCell ref="B96:M96"/>
    <mergeCell ref="B97:M97"/>
    <mergeCell ref="B98:M98"/>
    <mergeCell ref="B93:M93"/>
    <mergeCell ref="B84:M84"/>
    <mergeCell ref="B85:M85"/>
    <mergeCell ref="B88:M88"/>
    <mergeCell ref="B89:M89"/>
    <mergeCell ref="B90:M90"/>
    <mergeCell ref="B68:M68"/>
    <mergeCell ref="H49:H51"/>
    <mergeCell ref="J49:J51"/>
    <mergeCell ref="B83:M83"/>
    <mergeCell ref="L49:L51"/>
    <mergeCell ref="B63:M63"/>
    <mergeCell ref="B67:M67"/>
    <mergeCell ref="B66:M66"/>
    <mergeCell ref="B65:M65"/>
    <mergeCell ref="B79:M79"/>
    <mergeCell ref="B73:M73"/>
    <mergeCell ref="B82:M82"/>
    <mergeCell ref="B69:M69"/>
    <mergeCell ref="B74:M74"/>
    <mergeCell ref="B75:M75"/>
    <mergeCell ref="B76:M76"/>
    <mergeCell ref="B7:M7"/>
    <mergeCell ref="B43:M43"/>
    <mergeCell ref="B8:L8"/>
    <mergeCell ref="B9:L9"/>
    <mergeCell ref="B64:M64"/>
    <mergeCell ref="B16:G16"/>
    <mergeCell ref="B70:M70"/>
    <mergeCell ref="B71:M71"/>
    <mergeCell ref="B72:M72"/>
    <mergeCell ref="B81:M81"/>
    <mergeCell ref="B80:M80"/>
    <mergeCell ref="B78:M78"/>
    <mergeCell ref="B77:M77"/>
  </mergeCells>
  <phoneticPr fontId="2" type="noConversion"/>
  <conditionalFormatting sqref="I31:I36">
    <cfRule type="expression" priority="3" stopIfTrue="1">
      <formula>IF($I$27="Full-time",TRUE,FALSE)</formula>
    </cfRule>
  </conditionalFormatting>
  <conditionalFormatting sqref="B31:M37">
    <cfRule type="expression" dxfId="1" priority="2" stopIfTrue="1">
      <formula>IF($I$27="Full-time",TRUE,FALSE)</formula>
    </cfRule>
  </conditionalFormatting>
  <conditionalFormatting sqref="B29:M37">
    <cfRule type="expression" dxfId="0" priority="1" stopIfTrue="1">
      <formula>IF(OR($I$27="Full-time",$I$27=""),TRUE,FALSE)</formula>
    </cfRule>
  </conditionalFormatting>
  <dataValidations disablePrompts="1" count="16">
    <dataValidation type="date" allowBlank="1" showInputMessage="1" showErrorMessage="1" errorTitle="Invalid Date of Birth" error="This calculator only accepts dates of birth earlier than first of 1 April 1997 or 18 years before the date joined scheme. It also only accepts dates of birth within the last 65 years." sqref="I14">
      <formula1>B113</formula1>
      <formula2>B112</formula2>
    </dataValidation>
    <dataValidation type="decimal" allowBlank="1" showInputMessage="1" showErrorMessage="1" errorTitle="Invalid Earnings" error="You can only enter and amount between £23,000 and £140,000 into the calculator." sqref="I23">
      <formula1>B121</formula1>
      <formula2>B122</formula2>
    </dataValidation>
    <dataValidation type="date"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I18">
      <formula1>C118</formula1>
      <formula2>C117</formula2>
    </dataValidation>
    <dataValidation type="decimal" allowBlank="1" showInputMessage="1" showErrorMessage="1" errorTitle="Invalid Transfer In Service" error="You cannot enter an amount greater than the period between your sixteenth birthday and your date joined scheme as entered above." sqref="I21">
      <formula1>0</formula1>
      <formula2>C124</formula2>
    </dataValidation>
    <dataValidation type="whole" allowBlank="1" showInputMessage="1" showErrorMessage="1" sqref="I37">
      <formula1>B131</formula1>
      <formula2>B132</formula2>
    </dataValidation>
    <dataValidation type="whole" allowBlank="1" showInputMessage="1" showErrorMessage="1" sqref="I35">
      <formula1>B132</formula1>
      <formula2>B133</formula2>
    </dataValidation>
    <dataValidation type="whole" allowBlank="1" showInputMessage="1" showErrorMessage="1" sqref="I26 I28:I29">
      <formula1>B128</formula1>
      <formula2>B129</formula2>
    </dataValidation>
    <dataValidation type="whole" allowBlank="1" showInputMessage="1" showErrorMessage="1" sqref="I32">
      <formula1>B131</formula1>
      <formula2>B132</formula2>
    </dataValidation>
    <dataValidation type="whole" allowBlank="1" showInputMessage="1" showErrorMessage="1" errorTitle="Invalid Retirement Age" error="You can only chose to see results from the later of your next birthday and the earliest you are allowed to retire under your current scheme's rules. The maximum age you can enter is 65." sqref="I25">
      <formula1>B127</formula1>
      <formula2>B128</formula2>
    </dataValidation>
    <dataValidation type="whole" allowBlank="1" showInputMessage="1" showErrorMessage="1" sqref="I30">
      <formula1>B131</formula1>
      <formula2>B132</formula2>
    </dataValidation>
    <dataValidation type="decimal" allowBlank="1" showInputMessage="1" showErrorMessage="1" errorTitle="Invalid Transfer In Service" error="You cannot enter an amount greater than the period between your sixteenth birthday and your date joined scheme as entered above." sqref="I20">
      <formula1>0</formula1>
      <formula2>B124</formula2>
    </dataValidation>
    <dataValidation type="decimal" allowBlank="1" showInputMessage="1" showErrorMessage="1" errorTitle="Invalid reckonable service" error="You cannot enter an amount greater than the period between your date of joining and your benefit statement date" sqref="I33">
      <formula1>0</formula1>
      <formula2>D149</formula2>
    </dataValidation>
    <dataValidation type="list" allowBlank="1" showInputMessage="1" showErrorMessage="1" errorTitle="Invalid Scheme" error="Please select an option from the drop down list" sqref="I16">
      <formula1>$B$115:$B$116</formula1>
    </dataValidation>
    <dataValidation type="list" allowBlank="1" showInputMessage="1" showErrorMessage="1" sqref="I27">
      <formula1>$A$173:$A$174</formula1>
    </dataValidation>
    <dataValidation type="decimal" showInputMessage="1" showErrorMessage="1" error="Please enter a value between 0% and 100%." sqref="I36">
      <formula1>0</formula1>
      <formula2>1</formula2>
    </dataValidation>
    <dataValidation type="date" operator="lessThanOrEqual" allowBlank="1" showInputMessage="1" showErrorMessage="1" errorTitle="Benefit statement date" error="Your benefit statement date cannot be later than 1 April 2015" sqref="I31">
      <formula1>D117</formula1>
    </dataValidation>
  </dataValidations>
  <pageMargins left="0.74803149606299213" right="0.74803149606299213" top="0.98425196850393704" bottom="0.98425196850393704" header="0.51181102362204722" footer="0.51181102362204722"/>
  <pageSetup paperSize="9" scale="40" orientation="portrait" r:id="rId1"/>
  <headerFooter alignWithMargins="0">
    <oddFooter>&amp;LPage &amp;P of &amp;N&amp;R&amp;T &amp;D</oddFooter>
  </headerFooter>
  <rowBreaks count="1" manualBreakCount="1">
    <brk id="61" max="16383" man="1"/>
  </rowBreaks>
  <drawing r:id="rId2"/>
  <legacyDrawing r:id="rId3"/>
</worksheet>
</file>

<file path=xl/worksheets/sheet4.xml><?xml version="1.0" encoding="utf-8"?>
<worksheet xmlns="http://schemas.openxmlformats.org/spreadsheetml/2006/main" xmlns:r="http://schemas.openxmlformats.org/officeDocument/2006/relationships">
  <sheetPr codeName="Sheet3"/>
  <dimension ref="A1:K70"/>
  <sheetViews>
    <sheetView topLeftCell="A22" workbookViewId="0">
      <selection activeCell="B43" sqref="B43:M43"/>
    </sheetView>
  </sheetViews>
  <sheetFormatPr defaultRowHeight="12.75"/>
  <cols>
    <col min="2" max="2" width="9.140625" style="1"/>
    <col min="4" max="5" width="10.140625" bestFit="1" customWidth="1"/>
    <col min="7" max="8" width="27.42578125" customWidth="1"/>
  </cols>
  <sheetData>
    <row r="1" spans="1:9" ht="20.25">
      <c r="A1" s="13" t="s">
        <v>19</v>
      </c>
      <c r="B1" s="32"/>
      <c r="C1" s="12"/>
      <c r="D1" s="12"/>
      <c r="E1" s="12"/>
      <c r="F1" s="12"/>
      <c r="G1" s="12"/>
      <c r="H1" s="12"/>
      <c r="I1" s="12"/>
    </row>
    <row r="2" spans="1:9" ht="15.75">
      <c r="A2" s="28" t="str">
        <f>IF(title="&gt; Enter workbook title here","Enter workbook title in Cover sheet",title)</f>
        <v>Police Scheme Reform Pension calculator</v>
      </c>
      <c r="B2" s="33"/>
      <c r="C2" s="11"/>
      <c r="D2" s="11"/>
      <c r="E2" s="11"/>
      <c r="F2" s="11"/>
      <c r="G2" s="11"/>
      <c r="H2" s="11"/>
      <c r="I2" s="11"/>
    </row>
    <row r="3" spans="1:9" ht="15.75">
      <c r="A3" s="14" t="s">
        <v>196</v>
      </c>
      <c r="B3" s="33"/>
      <c r="C3" s="11"/>
      <c r="D3" s="11"/>
      <c r="E3" s="11"/>
      <c r="F3" s="11"/>
      <c r="G3" s="11"/>
      <c r="H3" s="11"/>
      <c r="I3" s="11"/>
    </row>
    <row r="4" spans="1:9">
      <c r="A4" s="7" t="str">
        <f ca="1">CELL("filename",A1)</f>
        <v>G:\My Documents\[Pension_calculator_v5_0.xlsx]Parameters</v>
      </c>
    </row>
    <row r="6" spans="1:9">
      <c r="E6" s="30"/>
    </row>
    <row r="7" spans="1:9">
      <c r="B7" s="1" t="s">
        <v>59</v>
      </c>
      <c r="E7" s="34" t="s">
        <v>60</v>
      </c>
    </row>
    <row r="8" spans="1:9">
      <c r="E8" s="34" t="s">
        <v>61</v>
      </c>
    </row>
    <row r="9" spans="1:9">
      <c r="E9" s="34"/>
    </row>
    <row r="10" spans="1:9">
      <c r="B10" s="1" t="s">
        <v>194</v>
      </c>
      <c r="E10" s="35">
        <v>41000</v>
      </c>
    </row>
    <row r="11" spans="1:9">
      <c r="E11" s="34"/>
    </row>
    <row r="12" spans="1:9">
      <c r="B12" s="1" t="s">
        <v>184</v>
      </c>
      <c r="D12" s="30"/>
      <c r="E12" s="35">
        <v>42095</v>
      </c>
    </row>
    <row r="13" spans="1:9">
      <c r="D13" s="30"/>
      <c r="E13" s="35"/>
    </row>
    <row r="14" spans="1:9">
      <c r="B14" s="1" t="s">
        <v>182</v>
      </c>
      <c r="D14" s="30"/>
      <c r="E14" s="80">
        <v>365.25</v>
      </c>
    </row>
    <row r="15" spans="1:9">
      <c r="D15" s="30"/>
    </row>
    <row r="16" spans="1:9">
      <c r="B16" s="1" t="s">
        <v>344</v>
      </c>
      <c r="D16" s="30"/>
      <c r="E16" s="30" t="s">
        <v>60</v>
      </c>
      <c r="F16" s="34">
        <v>30</v>
      </c>
    </row>
    <row r="17" spans="2:11">
      <c r="D17" s="30"/>
      <c r="E17" s="30" t="s">
        <v>61</v>
      </c>
      <c r="F17" s="34">
        <v>35</v>
      </c>
    </row>
    <row r="18" spans="2:11">
      <c r="D18" s="30"/>
    </row>
    <row r="19" spans="2:11">
      <c r="B19" s="1" t="s">
        <v>62</v>
      </c>
      <c r="E19" s="30" t="s">
        <v>60</v>
      </c>
      <c r="F19" s="34">
        <f>1/60</f>
        <v>1.6666666666666666E-2</v>
      </c>
      <c r="G19" s="30"/>
    </row>
    <row r="20" spans="2:11">
      <c r="E20" s="30" t="s">
        <v>61</v>
      </c>
      <c r="F20" s="34">
        <f>1/70</f>
        <v>1.4285714285714285E-2</v>
      </c>
    </row>
    <row r="21" spans="2:11">
      <c r="E21" s="30" t="s">
        <v>63</v>
      </c>
      <c r="F21" s="34">
        <f>1/55.3</f>
        <v>1.8083182640144666E-2</v>
      </c>
    </row>
    <row r="22" spans="2:11">
      <c r="F22" s="34"/>
    </row>
    <row r="23" spans="2:11">
      <c r="B23" s="1" t="s">
        <v>64</v>
      </c>
      <c r="F23" s="34">
        <f>4/70</f>
        <v>5.7142857142857141E-2</v>
      </c>
      <c r="G23" s="30"/>
    </row>
    <row r="24" spans="2:11">
      <c r="F24" s="34"/>
      <c r="G24" s="1" t="s">
        <v>179</v>
      </c>
      <c r="H24" s="79" t="s">
        <v>290</v>
      </c>
    </row>
    <row r="25" spans="2:11">
      <c r="F25" s="34"/>
      <c r="G25" s="30" t="s">
        <v>292</v>
      </c>
    </row>
    <row r="26" spans="2:11">
      <c r="G26" t="s">
        <v>289</v>
      </c>
      <c r="H26" s="30"/>
    </row>
    <row r="27" spans="2:11">
      <c r="B27" s="1" t="s">
        <v>65</v>
      </c>
      <c r="F27" s="30">
        <f>AVERAGE(I28:I31)</f>
        <v>1.0512439007183261</v>
      </c>
      <c r="G27" s="95">
        <v>55</v>
      </c>
      <c r="H27" s="99">
        <v>0.78057311889825931</v>
      </c>
      <c r="I27" s="96">
        <f>H28/H27</f>
        <v>1.048994822239754</v>
      </c>
      <c r="J27" s="102"/>
      <c r="K27" s="102"/>
    </row>
    <row r="28" spans="2:11">
      <c r="G28" s="97">
        <v>56</v>
      </c>
      <c r="H28" s="100">
        <v>0.81881716010381</v>
      </c>
      <c r="I28" s="88">
        <f t="shared" ref="I28:I36" si="0">H29/H28</f>
        <v>1.049842969385397</v>
      </c>
      <c r="J28" s="102"/>
      <c r="K28" s="102"/>
    </row>
    <row r="29" spans="2:11">
      <c r="G29" s="97">
        <v>57</v>
      </c>
      <c r="H29" s="100">
        <v>0.85962943874710185</v>
      </c>
      <c r="I29" s="88">
        <f t="shared" si="0"/>
        <v>1.0507403859498923</v>
      </c>
      <c r="J29" s="102"/>
      <c r="K29" s="102"/>
    </row>
    <row r="30" spans="2:11">
      <c r="G30" s="97">
        <v>58</v>
      </c>
      <c r="H30" s="100">
        <v>0.9032473682430191</v>
      </c>
      <c r="I30" s="88">
        <f t="shared" si="0"/>
        <v>1.0516913499612957</v>
      </c>
      <c r="J30" s="102"/>
      <c r="K30" s="102"/>
    </row>
    <row r="31" spans="2:11">
      <c r="G31" s="97">
        <v>59</v>
      </c>
      <c r="H31" s="100">
        <v>0.94993744405648828</v>
      </c>
      <c r="I31" s="88">
        <f t="shared" si="0"/>
        <v>1.0527008975767196</v>
      </c>
      <c r="K31" s="102"/>
    </row>
    <row r="32" spans="2:11">
      <c r="B32" s="1" t="s">
        <v>291</v>
      </c>
      <c r="F32" s="30">
        <f>AVERAGE(I32:I36)</f>
        <v>1.0562155526170673</v>
      </c>
      <c r="G32" s="95">
        <v>60</v>
      </c>
      <c r="H32" s="99">
        <v>1</v>
      </c>
      <c r="I32" s="96">
        <f t="shared" si="0"/>
        <v>1.0537744705877468</v>
      </c>
      <c r="J32" s="30"/>
    </row>
    <row r="33" spans="2:10">
      <c r="G33" s="97">
        <v>61</v>
      </c>
      <c r="H33" s="100">
        <v>1.0537744705877468</v>
      </c>
      <c r="I33" s="88">
        <f t="shared" si="0"/>
        <v>1.0549174187131658</v>
      </c>
      <c r="J33" s="30"/>
    </row>
    <row r="34" spans="2:10">
      <c r="G34" s="97">
        <v>62</v>
      </c>
      <c r="H34" s="100">
        <v>1.1116450444182586</v>
      </c>
      <c r="I34" s="88">
        <f t="shared" si="0"/>
        <v>1.0561351734601889</v>
      </c>
      <c r="J34" s="30"/>
    </row>
    <row r="35" spans="2:10">
      <c r="G35" s="97">
        <v>63</v>
      </c>
      <c r="H35" s="100">
        <v>1.1740474318128369</v>
      </c>
      <c r="I35" s="88">
        <f t="shared" si="0"/>
        <v>1.0574333817127628</v>
      </c>
      <c r="J35" s="30"/>
    </row>
    <row r="36" spans="2:10">
      <c r="G36" s="97">
        <v>64</v>
      </c>
      <c r="H36" s="100">
        <v>1.2414769461130324</v>
      </c>
      <c r="I36" s="88">
        <f t="shared" si="0"/>
        <v>1.0588173186114724</v>
      </c>
      <c r="J36" s="30"/>
    </row>
    <row r="37" spans="2:10">
      <c r="G37" s="98">
        <v>65</v>
      </c>
      <c r="H37" s="101">
        <v>1.3144972912013604</v>
      </c>
      <c r="I37" s="89"/>
    </row>
    <row r="38" spans="2:10">
      <c r="G38" s="9"/>
      <c r="H38" s="100"/>
      <c r="I38" s="9"/>
      <c r="J38" s="30"/>
    </row>
    <row r="39" spans="2:10">
      <c r="B39" s="1" t="s">
        <v>409</v>
      </c>
      <c r="F39" s="34">
        <f>1.05</f>
        <v>1.05</v>
      </c>
      <c r="G39" s="9"/>
      <c r="H39" s="100"/>
      <c r="I39" s="9"/>
      <c r="J39" s="30"/>
    </row>
    <row r="40" spans="2:10">
      <c r="B40" s="1" t="s">
        <v>410</v>
      </c>
      <c r="F40" s="34">
        <v>1.0375000000000001</v>
      </c>
      <c r="G40" s="9"/>
      <c r="H40" s="100"/>
      <c r="I40" s="9"/>
      <c r="J40" s="30"/>
    </row>
    <row r="42" spans="2:10">
      <c r="B42" s="1" t="s">
        <v>192</v>
      </c>
    </row>
    <row r="43" spans="2:10">
      <c r="D43" s="209" t="s">
        <v>193</v>
      </c>
      <c r="E43" s="209"/>
    </row>
    <row r="44" spans="2:10">
      <c r="D44" s="31" t="s">
        <v>71</v>
      </c>
      <c r="E44" s="31" t="s">
        <v>72</v>
      </c>
    </row>
    <row r="45" spans="2:10">
      <c r="D45" s="115">
        <v>18359</v>
      </c>
      <c r="E45" s="118">
        <v>19788</v>
      </c>
      <c r="F45" s="34">
        <v>65</v>
      </c>
    </row>
    <row r="46" spans="2:10">
      <c r="D46" s="116">
        <v>19789</v>
      </c>
      <c r="E46" s="119">
        <v>22164</v>
      </c>
      <c r="F46" s="34">
        <v>66</v>
      </c>
    </row>
    <row r="47" spans="2:10">
      <c r="D47" s="116">
        <v>22165</v>
      </c>
      <c r="E47" s="119">
        <v>28373</v>
      </c>
      <c r="F47" s="34">
        <v>67</v>
      </c>
    </row>
    <row r="48" spans="2:10">
      <c r="D48" s="117">
        <v>28374</v>
      </c>
      <c r="E48" s="120"/>
      <c r="F48" s="34">
        <v>68</v>
      </c>
    </row>
    <row r="50" spans="2:9">
      <c r="B50" s="1" t="s">
        <v>331</v>
      </c>
      <c r="F50" s="90">
        <f>0.0225</f>
        <v>2.2499999999999999E-2</v>
      </c>
    </row>
    <row r="52" spans="2:9">
      <c r="B52" s="1" t="s">
        <v>349</v>
      </c>
      <c r="E52" s="35">
        <v>38813</v>
      </c>
    </row>
    <row r="53" spans="2:9">
      <c r="E53" s="35"/>
    </row>
    <row r="54" spans="2:9">
      <c r="B54" s="1" t="s">
        <v>351</v>
      </c>
      <c r="E54" s="35"/>
      <c r="G54" s="34">
        <f>(ProtectDate-NPPSstart)/DoY</f>
        <v>5.9876796714579053</v>
      </c>
    </row>
    <row r="56" spans="2:9">
      <c r="B56" s="1" t="s">
        <v>340</v>
      </c>
    </row>
    <row r="57" spans="2:9" ht="13.5" thickBot="1">
      <c r="B57" s="1" t="s">
        <v>348</v>
      </c>
    </row>
    <row r="58" spans="2:9" ht="15.75" thickBot="1">
      <c r="E58" s="8"/>
      <c r="G58" s="105" t="s">
        <v>332</v>
      </c>
      <c r="H58" s="210" t="s">
        <v>333</v>
      </c>
      <c r="I58" s="211"/>
    </row>
    <row r="59" spans="2:9" s="104" customFormat="1" ht="78.75" customHeight="1" thickBot="1">
      <c r="B59" s="106"/>
      <c r="G59" s="107" t="s">
        <v>334</v>
      </c>
      <c r="H59" s="108" t="s">
        <v>335</v>
      </c>
      <c r="I59" s="108" t="s">
        <v>336</v>
      </c>
    </row>
    <row r="60" spans="2:9" ht="15.75" thickBot="1">
      <c r="G60" s="109" t="s">
        <v>337</v>
      </c>
      <c r="H60" s="110">
        <v>30</v>
      </c>
      <c r="I60" s="112">
        <f>7/6</f>
        <v>1.1666666666666667</v>
      </c>
    </row>
    <row r="61" spans="2:9" ht="15.75" thickBot="1">
      <c r="G61" s="109">
        <v>26</v>
      </c>
      <c r="H61" s="110">
        <v>29</v>
      </c>
      <c r="I61" s="111">
        <v>1.1499999999999999</v>
      </c>
    </row>
    <row r="62" spans="2:9" ht="15.75" thickBot="1">
      <c r="G62" s="109">
        <v>27</v>
      </c>
      <c r="H62" s="110">
        <v>28</v>
      </c>
      <c r="I62" s="111">
        <v>1.1299999999999999</v>
      </c>
    </row>
    <row r="63" spans="2:9" ht="15.75" thickBot="1">
      <c r="G63" s="109">
        <v>28</v>
      </c>
      <c r="H63" s="110">
        <v>27</v>
      </c>
      <c r="I63" s="111">
        <v>1.1100000000000001</v>
      </c>
    </row>
    <row r="64" spans="2:9" ht="15.75" thickBot="1">
      <c r="G64" s="109">
        <v>29</v>
      </c>
      <c r="H64" s="110">
        <v>26</v>
      </c>
      <c r="I64" s="111">
        <v>1.08</v>
      </c>
    </row>
    <row r="65" spans="7:9" ht="15.75" thickBot="1">
      <c r="G65" s="109">
        <v>30</v>
      </c>
      <c r="H65" s="110">
        <v>25</v>
      </c>
      <c r="I65" s="111">
        <v>1.05</v>
      </c>
    </row>
    <row r="66" spans="7:9" ht="15.75" thickBot="1">
      <c r="G66" s="109">
        <v>31</v>
      </c>
      <c r="H66" s="110">
        <v>24</v>
      </c>
      <c r="I66" s="111">
        <v>1.02</v>
      </c>
    </row>
    <row r="67" spans="7:9" ht="15.75" thickBot="1">
      <c r="G67" s="109">
        <v>32</v>
      </c>
      <c r="H67" s="110">
        <v>23</v>
      </c>
      <c r="I67" s="111">
        <v>0.99</v>
      </c>
    </row>
    <row r="68" spans="7:9" ht="15.75" thickBot="1">
      <c r="G68" s="109">
        <v>33</v>
      </c>
      <c r="H68" s="110">
        <v>22</v>
      </c>
      <c r="I68" s="111">
        <v>0.96</v>
      </c>
    </row>
    <row r="69" spans="7:9" ht="15.75" thickBot="1">
      <c r="G69" s="109">
        <v>34</v>
      </c>
      <c r="H69" s="110">
        <v>21</v>
      </c>
      <c r="I69" s="111">
        <v>0.92</v>
      </c>
    </row>
    <row r="70" spans="7:9" ht="15.75" thickBot="1">
      <c r="G70" s="109" t="s">
        <v>338</v>
      </c>
      <c r="H70" s="110" t="s">
        <v>339</v>
      </c>
      <c r="I70" s="111">
        <v>0.88</v>
      </c>
    </row>
  </sheetData>
  <mergeCells count="2">
    <mergeCell ref="D43:E43"/>
    <mergeCell ref="H58:I58"/>
  </mergeCells>
  <phoneticPr fontId="41" type="noConversion"/>
  <hyperlinks>
    <hyperlink ref="H24" r:id="rId1"/>
  </hyperlinks>
  <pageMargins left="0.7" right="0.7" top="0.75" bottom="0.75" header="0.3" footer="0.3"/>
  <pageSetup paperSize="9" orientation="portrait" r:id="rId2"/>
  <headerFooter>
    <oddHeader>&amp;CPROTECT - SCHEME MANAGEMENT&amp;L_x000D_&amp;Z&amp;F  [&amp;A]</oddHeader>
    <oddFooter>&amp;LPage &amp;P of &amp;N&amp;R&amp;T &amp;D</oddFooter>
  </headerFooter>
  <legacyDrawing r:id="rId3"/>
</worksheet>
</file>

<file path=xl/worksheets/sheet5.xml><?xml version="1.0" encoding="utf-8"?>
<worksheet xmlns="http://schemas.openxmlformats.org/spreadsheetml/2006/main" xmlns:r="http://schemas.openxmlformats.org/officeDocument/2006/relationships">
  <sheetPr codeName="Sheet4"/>
  <dimension ref="A1:AX114"/>
  <sheetViews>
    <sheetView workbookViewId="0">
      <selection activeCell="B43" sqref="B43:M43"/>
    </sheetView>
  </sheetViews>
  <sheetFormatPr defaultRowHeight="12.75"/>
  <cols>
    <col min="2" max="3" width="10.140625" bestFit="1" customWidth="1"/>
    <col min="11" max="11" width="11.140625" customWidth="1"/>
    <col min="13" max="14" width="10.140625" bestFit="1" customWidth="1"/>
    <col min="20" max="20" width="11.140625" bestFit="1" customWidth="1"/>
    <col min="22" max="22" width="10.140625" customWidth="1"/>
    <col min="23" max="23" width="10.140625" bestFit="1" customWidth="1"/>
    <col min="29" max="29" width="11.140625" bestFit="1" customWidth="1"/>
  </cols>
  <sheetData>
    <row r="1" spans="1:29" ht="20.25">
      <c r="A1" s="13" t="s">
        <v>19</v>
      </c>
      <c r="B1" s="12"/>
      <c r="C1" s="12"/>
      <c r="D1" s="12"/>
      <c r="E1" s="12"/>
      <c r="F1" s="12"/>
      <c r="G1" s="12"/>
      <c r="H1" s="12"/>
      <c r="I1" s="12"/>
    </row>
    <row r="2" spans="1:29" ht="15.75">
      <c r="A2" s="28" t="str">
        <f>IF(title="&gt; Enter workbook title here","Enter workbook title in Cover sheet",title)</f>
        <v>Police Scheme Reform Pension calculator</v>
      </c>
      <c r="B2" s="11"/>
      <c r="C2" s="11"/>
      <c r="D2" s="11"/>
      <c r="E2" s="11"/>
      <c r="F2" s="11"/>
      <c r="G2" s="11"/>
      <c r="H2" s="11"/>
      <c r="I2" s="11"/>
    </row>
    <row r="3" spans="1:29" ht="15.75">
      <c r="A3" s="14" t="s">
        <v>197</v>
      </c>
      <c r="B3" s="11"/>
      <c r="C3" s="11"/>
      <c r="D3" s="11"/>
      <c r="E3" s="11"/>
      <c r="F3" s="11"/>
      <c r="G3" s="11"/>
      <c r="H3" s="11"/>
      <c r="I3" s="11"/>
    </row>
    <row r="4" spans="1:29">
      <c r="A4" s="7" t="str">
        <f ca="1">CELL("filename",A1)</f>
        <v>G:\My Documents\[Pension_calculator_v5_0.xlsx]Tapers</v>
      </c>
    </row>
    <row r="6" spans="1:29">
      <c r="B6" s="1" t="s">
        <v>179</v>
      </c>
      <c r="C6" s="79" t="s">
        <v>180</v>
      </c>
    </row>
    <row r="7" spans="1:29">
      <c r="C7" s="30" t="s">
        <v>181</v>
      </c>
    </row>
    <row r="8" spans="1:29">
      <c r="C8" s="30"/>
    </row>
    <row r="9" spans="1:29">
      <c r="B9" t="s">
        <v>200</v>
      </c>
      <c r="C9" s="34">
        <v>4</v>
      </c>
      <c r="D9" t="s">
        <v>76</v>
      </c>
      <c r="E9" s="30" t="s">
        <v>201</v>
      </c>
    </row>
    <row r="10" spans="1:29">
      <c r="C10" s="30"/>
    </row>
    <row r="11" spans="1:29" ht="15.75" thickBot="1">
      <c r="B11" s="45" t="s">
        <v>75</v>
      </c>
      <c r="M11" s="45" t="s">
        <v>80</v>
      </c>
      <c r="V11" s="45" t="s">
        <v>204</v>
      </c>
    </row>
    <row r="12" spans="1:29" ht="25.5" customHeight="1" thickBot="1">
      <c r="B12" s="228" t="s">
        <v>66</v>
      </c>
      <c r="C12" s="229"/>
      <c r="D12" s="232" t="s">
        <v>67</v>
      </c>
      <c r="E12" s="229"/>
      <c r="F12" s="234" t="s">
        <v>68</v>
      </c>
      <c r="G12" s="226" t="s">
        <v>69</v>
      </c>
      <c r="H12" s="236"/>
      <c r="I12" s="236"/>
      <c r="J12" s="227"/>
      <c r="K12" s="224" t="s">
        <v>70</v>
      </c>
      <c r="M12" s="214" t="s">
        <v>66</v>
      </c>
      <c r="N12" s="215"/>
      <c r="O12" s="218" t="s">
        <v>67</v>
      </c>
      <c r="P12" s="215"/>
      <c r="Q12" s="220" t="s">
        <v>68</v>
      </c>
      <c r="R12" s="222" t="s">
        <v>69</v>
      </c>
      <c r="S12" s="223"/>
      <c r="T12" s="212" t="s">
        <v>70</v>
      </c>
      <c r="V12" s="214" t="s">
        <v>77</v>
      </c>
      <c r="W12" s="215"/>
      <c r="X12" s="218" t="s">
        <v>78</v>
      </c>
      <c r="Y12" s="215"/>
      <c r="Z12" s="220" t="s">
        <v>68</v>
      </c>
      <c r="AA12" s="222" t="s">
        <v>79</v>
      </c>
      <c r="AB12" s="223"/>
      <c r="AC12" s="212" t="s">
        <v>70</v>
      </c>
    </row>
    <row r="13" spans="1:29" ht="13.5" thickBot="1">
      <c r="B13" s="230"/>
      <c r="C13" s="231"/>
      <c r="D13" s="233"/>
      <c r="E13" s="231"/>
      <c r="F13" s="235"/>
      <c r="G13" s="226" t="s">
        <v>71</v>
      </c>
      <c r="H13" s="227"/>
      <c r="I13" s="226" t="s">
        <v>72</v>
      </c>
      <c r="J13" s="227"/>
      <c r="K13" s="225"/>
      <c r="M13" s="216"/>
      <c r="N13" s="217"/>
      <c r="O13" s="219"/>
      <c r="P13" s="217"/>
      <c r="Q13" s="221"/>
      <c r="R13" s="46" t="s">
        <v>71</v>
      </c>
      <c r="S13" s="47" t="s">
        <v>72</v>
      </c>
      <c r="T13" s="213"/>
      <c r="V13" s="216"/>
      <c r="W13" s="217"/>
      <c r="X13" s="219"/>
      <c r="Y13" s="217"/>
      <c r="Z13" s="221"/>
      <c r="AA13" s="46" t="s">
        <v>71</v>
      </c>
      <c r="AB13" s="47" t="s">
        <v>72</v>
      </c>
      <c r="AC13" s="213"/>
    </row>
    <row r="14" spans="1:29" ht="15.75" thickBot="1">
      <c r="B14" s="36" t="s">
        <v>71</v>
      </c>
      <c r="C14" s="37" t="s">
        <v>72</v>
      </c>
      <c r="D14" s="37" t="s">
        <v>73</v>
      </c>
      <c r="E14" s="37" t="s">
        <v>74</v>
      </c>
      <c r="F14" s="38"/>
      <c r="G14" s="37" t="s">
        <v>73</v>
      </c>
      <c r="H14" s="37" t="s">
        <v>74</v>
      </c>
      <c r="I14" s="37" t="s">
        <v>73</v>
      </c>
      <c r="J14" s="37" t="s">
        <v>74</v>
      </c>
      <c r="K14" s="38"/>
      <c r="M14" s="48" t="s">
        <v>71</v>
      </c>
      <c r="N14" s="49" t="s">
        <v>72</v>
      </c>
      <c r="O14" s="49" t="s">
        <v>73</v>
      </c>
      <c r="P14" s="49" t="s">
        <v>74</v>
      </c>
      <c r="Q14" s="50"/>
      <c r="R14" s="49" t="s">
        <v>76</v>
      </c>
      <c r="S14" s="49" t="s">
        <v>76</v>
      </c>
      <c r="T14" s="51"/>
      <c r="V14" s="48" t="s">
        <v>71</v>
      </c>
      <c r="W14" s="49" t="s">
        <v>72</v>
      </c>
      <c r="X14" s="49" t="s">
        <v>73</v>
      </c>
      <c r="Y14" s="49" t="s">
        <v>74</v>
      </c>
      <c r="Z14" s="51"/>
      <c r="AA14" s="49" t="s">
        <v>76</v>
      </c>
      <c r="AB14" s="49" t="s">
        <v>76</v>
      </c>
      <c r="AC14" s="51"/>
    </row>
    <row r="15" spans="1:29" ht="13.5" thickBot="1">
      <c r="B15" s="39">
        <v>24564</v>
      </c>
      <c r="C15" s="40">
        <v>24593</v>
      </c>
      <c r="D15" s="41">
        <v>44</v>
      </c>
      <c r="E15" s="41">
        <v>11</v>
      </c>
      <c r="F15" s="42">
        <v>2557</v>
      </c>
      <c r="G15" s="41">
        <v>54</v>
      </c>
      <c r="H15" s="41">
        <v>11</v>
      </c>
      <c r="I15" s="43">
        <v>55</v>
      </c>
      <c r="J15" s="41">
        <v>0</v>
      </c>
      <c r="K15" s="44">
        <v>44651</v>
      </c>
      <c r="M15" s="52">
        <v>27121</v>
      </c>
      <c r="N15" s="53">
        <v>27150</v>
      </c>
      <c r="O15" s="54">
        <v>37</v>
      </c>
      <c r="P15" s="54">
        <v>11</v>
      </c>
      <c r="Q15" s="54">
        <v>2557</v>
      </c>
      <c r="R15" s="54">
        <v>47.92</v>
      </c>
      <c r="S15" s="54">
        <v>48</v>
      </c>
      <c r="T15" s="55">
        <v>44651</v>
      </c>
      <c r="V15" s="52">
        <v>33696</v>
      </c>
      <c r="W15" s="53">
        <v>33725</v>
      </c>
      <c r="X15" s="54">
        <v>19</v>
      </c>
      <c r="Y15" s="54">
        <v>11</v>
      </c>
      <c r="Z15" s="54">
        <v>2557</v>
      </c>
      <c r="AA15" s="54">
        <v>29.92</v>
      </c>
      <c r="AB15" s="66">
        <v>30</v>
      </c>
      <c r="AC15" s="55">
        <v>44651</v>
      </c>
    </row>
    <row r="16" spans="1:29" ht="13.5" thickBot="1">
      <c r="B16" s="39">
        <v>24594</v>
      </c>
      <c r="C16" s="40">
        <v>24624</v>
      </c>
      <c r="D16" s="41">
        <v>44</v>
      </c>
      <c r="E16" s="41">
        <v>10</v>
      </c>
      <c r="F16" s="42">
        <v>2504</v>
      </c>
      <c r="G16" s="41">
        <v>54</v>
      </c>
      <c r="H16" s="41">
        <v>8</v>
      </c>
      <c r="I16" s="43">
        <v>54</v>
      </c>
      <c r="J16" s="41">
        <v>9</v>
      </c>
      <c r="K16" s="44">
        <v>44598</v>
      </c>
      <c r="M16" s="52">
        <v>27151</v>
      </c>
      <c r="N16" s="53">
        <v>27181</v>
      </c>
      <c r="O16" s="54">
        <v>37</v>
      </c>
      <c r="P16" s="54">
        <v>10</v>
      </c>
      <c r="Q16" s="54">
        <v>2504</v>
      </c>
      <c r="R16" s="54">
        <v>47.69</v>
      </c>
      <c r="S16" s="54">
        <v>47.77</v>
      </c>
      <c r="T16" s="55">
        <v>44598</v>
      </c>
      <c r="V16" s="52">
        <v>33726</v>
      </c>
      <c r="W16" s="53">
        <v>33756</v>
      </c>
      <c r="X16" s="54">
        <v>19</v>
      </c>
      <c r="Y16" s="54">
        <v>10</v>
      </c>
      <c r="Z16" s="54">
        <v>2504</v>
      </c>
      <c r="AA16" s="54">
        <v>29.69</v>
      </c>
      <c r="AB16" s="66">
        <v>29.77</v>
      </c>
      <c r="AC16" s="55">
        <v>44598</v>
      </c>
    </row>
    <row r="17" spans="2:29" ht="13.5" thickBot="1">
      <c r="B17" s="39">
        <v>24625</v>
      </c>
      <c r="C17" s="40">
        <v>24654</v>
      </c>
      <c r="D17" s="41">
        <v>44</v>
      </c>
      <c r="E17" s="41">
        <v>9</v>
      </c>
      <c r="F17" s="42">
        <v>2450</v>
      </c>
      <c r="G17" s="41">
        <v>54</v>
      </c>
      <c r="H17" s="41">
        <v>5</v>
      </c>
      <c r="I17" s="43">
        <v>54</v>
      </c>
      <c r="J17" s="41">
        <v>6</v>
      </c>
      <c r="K17" s="44">
        <v>44544</v>
      </c>
      <c r="M17" s="52">
        <v>27182</v>
      </c>
      <c r="N17" s="53">
        <v>27211</v>
      </c>
      <c r="O17" s="54">
        <v>37</v>
      </c>
      <c r="P17" s="54">
        <v>9</v>
      </c>
      <c r="Q17" s="54">
        <v>2450</v>
      </c>
      <c r="R17" s="54">
        <v>47.46</v>
      </c>
      <c r="S17" s="54">
        <v>47.54</v>
      </c>
      <c r="T17" s="55">
        <v>44544</v>
      </c>
      <c r="V17" s="52">
        <v>33757</v>
      </c>
      <c r="W17" s="53">
        <v>33786</v>
      </c>
      <c r="X17" s="54">
        <v>19</v>
      </c>
      <c r="Y17" s="54">
        <v>9</v>
      </c>
      <c r="Z17" s="54">
        <v>2450</v>
      </c>
      <c r="AA17" s="54">
        <v>29.46</v>
      </c>
      <c r="AB17" s="66">
        <v>29.54</v>
      </c>
      <c r="AC17" s="55">
        <v>44544</v>
      </c>
    </row>
    <row r="18" spans="2:29" ht="13.5" thickBot="1">
      <c r="B18" s="39">
        <v>24655</v>
      </c>
      <c r="C18" s="40">
        <v>24685</v>
      </c>
      <c r="D18" s="41">
        <v>44</v>
      </c>
      <c r="E18" s="41">
        <v>8</v>
      </c>
      <c r="F18" s="42">
        <v>2398</v>
      </c>
      <c r="G18" s="41">
        <v>54</v>
      </c>
      <c r="H18" s="41">
        <v>3</v>
      </c>
      <c r="I18" s="43">
        <v>54</v>
      </c>
      <c r="J18" s="41">
        <v>4</v>
      </c>
      <c r="K18" s="44">
        <v>44492</v>
      </c>
      <c r="M18" s="52">
        <v>27212</v>
      </c>
      <c r="N18" s="53">
        <v>27242</v>
      </c>
      <c r="O18" s="54">
        <v>37</v>
      </c>
      <c r="P18" s="54">
        <v>8</v>
      </c>
      <c r="Q18" s="54">
        <v>2398</v>
      </c>
      <c r="R18" s="54">
        <v>47.23</v>
      </c>
      <c r="S18" s="54">
        <v>47.31</v>
      </c>
      <c r="T18" s="55">
        <v>44492</v>
      </c>
      <c r="V18" s="52">
        <v>33787</v>
      </c>
      <c r="W18" s="53">
        <v>33817</v>
      </c>
      <c r="X18" s="54">
        <v>19</v>
      </c>
      <c r="Y18" s="54">
        <v>8</v>
      </c>
      <c r="Z18" s="54">
        <v>2398</v>
      </c>
      <c r="AA18" s="54">
        <v>29.23</v>
      </c>
      <c r="AB18" s="66">
        <v>29.31</v>
      </c>
      <c r="AC18" s="55">
        <v>44492</v>
      </c>
    </row>
    <row r="19" spans="2:29" ht="13.5" thickBot="1">
      <c r="B19" s="39">
        <v>24686</v>
      </c>
      <c r="C19" s="40">
        <v>24716</v>
      </c>
      <c r="D19" s="41">
        <v>44</v>
      </c>
      <c r="E19" s="41">
        <v>7</v>
      </c>
      <c r="F19" s="42">
        <v>2343</v>
      </c>
      <c r="G19" s="41">
        <v>54</v>
      </c>
      <c r="H19" s="41">
        <v>0</v>
      </c>
      <c r="I19" s="43">
        <v>54</v>
      </c>
      <c r="J19" s="41">
        <v>1</v>
      </c>
      <c r="K19" s="44">
        <v>44437</v>
      </c>
      <c r="M19" s="52">
        <v>27243</v>
      </c>
      <c r="N19" s="53">
        <v>27273</v>
      </c>
      <c r="O19" s="54">
        <v>37</v>
      </c>
      <c r="P19" s="54">
        <v>7</v>
      </c>
      <c r="Q19" s="54">
        <v>2343</v>
      </c>
      <c r="R19" s="54">
        <v>47</v>
      </c>
      <c r="S19" s="54">
        <v>47.08</v>
      </c>
      <c r="T19" s="55">
        <v>44437</v>
      </c>
      <c r="V19" s="52">
        <v>33818</v>
      </c>
      <c r="W19" s="53">
        <v>33848</v>
      </c>
      <c r="X19" s="54">
        <v>19</v>
      </c>
      <c r="Y19" s="54">
        <v>7</v>
      </c>
      <c r="Z19" s="54">
        <v>2343</v>
      </c>
      <c r="AA19" s="54">
        <v>28.99</v>
      </c>
      <c r="AB19" s="66">
        <v>29.08</v>
      </c>
      <c r="AC19" s="55">
        <v>44437</v>
      </c>
    </row>
    <row r="20" spans="2:29" ht="13.5" thickBot="1">
      <c r="B20" s="39">
        <v>24717</v>
      </c>
      <c r="C20" s="40">
        <v>24746</v>
      </c>
      <c r="D20" s="41">
        <v>44</v>
      </c>
      <c r="E20" s="41">
        <v>6</v>
      </c>
      <c r="F20" s="42">
        <v>2289</v>
      </c>
      <c r="G20" s="41">
        <v>53</v>
      </c>
      <c r="H20" s="41">
        <v>9</v>
      </c>
      <c r="I20" s="43">
        <v>53</v>
      </c>
      <c r="J20" s="41">
        <v>10</v>
      </c>
      <c r="K20" s="44">
        <v>44383</v>
      </c>
      <c r="M20" s="52">
        <v>27274</v>
      </c>
      <c r="N20" s="53">
        <v>27303</v>
      </c>
      <c r="O20" s="54">
        <v>37</v>
      </c>
      <c r="P20" s="54">
        <v>6</v>
      </c>
      <c r="Q20" s="54">
        <v>2289</v>
      </c>
      <c r="R20" s="54">
        <v>46.77</v>
      </c>
      <c r="S20" s="54">
        <v>46.84</v>
      </c>
      <c r="T20" s="55">
        <v>44383</v>
      </c>
      <c r="V20" s="52">
        <v>33849</v>
      </c>
      <c r="W20" s="53">
        <v>33878</v>
      </c>
      <c r="X20" s="54">
        <v>19</v>
      </c>
      <c r="Y20" s="54">
        <v>6</v>
      </c>
      <c r="Z20" s="54">
        <v>2289</v>
      </c>
      <c r="AA20" s="54">
        <v>28.76</v>
      </c>
      <c r="AB20" s="66">
        <v>28.84</v>
      </c>
      <c r="AC20" s="55">
        <v>44383</v>
      </c>
    </row>
    <row r="21" spans="2:29" ht="13.5" thickBot="1">
      <c r="B21" s="39">
        <v>24747</v>
      </c>
      <c r="C21" s="40">
        <v>24777</v>
      </c>
      <c r="D21" s="41">
        <v>44</v>
      </c>
      <c r="E21" s="41">
        <v>5</v>
      </c>
      <c r="F21" s="42">
        <v>2237</v>
      </c>
      <c r="G21" s="41">
        <v>53</v>
      </c>
      <c r="H21" s="41">
        <v>6</v>
      </c>
      <c r="I21" s="43">
        <v>53</v>
      </c>
      <c r="J21" s="41">
        <v>7</v>
      </c>
      <c r="K21" s="44">
        <v>44331</v>
      </c>
      <c r="M21" s="52">
        <v>27304</v>
      </c>
      <c r="N21" s="53">
        <v>27334</v>
      </c>
      <c r="O21" s="54">
        <v>37</v>
      </c>
      <c r="P21" s="54">
        <v>5</v>
      </c>
      <c r="Q21" s="54">
        <v>2237</v>
      </c>
      <c r="R21" s="54">
        <v>46.54</v>
      </c>
      <c r="S21" s="54">
        <v>46.62</v>
      </c>
      <c r="T21" s="55">
        <v>44331</v>
      </c>
      <c r="V21" s="52">
        <v>33879</v>
      </c>
      <c r="W21" s="53">
        <v>33909</v>
      </c>
      <c r="X21" s="54">
        <v>19</v>
      </c>
      <c r="Y21" s="54">
        <v>5</v>
      </c>
      <c r="Z21" s="54">
        <v>2237</v>
      </c>
      <c r="AA21" s="54">
        <v>28.54</v>
      </c>
      <c r="AB21" s="66">
        <v>28.62</v>
      </c>
      <c r="AC21" s="55">
        <v>44331</v>
      </c>
    </row>
    <row r="22" spans="2:29" ht="13.5" thickBot="1">
      <c r="B22" s="39">
        <v>24778</v>
      </c>
      <c r="C22" s="40">
        <v>24807</v>
      </c>
      <c r="D22" s="41">
        <v>44</v>
      </c>
      <c r="E22" s="41">
        <v>4</v>
      </c>
      <c r="F22" s="42">
        <v>2182</v>
      </c>
      <c r="G22" s="41">
        <v>53</v>
      </c>
      <c r="H22" s="41">
        <v>4</v>
      </c>
      <c r="I22" s="43">
        <v>53</v>
      </c>
      <c r="J22" s="41">
        <v>5</v>
      </c>
      <c r="K22" s="44">
        <v>44276</v>
      </c>
      <c r="M22" s="52">
        <v>27335</v>
      </c>
      <c r="N22" s="53">
        <v>27364</v>
      </c>
      <c r="O22" s="54">
        <v>37</v>
      </c>
      <c r="P22" s="54">
        <v>4</v>
      </c>
      <c r="Q22" s="54">
        <v>2182</v>
      </c>
      <c r="R22" s="54">
        <v>46.31</v>
      </c>
      <c r="S22" s="54">
        <v>46.38</v>
      </c>
      <c r="T22" s="55">
        <v>44276</v>
      </c>
      <c r="V22" s="52">
        <v>33910</v>
      </c>
      <c r="W22" s="53">
        <v>33939</v>
      </c>
      <c r="X22" s="54">
        <v>19</v>
      </c>
      <c r="Y22" s="54">
        <v>4</v>
      </c>
      <c r="Z22" s="54">
        <v>2182</v>
      </c>
      <c r="AA22" s="54">
        <v>28.3</v>
      </c>
      <c r="AB22" s="66">
        <v>28.38</v>
      </c>
      <c r="AC22" s="55">
        <v>44276</v>
      </c>
    </row>
    <row r="23" spans="2:29" ht="13.5" thickBot="1">
      <c r="B23" s="39">
        <v>24808</v>
      </c>
      <c r="C23" s="40">
        <v>24838</v>
      </c>
      <c r="D23" s="41">
        <v>44</v>
      </c>
      <c r="E23" s="41">
        <v>3</v>
      </c>
      <c r="F23" s="42">
        <v>2130</v>
      </c>
      <c r="G23" s="41">
        <v>53</v>
      </c>
      <c r="H23" s="41">
        <v>1</v>
      </c>
      <c r="I23" s="43">
        <v>53</v>
      </c>
      <c r="J23" s="41">
        <v>2</v>
      </c>
      <c r="K23" s="44">
        <v>44224</v>
      </c>
      <c r="M23" s="52">
        <v>27365</v>
      </c>
      <c r="N23" s="53">
        <v>27395</v>
      </c>
      <c r="O23" s="54">
        <v>37</v>
      </c>
      <c r="P23" s="54">
        <v>3</v>
      </c>
      <c r="Q23" s="54">
        <v>2130</v>
      </c>
      <c r="R23" s="54">
        <v>46.08</v>
      </c>
      <c r="S23" s="54">
        <v>46.16</v>
      </c>
      <c r="T23" s="55">
        <v>44224</v>
      </c>
      <c r="V23" s="52">
        <v>33940</v>
      </c>
      <c r="W23" s="53">
        <v>33970</v>
      </c>
      <c r="X23" s="54">
        <v>19</v>
      </c>
      <c r="Y23" s="54">
        <v>3</v>
      </c>
      <c r="Z23" s="54">
        <v>2130</v>
      </c>
      <c r="AA23" s="54">
        <v>28.08</v>
      </c>
      <c r="AB23" s="66">
        <v>28.16</v>
      </c>
      <c r="AC23" s="55">
        <v>44224</v>
      </c>
    </row>
    <row r="24" spans="2:29" ht="13.5" thickBot="1">
      <c r="B24" s="39">
        <v>24839</v>
      </c>
      <c r="C24" s="40">
        <v>24869</v>
      </c>
      <c r="D24" s="41">
        <v>44</v>
      </c>
      <c r="E24" s="41">
        <v>2</v>
      </c>
      <c r="F24" s="42">
        <v>2076</v>
      </c>
      <c r="G24" s="41">
        <v>52</v>
      </c>
      <c r="H24" s="41">
        <v>10</v>
      </c>
      <c r="I24" s="43">
        <v>52</v>
      </c>
      <c r="J24" s="41">
        <v>11</v>
      </c>
      <c r="K24" s="44">
        <v>44170</v>
      </c>
      <c r="M24" s="52">
        <v>27396</v>
      </c>
      <c r="N24" s="53">
        <v>27426</v>
      </c>
      <c r="O24" s="54">
        <v>37</v>
      </c>
      <c r="P24" s="54">
        <v>2</v>
      </c>
      <c r="Q24" s="54">
        <v>2076</v>
      </c>
      <c r="R24" s="54">
        <v>45.85</v>
      </c>
      <c r="S24" s="54">
        <v>45.93</v>
      </c>
      <c r="T24" s="55">
        <v>44170</v>
      </c>
      <c r="V24" s="52">
        <v>33971</v>
      </c>
      <c r="W24" s="53">
        <v>34001</v>
      </c>
      <c r="X24" s="54">
        <v>19</v>
      </c>
      <c r="Y24" s="54">
        <v>2</v>
      </c>
      <c r="Z24" s="54">
        <v>2076</v>
      </c>
      <c r="AA24" s="54">
        <v>27.84</v>
      </c>
      <c r="AB24" s="66">
        <v>27.93</v>
      </c>
      <c r="AC24" s="55">
        <v>44170</v>
      </c>
    </row>
    <row r="25" spans="2:29" ht="13.5" thickBot="1">
      <c r="B25" s="39">
        <v>24870</v>
      </c>
      <c r="C25" s="40">
        <v>24898</v>
      </c>
      <c r="D25" s="41">
        <v>44</v>
      </c>
      <c r="E25" s="41">
        <v>1</v>
      </c>
      <c r="F25" s="42">
        <v>2021</v>
      </c>
      <c r="G25" s="41">
        <v>52</v>
      </c>
      <c r="H25" s="41">
        <v>7</v>
      </c>
      <c r="I25" s="43">
        <v>52</v>
      </c>
      <c r="J25" s="41">
        <v>8</v>
      </c>
      <c r="K25" s="44">
        <v>44115</v>
      </c>
      <c r="M25" s="52">
        <v>27427</v>
      </c>
      <c r="N25" s="53">
        <v>27454</v>
      </c>
      <c r="O25" s="54">
        <v>37</v>
      </c>
      <c r="P25" s="54">
        <v>1</v>
      </c>
      <c r="Q25" s="54">
        <v>2021</v>
      </c>
      <c r="R25" s="54">
        <v>45.62</v>
      </c>
      <c r="S25" s="54">
        <v>45.69</v>
      </c>
      <c r="T25" s="55">
        <v>44115</v>
      </c>
      <c r="V25" s="52">
        <v>34002</v>
      </c>
      <c r="W25" s="53">
        <v>34029</v>
      </c>
      <c r="X25" s="54">
        <v>19</v>
      </c>
      <c r="Y25" s="54">
        <v>1</v>
      </c>
      <c r="Z25" s="54">
        <v>2021</v>
      </c>
      <c r="AA25" s="54">
        <v>27.62</v>
      </c>
      <c r="AB25" s="66">
        <v>27.69</v>
      </c>
      <c r="AC25" s="55">
        <v>44115</v>
      </c>
    </row>
    <row r="26" spans="2:29" ht="13.5" thickBot="1">
      <c r="B26" s="39">
        <v>24899</v>
      </c>
      <c r="C26" s="40">
        <v>24929</v>
      </c>
      <c r="D26" s="41">
        <v>44</v>
      </c>
      <c r="E26" s="41">
        <v>0</v>
      </c>
      <c r="F26" s="42">
        <v>1971</v>
      </c>
      <c r="G26" s="41">
        <v>52</v>
      </c>
      <c r="H26" s="41">
        <v>5</v>
      </c>
      <c r="I26" s="43">
        <v>52</v>
      </c>
      <c r="J26" s="41">
        <v>6</v>
      </c>
      <c r="K26" s="44">
        <v>44065</v>
      </c>
      <c r="M26" s="52">
        <v>27455</v>
      </c>
      <c r="N26" s="53">
        <v>27485</v>
      </c>
      <c r="O26" s="54">
        <v>37</v>
      </c>
      <c r="P26" s="54">
        <v>0</v>
      </c>
      <c r="Q26" s="54">
        <v>1971</v>
      </c>
      <c r="R26" s="54">
        <v>45.4</v>
      </c>
      <c r="S26" s="54">
        <v>45.48</v>
      </c>
      <c r="T26" s="55">
        <v>44065</v>
      </c>
      <c r="V26" s="52">
        <v>34030</v>
      </c>
      <c r="W26" s="53">
        <v>34060</v>
      </c>
      <c r="X26" s="54">
        <v>19</v>
      </c>
      <c r="Y26" s="54">
        <v>0</v>
      </c>
      <c r="Z26" s="54">
        <v>1971</v>
      </c>
      <c r="AA26" s="54">
        <v>27.39</v>
      </c>
      <c r="AB26" s="66">
        <v>27.48</v>
      </c>
      <c r="AC26" s="55">
        <v>44065</v>
      </c>
    </row>
    <row r="27" spans="2:29" ht="13.5" thickBot="1">
      <c r="B27" s="39">
        <v>24930</v>
      </c>
      <c r="C27" s="40">
        <v>24959</v>
      </c>
      <c r="D27" s="41">
        <v>43</v>
      </c>
      <c r="E27" s="41">
        <v>11</v>
      </c>
      <c r="F27" s="42">
        <v>1916</v>
      </c>
      <c r="G27" s="41">
        <v>52</v>
      </c>
      <c r="H27" s="41">
        <v>2</v>
      </c>
      <c r="I27" s="43">
        <v>52</v>
      </c>
      <c r="J27" s="41">
        <v>3</v>
      </c>
      <c r="K27" s="44">
        <v>44010</v>
      </c>
      <c r="M27" s="52">
        <v>27486</v>
      </c>
      <c r="N27" s="53">
        <v>27515</v>
      </c>
      <c r="O27" s="54">
        <v>36</v>
      </c>
      <c r="P27" s="54">
        <v>11</v>
      </c>
      <c r="Q27" s="54">
        <v>1916</v>
      </c>
      <c r="R27" s="54">
        <v>45.16</v>
      </c>
      <c r="S27" s="54">
        <v>45.24</v>
      </c>
      <c r="T27" s="55">
        <v>44010</v>
      </c>
      <c r="V27" s="52">
        <v>34061</v>
      </c>
      <c r="W27" s="53">
        <v>34090</v>
      </c>
      <c r="X27" s="54">
        <v>18</v>
      </c>
      <c r="Y27" s="54">
        <v>11</v>
      </c>
      <c r="Z27" s="54">
        <v>1916</v>
      </c>
      <c r="AA27" s="54">
        <v>27.16</v>
      </c>
      <c r="AB27" s="66">
        <v>27.24</v>
      </c>
      <c r="AC27" s="55">
        <v>44010</v>
      </c>
    </row>
    <row r="28" spans="2:29" ht="13.5" thickBot="1">
      <c r="B28" s="39">
        <v>24960</v>
      </c>
      <c r="C28" s="40">
        <v>24990</v>
      </c>
      <c r="D28" s="41">
        <v>43</v>
      </c>
      <c r="E28" s="41">
        <v>10</v>
      </c>
      <c r="F28" s="42">
        <v>1864</v>
      </c>
      <c r="G28" s="41">
        <v>51</v>
      </c>
      <c r="H28" s="41">
        <v>11</v>
      </c>
      <c r="I28" s="43">
        <v>52</v>
      </c>
      <c r="J28" s="41">
        <v>0</v>
      </c>
      <c r="K28" s="44">
        <v>43958</v>
      </c>
      <c r="M28" s="52">
        <v>27516</v>
      </c>
      <c r="N28" s="53">
        <v>27546</v>
      </c>
      <c r="O28" s="54">
        <v>36</v>
      </c>
      <c r="P28" s="54">
        <v>10</v>
      </c>
      <c r="Q28" s="54">
        <v>1864</v>
      </c>
      <c r="R28" s="54">
        <v>44.94</v>
      </c>
      <c r="S28" s="54">
        <v>45.02</v>
      </c>
      <c r="T28" s="55">
        <v>43958</v>
      </c>
      <c r="V28" s="52">
        <v>34091</v>
      </c>
      <c r="W28" s="53">
        <v>34121</v>
      </c>
      <c r="X28" s="54">
        <v>18</v>
      </c>
      <c r="Y28" s="54">
        <v>10</v>
      </c>
      <c r="Z28" s="54">
        <v>1864</v>
      </c>
      <c r="AA28" s="54">
        <v>26.93</v>
      </c>
      <c r="AB28" s="66">
        <v>27.02</v>
      </c>
      <c r="AC28" s="55">
        <v>43958</v>
      </c>
    </row>
    <row r="29" spans="2:29" ht="13.5" thickBot="1">
      <c r="B29" s="39">
        <v>24991</v>
      </c>
      <c r="C29" s="40">
        <v>25020</v>
      </c>
      <c r="D29" s="41">
        <v>43</v>
      </c>
      <c r="E29" s="41">
        <v>9</v>
      </c>
      <c r="F29" s="42">
        <v>1810</v>
      </c>
      <c r="G29" s="41">
        <v>51</v>
      </c>
      <c r="H29" s="41">
        <v>8</v>
      </c>
      <c r="I29" s="43">
        <v>51</v>
      </c>
      <c r="J29" s="41">
        <v>9</v>
      </c>
      <c r="K29" s="44">
        <v>43904</v>
      </c>
      <c r="M29" s="52">
        <v>27547</v>
      </c>
      <c r="N29" s="53">
        <v>27576</v>
      </c>
      <c r="O29" s="54">
        <v>36</v>
      </c>
      <c r="P29" s="54">
        <v>9</v>
      </c>
      <c r="Q29" s="54">
        <v>1810</v>
      </c>
      <c r="R29" s="54">
        <v>44.71</v>
      </c>
      <c r="S29" s="54">
        <v>44.79</v>
      </c>
      <c r="T29" s="55">
        <v>43904</v>
      </c>
      <c r="V29" s="52">
        <v>34122</v>
      </c>
      <c r="W29" s="53">
        <v>34151</v>
      </c>
      <c r="X29" s="54">
        <v>18</v>
      </c>
      <c r="Y29" s="54">
        <v>9</v>
      </c>
      <c r="Z29" s="54">
        <v>1810</v>
      </c>
      <c r="AA29" s="54">
        <v>26.7</v>
      </c>
      <c r="AB29" s="66">
        <v>26.78</v>
      </c>
      <c r="AC29" s="55">
        <v>43904</v>
      </c>
    </row>
    <row r="30" spans="2:29" ht="13.5" thickBot="1">
      <c r="B30" s="39">
        <v>25021</v>
      </c>
      <c r="C30" s="40">
        <v>25051</v>
      </c>
      <c r="D30" s="41">
        <v>43</v>
      </c>
      <c r="E30" s="41">
        <v>8</v>
      </c>
      <c r="F30" s="42">
        <v>1757</v>
      </c>
      <c r="G30" s="41">
        <v>51</v>
      </c>
      <c r="H30" s="41">
        <v>6</v>
      </c>
      <c r="I30" s="43">
        <v>51</v>
      </c>
      <c r="J30" s="41">
        <v>7</v>
      </c>
      <c r="K30" s="44">
        <v>43851</v>
      </c>
      <c r="M30" s="52">
        <v>27577</v>
      </c>
      <c r="N30" s="53">
        <v>27607</v>
      </c>
      <c r="O30" s="54">
        <v>36</v>
      </c>
      <c r="P30" s="54">
        <v>8</v>
      </c>
      <c r="Q30" s="54">
        <v>1757</v>
      </c>
      <c r="R30" s="54">
        <v>44.48</v>
      </c>
      <c r="S30" s="54">
        <v>44.56</v>
      </c>
      <c r="T30" s="55">
        <v>43851</v>
      </c>
      <c r="V30" s="52">
        <v>34152</v>
      </c>
      <c r="W30" s="53">
        <v>34182</v>
      </c>
      <c r="X30" s="54">
        <v>18</v>
      </c>
      <c r="Y30" s="54">
        <v>8</v>
      </c>
      <c r="Z30" s="54">
        <v>1757</v>
      </c>
      <c r="AA30" s="54">
        <v>26.48</v>
      </c>
      <c r="AB30" s="66">
        <v>26.56</v>
      </c>
      <c r="AC30" s="55">
        <v>43851</v>
      </c>
    </row>
    <row r="31" spans="2:29" ht="13.5" thickBot="1">
      <c r="B31" s="39">
        <v>25052</v>
      </c>
      <c r="C31" s="40">
        <v>25082</v>
      </c>
      <c r="D31" s="41">
        <v>43</v>
      </c>
      <c r="E31" s="41">
        <v>7</v>
      </c>
      <c r="F31" s="42">
        <v>1703</v>
      </c>
      <c r="G31" s="41">
        <v>51</v>
      </c>
      <c r="H31" s="41">
        <v>3</v>
      </c>
      <c r="I31" s="43">
        <v>51</v>
      </c>
      <c r="J31" s="41">
        <v>4</v>
      </c>
      <c r="K31" s="44">
        <v>43797</v>
      </c>
      <c r="M31" s="52">
        <v>27608</v>
      </c>
      <c r="N31" s="53">
        <v>27638</v>
      </c>
      <c r="O31" s="54">
        <v>36</v>
      </c>
      <c r="P31" s="54">
        <v>7</v>
      </c>
      <c r="Q31" s="54">
        <v>1703</v>
      </c>
      <c r="R31" s="54">
        <v>44.24</v>
      </c>
      <c r="S31" s="54">
        <v>44.33</v>
      </c>
      <c r="T31" s="55">
        <v>43797</v>
      </c>
      <c r="V31" s="52">
        <v>34183</v>
      </c>
      <c r="W31" s="53">
        <v>34213</v>
      </c>
      <c r="X31" s="54">
        <v>18</v>
      </c>
      <c r="Y31" s="54">
        <v>7</v>
      </c>
      <c r="Z31" s="54">
        <v>1703</v>
      </c>
      <c r="AA31" s="54">
        <v>26.24</v>
      </c>
      <c r="AB31" s="66">
        <v>26.32</v>
      </c>
      <c r="AC31" s="55">
        <v>43797</v>
      </c>
    </row>
    <row r="32" spans="2:29" ht="13.5" thickBot="1">
      <c r="B32" s="39">
        <v>25083</v>
      </c>
      <c r="C32" s="40">
        <v>25112</v>
      </c>
      <c r="D32" s="41">
        <v>43</v>
      </c>
      <c r="E32" s="41">
        <v>6</v>
      </c>
      <c r="F32" s="42">
        <v>1649</v>
      </c>
      <c r="G32" s="41">
        <v>51</v>
      </c>
      <c r="H32" s="41">
        <v>0</v>
      </c>
      <c r="I32" s="43">
        <v>51</v>
      </c>
      <c r="J32" s="41">
        <v>1</v>
      </c>
      <c r="K32" s="44">
        <v>43743</v>
      </c>
      <c r="M32" s="52">
        <v>27639</v>
      </c>
      <c r="N32" s="53">
        <v>27668</v>
      </c>
      <c r="O32" s="54">
        <v>36</v>
      </c>
      <c r="P32" s="54">
        <v>6</v>
      </c>
      <c r="Q32" s="54">
        <v>1649</v>
      </c>
      <c r="R32" s="54">
        <v>44.01</v>
      </c>
      <c r="S32" s="54">
        <v>44.09</v>
      </c>
      <c r="T32" s="55">
        <v>43743</v>
      </c>
      <c r="V32" s="52">
        <v>34214</v>
      </c>
      <c r="W32" s="53">
        <v>34243</v>
      </c>
      <c r="X32" s="54">
        <v>18</v>
      </c>
      <c r="Y32" s="54">
        <v>6</v>
      </c>
      <c r="Z32" s="54">
        <v>1649</v>
      </c>
      <c r="AA32" s="54">
        <v>26.01</v>
      </c>
      <c r="AB32" s="66">
        <v>26.09</v>
      </c>
      <c r="AC32" s="55">
        <v>43743</v>
      </c>
    </row>
    <row r="33" spans="2:29" ht="13.5" thickBot="1">
      <c r="B33" s="39">
        <v>25113</v>
      </c>
      <c r="C33" s="40">
        <v>25143</v>
      </c>
      <c r="D33" s="41">
        <v>43</v>
      </c>
      <c r="E33" s="41">
        <v>5</v>
      </c>
      <c r="F33" s="42">
        <v>1596</v>
      </c>
      <c r="G33" s="41">
        <v>50</v>
      </c>
      <c r="H33" s="41">
        <v>9</v>
      </c>
      <c r="I33" s="43">
        <v>50</v>
      </c>
      <c r="J33" s="41">
        <v>10</v>
      </c>
      <c r="K33" s="44">
        <v>43690</v>
      </c>
      <c r="M33" s="52">
        <v>27669</v>
      </c>
      <c r="N33" s="53">
        <v>27699</v>
      </c>
      <c r="O33" s="54">
        <v>36</v>
      </c>
      <c r="P33" s="54">
        <v>5</v>
      </c>
      <c r="Q33" s="54">
        <v>1596</v>
      </c>
      <c r="R33" s="54">
        <v>43.78</v>
      </c>
      <c r="S33" s="54">
        <v>43.87</v>
      </c>
      <c r="T33" s="55">
        <v>43690</v>
      </c>
      <c r="V33" s="52">
        <v>34244</v>
      </c>
      <c r="W33" s="53">
        <v>34274</v>
      </c>
      <c r="X33" s="54">
        <v>18</v>
      </c>
      <c r="Y33" s="54">
        <v>5</v>
      </c>
      <c r="Z33" s="54">
        <v>1596</v>
      </c>
      <c r="AA33" s="54">
        <v>25.78</v>
      </c>
      <c r="AB33" s="66">
        <v>25.86</v>
      </c>
      <c r="AC33" s="55">
        <v>43690</v>
      </c>
    </row>
    <row r="34" spans="2:29" ht="13.5" thickBot="1">
      <c r="B34" s="39">
        <v>25144</v>
      </c>
      <c r="C34" s="40">
        <v>25173</v>
      </c>
      <c r="D34" s="41">
        <v>43</v>
      </c>
      <c r="E34" s="41">
        <v>4</v>
      </c>
      <c r="F34" s="42">
        <v>1542</v>
      </c>
      <c r="G34" s="41">
        <v>50</v>
      </c>
      <c r="H34" s="41">
        <v>7</v>
      </c>
      <c r="I34" s="43">
        <v>50</v>
      </c>
      <c r="J34" s="41">
        <v>8</v>
      </c>
      <c r="K34" s="44">
        <v>43636</v>
      </c>
      <c r="M34" s="52">
        <v>27700</v>
      </c>
      <c r="N34" s="53">
        <v>27729</v>
      </c>
      <c r="O34" s="54">
        <v>36</v>
      </c>
      <c r="P34" s="54">
        <v>4</v>
      </c>
      <c r="Q34" s="54">
        <v>1542</v>
      </c>
      <c r="R34" s="54">
        <v>43.55</v>
      </c>
      <c r="S34" s="54">
        <v>43.63</v>
      </c>
      <c r="T34" s="55">
        <v>43636</v>
      </c>
      <c r="V34" s="52">
        <v>34275</v>
      </c>
      <c r="W34" s="53">
        <v>34304</v>
      </c>
      <c r="X34" s="54">
        <v>18</v>
      </c>
      <c r="Y34" s="54">
        <v>4</v>
      </c>
      <c r="Z34" s="54">
        <v>1542</v>
      </c>
      <c r="AA34" s="54">
        <v>25.55</v>
      </c>
      <c r="AB34" s="66">
        <v>25.63</v>
      </c>
      <c r="AC34" s="55">
        <v>43636</v>
      </c>
    </row>
    <row r="35" spans="2:29" ht="13.5" thickBot="1">
      <c r="B35" s="39">
        <v>25174</v>
      </c>
      <c r="C35" s="40">
        <v>25204</v>
      </c>
      <c r="D35" s="41">
        <v>43</v>
      </c>
      <c r="E35" s="41">
        <v>3</v>
      </c>
      <c r="F35" s="42">
        <v>1489</v>
      </c>
      <c r="G35" s="41">
        <v>50</v>
      </c>
      <c r="H35" s="41">
        <v>4</v>
      </c>
      <c r="I35" s="43">
        <v>50</v>
      </c>
      <c r="J35" s="41">
        <v>5</v>
      </c>
      <c r="K35" s="44">
        <v>43583</v>
      </c>
      <c r="M35" s="52">
        <v>27730</v>
      </c>
      <c r="N35" s="53">
        <v>27760</v>
      </c>
      <c r="O35" s="54">
        <v>36</v>
      </c>
      <c r="P35" s="54">
        <v>3</v>
      </c>
      <c r="Q35" s="54">
        <v>1489</v>
      </c>
      <c r="R35" s="54">
        <v>43.32</v>
      </c>
      <c r="S35" s="54">
        <v>43.41</v>
      </c>
      <c r="T35" s="55">
        <v>43583</v>
      </c>
      <c r="V35" s="52">
        <v>34305</v>
      </c>
      <c r="W35" s="53">
        <v>34335</v>
      </c>
      <c r="X35" s="54">
        <v>18</v>
      </c>
      <c r="Y35" s="54">
        <v>3</v>
      </c>
      <c r="Z35" s="54">
        <v>1489</v>
      </c>
      <c r="AA35" s="54">
        <v>25.32</v>
      </c>
      <c r="AB35" s="66">
        <v>25.4</v>
      </c>
      <c r="AC35" s="55">
        <v>43583</v>
      </c>
    </row>
    <row r="36" spans="2:29" ht="13.5" thickBot="1">
      <c r="B36" s="39">
        <v>25205</v>
      </c>
      <c r="C36" s="40">
        <v>25235</v>
      </c>
      <c r="D36" s="41">
        <v>43</v>
      </c>
      <c r="E36" s="41">
        <v>2</v>
      </c>
      <c r="F36" s="42">
        <v>1435</v>
      </c>
      <c r="G36" s="41">
        <v>50</v>
      </c>
      <c r="H36" s="41">
        <v>1</v>
      </c>
      <c r="I36" s="43">
        <v>50</v>
      </c>
      <c r="J36" s="41">
        <v>2</v>
      </c>
      <c r="K36" s="44">
        <v>43529</v>
      </c>
      <c r="M36" s="52">
        <v>27761</v>
      </c>
      <c r="N36" s="53">
        <v>27791</v>
      </c>
      <c r="O36" s="54">
        <v>36</v>
      </c>
      <c r="P36" s="54">
        <v>2</v>
      </c>
      <c r="Q36" s="54">
        <v>1435</v>
      </c>
      <c r="R36" s="54">
        <v>43.09</v>
      </c>
      <c r="S36" s="54">
        <v>43.17</v>
      </c>
      <c r="T36" s="55">
        <v>43529</v>
      </c>
      <c r="V36" s="52">
        <v>34336</v>
      </c>
      <c r="W36" s="53">
        <v>34366</v>
      </c>
      <c r="X36" s="54">
        <v>18</v>
      </c>
      <c r="Y36" s="54">
        <v>2</v>
      </c>
      <c r="Z36" s="54">
        <v>1435</v>
      </c>
      <c r="AA36" s="54">
        <v>25.09</v>
      </c>
      <c r="AB36" s="66">
        <v>25.17</v>
      </c>
      <c r="AC36" s="55">
        <v>43529</v>
      </c>
    </row>
    <row r="37" spans="2:29" ht="13.5" thickBot="1">
      <c r="B37" s="39">
        <v>25236</v>
      </c>
      <c r="C37" s="40">
        <v>25263</v>
      </c>
      <c r="D37" s="41">
        <v>43</v>
      </c>
      <c r="E37" s="41">
        <v>1</v>
      </c>
      <c r="F37" s="42">
        <v>1381</v>
      </c>
      <c r="G37" s="41">
        <v>49</v>
      </c>
      <c r="H37" s="41">
        <v>10</v>
      </c>
      <c r="I37" s="43">
        <v>49</v>
      </c>
      <c r="J37" s="41">
        <v>11</v>
      </c>
      <c r="K37" s="44">
        <v>43475</v>
      </c>
      <c r="M37" s="52">
        <v>27792</v>
      </c>
      <c r="N37" s="53">
        <v>27820</v>
      </c>
      <c r="O37" s="54">
        <v>36</v>
      </c>
      <c r="P37" s="54">
        <v>1</v>
      </c>
      <c r="Q37" s="54">
        <v>1381</v>
      </c>
      <c r="R37" s="54">
        <v>42.86</v>
      </c>
      <c r="S37" s="54">
        <v>42.94</v>
      </c>
      <c r="T37" s="55">
        <v>43475</v>
      </c>
      <c r="V37" s="52">
        <v>34367</v>
      </c>
      <c r="W37" s="53">
        <v>34394</v>
      </c>
      <c r="X37" s="54">
        <v>18</v>
      </c>
      <c r="Y37" s="54">
        <v>1</v>
      </c>
      <c r="Z37" s="54">
        <v>1381</v>
      </c>
      <c r="AA37" s="54">
        <v>24.87</v>
      </c>
      <c r="AB37" s="66">
        <v>24.94</v>
      </c>
      <c r="AC37" s="55">
        <v>43475</v>
      </c>
    </row>
    <row r="38" spans="2:29" ht="13.5" thickBot="1">
      <c r="B38" s="39">
        <v>25264</v>
      </c>
      <c r="C38" s="40">
        <v>25294</v>
      </c>
      <c r="D38" s="41">
        <v>43</v>
      </c>
      <c r="E38" s="41">
        <v>0</v>
      </c>
      <c r="F38" s="42">
        <v>1332</v>
      </c>
      <c r="G38" s="41">
        <v>49</v>
      </c>
      <c r="H38" s="41">
        <v>8</v>
      </c>
      <c r="I38" s="43">
        <v>49</v>
      </c>
      <c r="J38" s="41">
        <v>9</v>
      </c>
      <c r="K38" s="44">
        <v>43426</v>
      </c>
      <c r="M38" s="52">
        <v>27821</v>
      </c>
      <c r="N38" s="53">
        <v>27851</v>
      </c>
      <c r="O38" s="54">
        <v>36</v>
      </c>
      <c r="P38" s="54">
        <v>0</v>
      </c>
      <c r="Q38" s="54">
        <v>1332</v>
      </c>
      <c r="R38" s="54">
        <v>42.64</v>
      </c>
      <c r="S38" s="54">
        <v>42.73</v>
      </c>
      <c r="T38" s="55">
        <v>43426</v>
      </c>
      <c r="V38" s="52">
        <v>34395</v>
      </c>
      <c r="W38" s="53">
        <v>34425</v>
      </c>
      <c r="X38" s="54">
        <v>18</v>
      </c>
      <c r="Y38" s="54">
        <v>0</v>
      </c>
      <c r="Z38" s="54">
        <v>1332</v>
      </c>
      <c r="AA38" s="54">
        <v>24.65</v>
      </c>
      <c r="AB38" s="66">
        <v>24.73</v>
      </c>
      <c r="AC38" s="55">
        <v>43426</v>
      </c>
    </row>
    <row r="39" spans="2:29" ht="13.5" thickBot="1">
      <c r="B39" s="39">
        <v>25295</v>
      </c>
      <c r="C39" s="40">
        <v>25324</v>
      </c>
      <c r="D39" s="41">
        <v>42</v>
      </c>
      <c r="E39" s="41">
        <v>11</v>
      </c>
      <c r="F39" s="42">
        <v>1278</v>
      </c>
      <c r="G39" s="41">
        <v>49</v>
      </c>
      <c r="H39" s="41">
        <v>5</v>
      </c>
      <c r="I39" s="43">
        <v>49</v>
      </c>
      <c r="J39" s="41">
        <v>6</v>
      </c>
      <c r="K39" s="44">
        <v>43372</v>
      </c>
      <c r="M39" s="52">
        <v>27852</v>
      </c>
      <c r="N39" s="53">
        <v>27881</v>
      </c>
      <c r="O39" s="54">
        <v>35</v>
      </c>
      <c r="P39" s="54">
        <v>11</v>
      </c>
      <c r="Q39" s="54">
        <v>1278</v>
      </c>
      <c r="R39" s="54">
        <v>42.41</v>
      </c>
      <c r="S39" s="54">
        <v>42.49</v>
      </c>
      <c r="T39" s="55">
        <v>43372</v>
      </c>
      <c r="V39" s="52">
        <v>34426</v>
      </c>
      <c r="W39" s="53">
        <v>34455</v>
      </c>
      <c r="X39" s="54">
        <v>17</v>
      </c>
      <c r="Y39" s="54">
        <v>11</v>
      </c>
      <c r="Z39" s="54">
        <v>1278</v>
      </c>
      <c r="AA39" s="54">
        <v>24.42</v>
      </c>
      <c r="AB39" s="66">
        <v>24.5</v>
      </c>
      <c r="AC39" s="55">
        <v>43372</v>
      </c>
    </row>
    <row r="40" spans="2:29" ht="13.5" thickBot="1">
      <c r="B40" s="39">
        <v>25325</v>
      </c>
      <c r="C40" s="40">
        <v>25355</v>
      </c>
      <c r="D40" s="41">
        <v>42</v>
      </c>
      <c r="E40" s="41">
        <v>10</v>
      </c>
      <c r="F40" s="42">
        <v>1225</v>
      </c>
      <c r="G40" s="41">
        <v>49</v>
      </c>
      <c r="H40" s="41">
        <v>2</v>
      </c>
      <c r="I40" s="43">
        <v>49</v>
      </c>
      <c r="J40" s="41">
        <v>3</v>
      </c>
      <c r="K40" s="44">
        <v>43319</v>
      </c>
      <c r="M40" s="52">
        <v>27882</v>
      </c>
      <c r="N40" s="53">
        <v>27912</v>
      </c>
      <c r="O40" s="54">
        <v>35</v>
      </c>
      <c r="P40" s="54">
        <v>10</v>
      </c>
      <c r="Q40" s="54">
        <v>1225</v>
      </c>
      <c r="R40" s="54">
        <v>42.18</v>
      </c>
      <c r="S40" s="54">
        <v>42.27</v>
      </c>
      <c r="T40" s="55">
        <v>43319</v>
      </c>
      <c r="V40" s="52">
        <v>34456</v>
      </c>
      <c r="W40" s="53">
        <v>34486</v>
      </c>
      <c r="X40" s="54">
        <v>17</v>
      </c>
      <c r="Y40" s="54">
        <v>10</v>
      </c>
      <c r="Z40" s="54">
        <v>1225</v>
      </c>
      <c r="AA40" s="54">
        <v>24.19</v>
      </c>
      <c r="AB40" s="66">
        <v>24.27</v>
      </c>
      <c r="AC40" s="55">
        <v>43319</v>
      </c>
    </row>
    <row r="41" spans="2:29" ht="13.5" thickBot="1">
      <c r="B41" s="39">
        <v>25356</v>
      </c>
      <c r="C41" s="40">
        <v>25385</v>
      </c>
      <c r="D41" s="41">
        <v>42</v>
      </c>
      <c r="E41" s="41">
        <v>9</v>
      </c>
      <c r="F41" s="42">
        <v>1171</v>
      </c>
      <c r="G41" s="41">
        <v>48</v>
      </c>
      <c r="H41" s="41">
        <v>11</v>
      </c>
      <c r="I41" s="43">
        <v>49</v>
      </c>
      <c r="J41" s="41">
        <v>0</v>
      </c>
      <c r="K41" s="44">
        <v>43265</v>
      </c>
      <c r="M41" s="52">
        <v>27913</v>
      </c>
      <c r="N41" s="53">
        <v>27942</v>
      </c>
      <c r="O41" s="54">
        <v>35</v>
      </c>
      <c r="P41" s="54">
        <v>9</v>
      </c>
      <c r="Q41" s="54">
        <v>1171</v>
      </c>
      <c r="R41" s="54">
        <v>41.95</v>
      </c>
      <c r="S41" s="54">
        <v>42.03</v>
      </c>
      <c r="T41" s="55">
        <v>43265</v>
      </c>
      <c r="V41" s="52">
        <v>34487</v>
      </c>
      <c r="W41" s="53">
        <v>34516</v>
      </c>
      <c r="X41" s="54">
        <v>17</v>
      </c>
      <c r="Y41" s="54">
        <v>9</v>
      </c>
      <c r="Z41" s="54">
        <v>1171</v>
      </c>
      <c r="AA41" s="54">
        <v>23.96</v>
      </c>
      <c r="AB41" s="66">
        <v>24.04</v>
      </c>
      <c r="AC41" s="55">
        <v>43265</v>
      </c>
    </row>
    <row r="42" spans="2:29" ht="13.5" thickBot="1">
      <c r="B42" s="39">
        <v>25386</v>
      </c>
      <c r="C42" s="40">
        <v>25416</v>
      </c>
      <c r="D42" s="41">
        <v>42</v>
      </c>
      <c r="E42" s="41">
        <v>8</v>
      </c>
      <c r="F42" s="42">
        <v>1118</v>
      </c>
      <c r="G42" s="41">
        <v>48</v>
      </c>
      <c r="H42" s="41">
        <v>9</v>
      </c>
      <c r="I42" s="43">
        <v>48</v>
      </c>
      <c r="J42" s="41">
        <v>10</v>
      </c>
      <c r="K42" s="44">
        <v>43212</v>
      </c>
      <c r="M42" s="52">
        <v>27943</v>
      </c>
      <c r="N42" s="53">
        <v>27973</v>
      </c>
      <c r="O42" s="54">
        <v>35</v>
      </c>
      <c r="P42" s="54">
        <v>8</v>
      </c>
      <c r="Q42" s="54">
        <v>1118</v>
      </c>
      <c r="R42" s="54">
        <v>41.72</v>
      </c>
      <c r="S42" s="54">
        <v>41.81</v>
      </c>
      <c r="T42" s="55">
        <v>43212</v>
      </c>
      <c r="V42" s="52">
        <v>34517</v>
      </c>
      <c r="W42" s="53">
        <v>34547</v>
      </c>
      <c r="X42" s="54">
        <v>17</v>
      </c>
      <c r="Y42" s="54">
        <v>8</v>
      </c>
      <c r="Z42" s="54">
        <v>1118</v>
      </c>
      <c r="AA42" s="54">
        <v>23.73</v>
      </c>
      <c r="AB42" s="66">
        <v>23.81</v>
      </c>
      <c r="AC42" s="55">
        <v>43212</v>
      </c>
    </row>
    <row r="43" spans="2:29" ht="13.5" thickBot="1">
      <c r="B43" s="39">
        <v>25417</v>
      </c>
      <c r="C43" s="40">
        <v>25447</v>
      </c>
      <c r="D43" s="41">
        <v>42</v>
      </c>
      <c r="E43" s="41">
        <v>7</v>
      </c>
      <c r="F43" s="42">
        <v>1064</v>
      </c>
      <c r="G43" s="41">
        <v>48</v>
      </c>
      <c r="H43" s="41">
        <v>6</v>
      </c>
      <c r="I43" s="43">
        <v>48</v>
      </c>
      <c r="J43" s="41">
        <v>7</v>
      </c>
      <c r="K43" s="44">
        <v>43158</v>
      </c>
      <c r="M43" s="52">
        <v>27974</v>
      </c>
      <c r="N43" s="53">
        <v>28004</v>
      </c>
      <c r="O43" s="54">
        <v>35</v>
      </c>
      <c r="P43" s="54">
        <v>7</v>
      </c>
      <c r="Q43" s="54">
        <v>1064</v>
      </c>
      <c r="R43" s="54">
        <v>41.49</v>
      </c>
      <c r="S43" s="54">
        <v>41.57</v>
      </c>
      <c r="T43" s="55">
        <v>43158</v>
      </c>
      <c r="V43" s="52">
        <v>34548</v>
      </c>
      <c r="W43" s="53">
        <v>34578</v>
      </c>
      <c r="X43" s="54">
        <v>17</v>
      </c>
      <c r="Y43" s="54">
        <v>7</v>
      </c>
      <c r="Z43" s="54">
        <v>1064</v>
      </c>
      <c r="AA43" s="54">
        <v>23.49</v>
      </c>
      <c r="AB43" s="66">
        <v>23.58</v>
      </c>
      <c r="AC43" s="55">
        <v>43158</v>
      </c>
    </row>
    <row r="44" spans="2:29" ht="13.5" thickBot="1">
      <c r="B44" s="39">
        <v>25448</v>
      </c>
      <c r="C44" s="40">
        <v>25477</v>
      </c>
      <c r="D44" s="41">
        <v>42</v>
      </c>
      <c r="E44" s="41">
        <v>6</v>
      </c>
      <c r="F44" s="42">
        <v>1010</v>
      </c>
      <c r="G44" s="41">
        <v>48</v>
      </c>
      <c r="H44" s="41">
        <v>3</v>
      </c>
      <c r="I44" s="43">
        <v>48</v>
      </c>
      <c r="J44" s="41">
        <v>4</v>
      </c>
      <c r="K44" s="44">
        <v>43104</v>
      </c>
      <c r="M44" s="52">
        <v>28005</v>
      </c>
      <c r="N44" s="53">
        <v>28034</v>
      </c>
      <c r="O44" s="54">
        <v>35</v>
      </c>
      <c r="P44" s="54">
        <v>6</v>
      </c>
      <c r="Q44" s="54">
        <v>1010</v>
      </c>
      <c r="R44" s="54">
        <v>41.26</v>
      </c>
      <c r="S44" s="54">
        <v>41.34</v>
      </c>
      <c r="T44" s="55">
        <v>43104</v>
      </c>
      <c r="V44" s="52">
        <v>34579</v>
      </c>
      <c r="W44" s="53">
        <v>34608</v>
      </c>
      <c r="X44" s="54">
        <v>17</v>
      </c>
      <c r="Y44" s="54">
        <v>6</v>
      </c>
      <c r="Z44" s="54">
        <v>1010</v>
      </c>
      <c r="AA44" s="54">
        <v>23.26</v>
      </c>
      <c r="AB44" s="66">
        <v>23.34</v>
      </c>
      <c r="AC44" s="55">
        <v>43104</v>
      </c>
    </row>
    <row r="45" spans="2:29" ht="13.5" thickBot="1">
      <c r="B45" s="39">
        <v>25478</v>
      </c>
      <c r="C45" s="40">
        <v>25508</v>
      </c>
      <c r="D45" s="41">
        <v>42</v>
      </c>
      <c r="E45" s="41">
        <v>5</v>
      </c>
      <c r="F45" s="42">
        <v>957</v>
      </c>
      <c r="G45" s="41">
        <v>48</v>
      </c>
      <c r="H45" s="41">
        <v>0</v>
      </c>
      <c r="I45" s="43">
        <v>48</v>
      </c>
      <c r="J45" s="41">
        <v>1</v>
      </c>
      <c r="K45" s="44">
        <v>43051</v>
      </c>
      <c r="M45" s="52">
        <v>28035</v>
      </c>
      <c r="N45" s="53">
        <v>28065</v>
      </c>
      <c r="O45" s="54">
        <v>35</v>
      </c>
      <c r="P45" s="54">
        <v>5</v>
      </c>
      <c r="Q45" s="54">
        <v>957</v>
      </c>
      <c r="R45" s="54">
        <v>41.03</v>
      </c>
      <c r="S45" s="54">
        <v>41.11</v>
      </c>
      <c r="T45" s="55">
        <v>43051</v>
      </c>
      <c r="V45" s="52">
        <v>34609</v>
      </c>
      <c r="W45" s="53">
        <v>34639</v>
      </c>
      <c r="X45" s="54">
        <v>17</v>
      </c>
      <c r="Y45" s="54">
        <v>5</v>
      </c>
      <c r="Z45" s="54">
        <v>957</v>
      </c>
      <c r="AA45" s="54">
        <v>23.03</v>
      </c>
      <c r="AB45" s="66">
        <v>23.12</v>
      </c>
      <c r="AC45" s="55">
        <v>43051</v>
      </c>
    </row>
    <row r="46" spans="2:29" ht="13.5" thickBot="1">
      <c r="B46" s="39">
        <v>25509</v>
      </c>
      <c r="C46" s="40">
        <v>25538</v>
      </c>
      <c r="D46" s="41">
        <v>42</v>
      </c>
      <c r="E46" s="41">
        <v>4</v>
      </c>
      <c r="F46" s="42">
        <v>903</v>
      </c>
      <c r="G46" s="41">
        <v>47</v>
      </c>
      <c r="H46" s="41">
        <v>10</v>
      </c>
      <c r="I46" s="43">
        <v>47</v>
      </c>
      <c r="J46" s="41">
        <v>11</v>
      </c>
      <c r="K46" s="44">
        <v>42997</v>
      </c>
      <c r="M46" s="52">
        <v>28066</v>
      </c>
      <c r="N46" s="53">
        <v>28095</v>
      </c>
      <c r="O46" s="54">
        <v>35</v>
      </c>
      <c r="P46" s="54">
        <v>4</v>
      </c>
      <c r="Q46" s="54">
        <v>903</v>
      </c>
      <c r="R46" s="54">
        <v>40.799999999999997</v>
      </c>
      <c r="S46" s="54">
        <v>40.880000000000003</v>
      </c>
      <c r="T46" s="55">
        <v>42997</v>
      </c>
      <c r="V46" s="52">
        <v>34640</v>
      </c>
      <c r="W46" s="53">
        <v>34669</v>
      </c>
      <c r="X46" s="54">
        <v>17</v>
      </c>
      <c r="Y46" s="54">
        <v>4</v>
      </c>
      <c r="Z46" s="54">
        <v>903</v>
      </c>
      <c r="AA46" s="54">
        <v>22.8</v>
      </c>
      <c r="AB46" s="66">
        <v>22.88</v>
      </c>
      <c r="AC46" s="55">
        <v>42997</v>
      </c>
    </row>
    <row r="47" spans="2:29" ht="13.5" thickBot="1">
      <c r="B47" s="39">
        <v>25539</v>
      </c>
      <c r="C47" s="40">
        <v>25569</v>
      </c>
      <c r="D47" s="41">
        <v>42</v>
      </c>
      <c r="E47" s="41">
        <v>3</v>
      </c>
      <c r="F47" s="42">
        <v>851</v>
      </c>
      <c r="G47" s="41">
        <v>47</v>
      </c>
      <c r="H47" s="41">
        <v>7</v>
      </c>
      <c r="I47" s="43">
        <v>47</v>
      </c>
      <c r="J47" s="41">
        <v>8</v>
      </c>
      <c r="K47" s="44">
        <v>42945</v>
      </c>
      <c r="M47" s="52">
        <v>28096</v>
      </c>
      <c r="N47" s="53">
        <v>28126</v>
      </c>
      <c r="O47" s="54">
        <v>35</v>
      </c>
      <c r="P47" s="54">
        <v>3</v>
      </c>
      <c r="Q47" s="54">
        <v>851</v>
      </c>
      <c r="R47" s="54">
        <v>40.57</v>
      </c>
      <c r="S47" s="54">
        <v>40.659999999999997</v>
      </c>
      <c r="T47" s="55">
        <v>42945</v>
      </c>
      <c r="V47" s="52">
        <v>34670</v>
      </c>
      <c r="W47" s="53">
        <v>34700</v>
      </c>
      <c r="X47" s="54">
        <v>17</v>
      </c>
      <c r="Y47" s="54">
        <v>3</v>
      </c>
      <c r="Z47" s="54">
        <v>851</v>
      </c>
      <c r="AA47" s="54">
        <v>22.58</v>
      </c>
      <c r="AB47" s="66">
        <v>22.66</v>
      </c>
      <c r="AC47" s="55">
        <v>42945</v>
      </c>
    </row>
    <row r="48" spans="2:29" ht="13.5" thickBot="1">
      <c r="B48" s="39">
        <v>25570</v>
      </c>
      <c r="C48" s="40">
        <v>25600</v>
      </c>
      <c r="D48" s="41">
        <v>42</v>
      </c>
      <c r="E48" s="41">
        <v>2</v>
      </c>
      <c r="F48" s="42">
        <v>796</v>
      </c>
      <c r="G48" s="41">
        <v>47</v>
      </c>
      <c r="H48" s="41">
        <v>4</v>
      </c>
      <c r="I48" s="43">
        <v>47</v>
      </c>
      <c r="J48" s="41">
        <v>5</v>
      </c>
      <c r="K48" s="44">
        <v>42890</v>
      </c>
      <c r="M48" s="52">
        <v>28127</v>
      </c>
      <c r="N48" s="53">
        <v>28157</v>
      </c>
      <c r="O48" s="54">
        <v>35</v>
      </c>
      <c r="P48" s="54">
        <v>2</v>
      </c>
      <c r="Q48" s="54">
        <v>796</v>
      </c>
      <c r="R48" s="54">
        <v>40.340000000000003</v>
      </c>
      <c r="S48" s="54">
        <v>40.42</v>
      </c>
      <c r="T48" s="55">
        <v>42890</v>
      </c>
      <c r="V48" s="52">
        <v>34701</v>
      </c>
      <c r="W48" s="53">
        <v>34731</v>
      </c>
      <c r="X48" s="54">
        <v>17</v>
      </c>
      <c r="Y48" s="54">
        <v>2</v>
      </c>
      <c r="Z48" s="54">
        <v>796</v>
      </c>
      <c r="AA48" s="54">
        <v>22.34</v>
      </c>
      <c r="AB48" s="66">
        <v>22.42</v>
      </c>
      <c r="AC48" s="55">
        <v>42890</v>
      </c>
    </row>
    <row r="49" spans="2:29" ht="13.5" thickBot="1">
      <c r="B49" s="39">
        <v>25601</v>
      </c>
      <c r="C49" s="40">
        <v>25628</v>
      </c>
      <c r="D49" s="41">
        <v>42</v>
      </c>
      <c r="E49" s="41">
        <v>1</v>
      </c>
      <c r="F49" s="42">
        <v>742</v>
      </c>
      <c r="G49" s="41">
        <v>47</v>
      </c>
      <c r="H49" s="41">
        <v>1</v>
      </c>
      <c r="I49" s="43">
        <v>47</v>
      </c>
      <c r="J49" s="41">
        <v>2</v>
      </c>
      <c r="K49" s="44">
        <v>42836</v>
      </c>
      <c r="M49" s="52">
        <v>28158</v>
      </c>
      <c r="N49" s="53">
        <v>28185</v>
      </c>
      <c r="O49" s="54">
        <v>35</v>
      </c>
      <c r="P49" s="54">
        <v>1</v>
      </c>
      <c r="Q49" s="54">
        <v>742</v>
      </c>
      <c r="R49" s="54">
        <v>40.11</v>
      </c>
      <c r="S49" s="54">
        <v>40.19</v>
      </c>
      <c r="T49" s="55">
        <v>42836</v>
      </c>
      <c r="V49" s="52">
        <v>34732</v>
      </c>
      <c r="W49" s="53">
        <v>34759</v>
      </c>
      <c r="X49" s="54">
        <v>17</v>
      </c>
      <c r="Y49" s="54">
        <v>1</v>
      </c>
      <c r="Z49" s="54">
        <v>742</v>
      </c>
      <c r="AA49" s="54">
        <v>22.12</v>
      </c>
      <c r="AB49" s="66">
        <v>22.19</v>
      </c>
      <c r="AC49" s="55">
        <v>42836</v>
      </c>
    </row>
    <row r="50" spans="2:29" ht="13.5" thickBot="1">
      <c r="B50" s="39">
        <v>25629</v>
      </c>
      <c r="C50" s="40">
        <v>25659</v>
      </c>
      <c r="D50" s="41">
        <v>42</v>
      </c>
      <c r="E50" s="41">
        <v>0</v>
      </c>
      <c r="F50" s="42">
        <v>693</v>
      </c>
      <c r="G50" s="41">
        <v>46</v>
      </c>
      <c r="H50" s="41">
        <v>11</v>
      </c>
      <c r="I50" s="43">
        <v>47</v>
      </c>
      <c r="J50" s="41">
        <v>0</v>
      </c>
      <c r="K50" s="44">
        <v>42787</v>
      </c>
      <c r="M50" s="52">
        <v>28186</v>
      </c>
      <c r="N50" s="53">
        <v>28216</v>
      </c>
      <c r="O50" s="54">
        <v>35</v>
      </c>
      <c r="P50" s="54">
        <v>0</v>
      </c>
      <c r="Q50" s="54">
        <v>693</v>
      </c>
      <c r="R50" s="54">
        <v>39.9</v>
      </c>
      <c r="S50" s="54">
        <v>39.979999999999997</v>
      </c>
      <c r="T50" s="55">
        <v>42787</v>
      </c>
      <c r="V50" s="52">
        <v>34760</v>
      </c>
      <c r="W50" s="53">
        <v>34790</v>
      </c>
      <c r="X50" s="54">
        <v>17</v>
      </c>
      <c r="Y50" s="54">
        <v>0</v>
      </c>
      <c r="Z50" s="54">
        <v>693</v>
      </c>
      <c r="AA50" s="54">
        <v>21.9</v>
      </c>
      <c r="AB50" s="66">
        <v>21.98</v>
      </c>
      <c r="AC50" s="55">
        <v>42787</v>
      </c>
    </row>
    <row r="51" spans="2:29" ht="13.5" thickBot="1">
      <c r="B51" s="39">
        <v>25660</v>
      </c>
      <c r="C51" s="40">
        <v>25689</v>
      </c>
      <c r="D51" s="41">
        <v>41</v>
      </c>
      <c r="E51" s="41">
        <v>11</v>
      </c>
      <c r="F51" s="42">
        <v>639</v>
      </c>
      <c r="G51" s="41">
        <v>46</v>
      </c>
      <c r="H51" s="41">
        <v>8</v>
      </c>
      <c r="I51" s="43">
        <v>46</v>
      </c>
      <c r="J51" s="41">
        <v>9</v>
      </c>
      <c r="K51" s="44">
        <v>42733</v>
      </c>
      <c r="M51" s="52">
        <v>28217</v>
      </c>
      <c r="N51" s="53">
        <v>28246</v>
      </c>
      <c r="O51" s="54">
        <v>34</v>
      </c>
      <c r="P51" s="54">
        <v>11</v>
      </c>
      <c r="Q51" s="54">
        <v>639</v>
      </c>
      <c r="R51" s="54">
        <v>39.67</v>
      </c>
      <c r="S51" s="54">
        <v>39.75</v>
      </c>
      <c r="T51" s="55">
        <v>42733</v>
      </c>
      <c r="V51" s="52">
        <v>34791</v>
      </c>
      <c r="W51" s="53">
        <v>34820</v>
      </c>
      <c r="X51" s="54">
        <v>16</v>
      </c>
      <c r="Y51" s="54">
        <v>11</v>
      </c>
      <c r="Z51" s="54">
        <v>639</v>
      </c>
      <c r="AA51" s="54">
        <v>21.67</v>
      </c>
      <c r="AB51" s="66">
        <v>21.75</v>
      </c>
      <c r="AC51" s="55">
        <v>42733</v>
      </c>
    </row>
    <row r="52" spans="2:29" ht="13.5" thickBot="1">
      <c r="B52" s="39">
        <v>25690</v>
      </c>
      <c r="C52" s="40">
        <v>25720</v>
      </c>
      <c r="D52" s="41">
        <v>41</v>
      </c>
      <c r="E52" s="41">
        <v>10</v>
      </c>
      <c r="F52" s="42">
        <v>586</v>
      </c>
      <c r="G52" s="41">
        <v>46</v>
      </c>
      <c r="H52" s="41">
        <v>5</v>
      </c>
      <c r="I52" s="43">
        <v>46</v>
      </c>
      <c r="J52" s="41">
        <v>6</v>
      </c>
      <c r="K52" s="44">
        <v>42680</v>
      </c>
      <c r="M52" s="52">
        <v>28247</v>
      </c>
      <c r="N52" s="53">
        <v>28277</v>
      </c>
      <c r="O52" s="54">
        <v>34</v>
      </c>
      <c r="P52" s="54">
        <v>10</v>
      </c>
      <c r="Q52" s="54">
        <v>586</v>
      </c>
      <c r="R52" s="54">
        <v>39.44</v>
      </c>
      <c r="S52" s="54">
        <v>39.520000000000003</v>
      </c>
      <c r="T52" s="55">
        <v>42680</v>
      </c>
      <c r="V52" s="52">
        <v>34821</v>
      </c>
      <c r="W52" s="53">
        <v>34851</v>
      </c>
      <c r="X52" s="54">
        <v>16</v>
      </c>
      <c r="Y52" s="54">
        <v>10</v>
      </c>
      <c r="Z52" s="54">
        <v>586</v>
      </c>
      <c r="AA52" s="54">
        <v>21.44</v>
      </c>
      <c r="AB52" s="66">
        <v>21.52</v>
      </c>
      <c r="AC52" s="55">
        <v>42680</v>
      </c>
    </row>
    <row r="53" spans="2:29" ht="13.5" thickBot="1">
      <c r="B53" s="39">
        <v>25721</v>
      </c>
      <c r="C53" s="40">
        <v>25750</v>
      </c>
      <c r="D53" s="41">
        <v>41</v>
      </c>
      <c r="E53" s="41">
        <v>9</v>
      </c>
      <c r="F53" s="42">
        <v>532</v>
      </c>
      <c r="G53" s="41">
        <v>46</v>
      </c>
      <c r="H53" s="41">
        <v>2</v>
      </c>
      <c r="I53" s="43">
        <v>46</v>
      </c>
      <c r="J53" s="41">
        <v>3</v>
      </c>
      <c r="K53" s="44">
        <v>42626</v>
      </c>
      <c r="M53" s="52">
        <v>28278</v>
      </c>
      <c r="N53" s="53">
        <v>28307</v>
      </c>
      <c r="O53" s="54">
        <v>34</v>
      </c>
      <c r="P53" s="54">
        <v>9</v>
      </c>
      <c r="Q53" s="54">
        <v>532</v>
      </c>
      <c r="R53" s="54">
        <v>39.21</v>
      </c>
      <c r="S53" s="54">
        <v>39.29</v>
      </c>
      <c r="T53" s="55">
        <v>42626</v>
      </c>
      <c r="V53" s="52">
        <v>34852</v>
      </c>
      <c r="W53" s="53">
        <v>34881</v>
      </c>
      <c r="X53" s="54">
        <v>16</v>
      </c>
      <c r="Y53" s="54">
        <v>9</v>
      </c>
      <c r="Z53" s="54">
        <v>532</v>
      </c>
      <c r="AA53" s="54">
        <v>21.21</v>
      </c>
      <c r="AB53" s="66">
        <v>21.29</v>
      </c>
      <c r="AC53" s="55">
        <v>42626</v>
      </c>
    </row>
    <row r="54" spans="2:29" ht="13.5" thickBot="1">
      <c r="B54" s="39">
        <v>25751</v>
      </c>
      <c r="C54" s="40">
        <v>25781</v>
      </c>
      <c r="D54" s="41">
        <v>41</v>
      </c>
      <c r="E54" s="41">
        <v>8</v>
      </c>
      <c r="F54" s="42">
        <v>480</v>
      </c>
      <c r="G54" s="41">
        <v>46</v>
      </c>
      <c r="H54" s="41">
        <v>0</v>
      </c>
      <c r="I54" s="43">
        <v>46</v>
      </c>
      <c r="J54" s="41">
        <v>1</v>
      </c>
      <c r="K54" s="44">
        <v>42574</v>
      </c>
      <c r="M54" s="62">
        <v>28308</v>
      </c>
      <c r="N54" s="63">
        <v>28338</v>
      </c>
      <c r="O54" s="64">
        <v>34</v>
      </c>
      <c r="P54" s="64">
        <v>8</v>
      </c>
      <c r="Q54" s="64">
        <v>480</v>
      </c>
      <c r="R54" s="64">
        <v>38.979999999999997</v>
      </c>
      <c r="S54" s="64">
        <v>39.06</v>
      </c>
      <c r="T54" s="65">
        <v>42574</v>
      </c>
      <c r="V54" s="52">
        <v>34882</v>
      </c>
      <c r="W54" s="53">
        <v>34912</v>
      </c>
      <c r="X54" s="54">
        <v>16</v>
      </c>
      <c r="Y54" s="54">
        <v>8</v>
      </c>
      <c r="Z54" s="54">
        <v>480</v>
      </c>
      <c r="AA54" s="54">
        <v>20.98</v>
      </c>
      <c r="AB54" s="66">
        <v>21.06</v>
      </c>
      <c r="AC54" s="55">
        <v>42574</v>
      </c>
    </row>
    <row r="55" spans="2:29" ht="13.5" thickBot="1">
      <c r="B55" s="39">
        <v>25782</v>
      </c>
      <c r="C55" s="40">
        <v>25812</v>
      </c>
      <c r="D55" s="41">
        <v>41</v>
      </c>
      <c r="E55" s="41">
        <v>7</v>
      </c>
      <c r="F55" s="42">
        <v>425</v>
      </c>
      <c r="G55" s="41">
        <v>45</v>
      </c>
      <c r="H55" s="41">
        <v>9</v>
      </c>
      <c r="I55" s="43">
        <v>45</v>
      </c>
      <c r="J55" s="41">
        <v>10</v>
      </c>
      <c r="K55" s="44">
        <v>42519</v>
      </c>
      <c r="M55" s="52">
        <v>28339</v>
      </c>
      <c r="N55" s="53">
        <v>28369</v>
      </c>
      <c r="O55" s="54">
        <v>34</v>
      </c>
      <c r="P55" s="54">
        <v>7</v>
      </c>
      <c r="Q55" s="54">
        <v>425</v>
      </c>
      <c r="R55" s="54">
        <v>38.74</v>
      </c>
      <c r="S55" s="54">
        <v>38.83</v>
      </c>
      <c r="T55" s="55">
        <v>42519</v>
      </c>
      <c r="V55" s="52">
        <v>34913</v>
      </c>
      <c r="W55" s="53">
        <v>34943</v>
      </c>
      <c r="X55" s="54">
        <v>16</v>
      </c>
      <c r="Y55" s="54">
        <v>7</v>
      </c>
      <c r="Z55" s="54">
        <v>425</v>
      </c>
      <c r="AA55" s="54">
        <v>20.74</v>
      </c>
      <c r="AB55" s="66">
        <v>20.83</v>
      </c>
      <c r="AC55" s="55">
        <v>42519</v>
      </c>
    </row>
    <row r="56" spans="2:29" ht="13.5" thickBot="1">
      <c r="B56" s="56">
        <v>25813</v>
      </c>
      <c r="C56" s="57">
        <v>25842</v>
      </c>
      <c r="D56" s="58">
        <v>41</v>
      </c>
      <c r="E56" s="58">
        <v>6</v>
      </c>
      <c r="F56" s="59">
        <v>371</v>
      </c>
      <c r="G56" s="58">
        <v>45</v>
      </c>
      <c r="H56" s="58">
        <v>6</v>
      </c>
      <c r="I56" s="60">
        <v>45</v>
      </c>
      <c r="J56" s="58">
        <v>7</v>
      </c>
      <c r="K56" s="61">
        <v>42465</v>
      </c>
      <c r="M56" s="52">
        <v>28370</v>
      </c>
      <c r="N56" s="53">
        <v>28399</v>
      </c>
      <c r="O56" s="54">
        <v>34</v>
      </c>
      <c r="P56" s="54">
        <v>6</v>
      </c>
      <c r="Q56" s="54">
        <v>371</v>
      </c>
      <c r="R56" s="54">
        <v>38.51</v>
      </c>
      <c r="S56" s="54">
        <v>38.590000000000003</v>
      </c>
      <c r="T56" s="55">
        <v>42465</v>
      </c>
      <c r="V56" s="52">
        <v>34944</v>
      </c>
      <c r="W56" s="53">
        <v>34973</v>
      </c>
      <c r="X56" s="54">
        <v>16</v>
      </c>
      <c r="Y56" s="54">
        <v>6</v>
      </c>
      <c r="Z56" s="54">
        <v>371</v>
      </c>
      <c r="AA56" s="54">
        <v>20.51</v>
      </c>
      <c r="AB56" s="66">
        <v>20.59</v>
      </c>
      <c r="AC56" s="55">
        <v>42465</v>
      </c>
    </row>
    <row r="57" spans="2:29" ht="13.5" thickBot="1">
      <c r="B57" s="39">
        <v>25843</v>
      </c>
      <c r="C57" s="40">
        <v>25873</v>
      </c>
      <c r="D57" s="41">
        <v>41</v>
      </c>
      <c r="E57" s="41">
        <v>5</v>
      </c>
      <c r="F57" s="42">
        <v>319</v>
      </c>
      <c r="G57" s="41">
        <v>45</v>
      </c>
      <c r="H57" s="41">
        <v>3</v>
      </c>
      <c r="I57" s="43">
        <v>45</v>
      </c>
      <c r="J57" s="41">
        <v>4</v>
      </c>
      <c r="K57" s="44">
        <v>42413</v>
      </c>
      <c r="M57" s="52">
        <v>28400</v>
      </c>
      <c r="N57" s="53">
        <v>28430</v>
      </c>
      <c r="O57" s="54">
        <v>34</v>
      </c>
      <c r="P57" s="54">
        <v>5</v>
      </c>
      <c r="Q57" s="54">
        <v>319</v>
      </c>
      <c r="R57" s="54">
        <v>38.29</v>
      </c>
      <c r="S57" s="54">
        <v>38.369999999999997</v>
      </c>
      <c r="T57" s="55">
        <v>42413</v>
      </c>
      <c r="V57" s="52">
        <v>34974</v>
      </c>
      <c r="W57" s="53">
        <v>35004</v>
      </c>
      <c r="X57" s="54">
        <v>16</v>
      </c>
      <c r="Y57" s="54">
        <v>5</v>
      </c>
      <c r="Z57" s="54">
        <v>319</v>
      </c>
      <c r="AA57" s="54">
        <v>20.29</v>
      </c>
      <c r="AB57" s="66">
        <v>20.37</v>
      </c>
      <c r="AC57" s="55">
        <v>42413</v>
      </c>
    </row>
    <row r="58" spans="2:29" ht="13.5" thickBot="1">
      <c r="B58" s="39">
        <v>25874</v>
      </c>
      <c r="C58" s="40">
        <v>25903</v>
      </c>
      <c r="D58" s="41">
        <v>41</v>
      </c>
      <c r="E58" s="41">
        <v>4</v>
      </c>
      <c r="F58" s="42">
        <v>264</v>
      </c>
      <c r="G58" s="41">
        <v>45</v>
      </c>
      <c r="H58" s="41">
        <v>1</v>
      </c>
      <c r="I58" s="43">
        <v>45</v>
      </c>
      <c r="J58" s="41">
        <v>2</v>
      </c>
      <c r="K58" s="44">
        <v>42358</v>
      </c>
      <c r="M58" s="52">
        <v>28431</v>
      </c>
      <c r="N58" s="53">
        <v>28460</v>
      </c>
      <c r="O58" s="54">
        <v>34</v>
      </c>
      <c r="P58" s="54">
        <v>4</v>
      </c>
      <c r="Q58" s="54">
        <v>264</v>
      </c>
      <c r="R58" s="54">
        <v>38.049999999999997</v>
      </c>
      <c r="S58" s="54">
        <v>38.130000000000003</v>
      </c>
      <c r="T58" s="55">
        <v>42358</v>
      </c>
      <c r="V58" s="52">
        <v>35005</v>
      </c>
      <c r="W58" s="53">
        <v>35034</v>
      </c>
      <c r="X58" s="54">
        <v>16</v>
      </c>
      <c r="Y58" s="54">
        <v>4</v>
      </c>
      <c r="Z58" s="54">
        <v>264</v>
      </c>
      <c r="AA58" s="54">
        <v>20.05</v>
      </c>
      <c r="AB58" s="66">
        <v>20.13</v>
      </c>
      <c r="AC58" s="55">
        <v>42358</v>
      </c>
    </row>
    <row r="59" spans="2:29" ht="13.5" thickBot="1">
      <c r="B59" s="39">
        <v>25904</v>
      </c>
      <c r="C59" s="40">
        <v>25934</v>
      </c>
      <c r="D59" s="41">
        <v>41</v>
      </c>
      <c r="E59" s="41">
        <v>3</v>
      </c>
      <c r="F59" s="42">
        <v>212</v>
      </c>
      <c r="G59" s="41">
        <v>44</v>
      </c>
      <c r="H59" s="41">
        <v>10</v>
      </c>
      <c r="I59" s="43">
        <v>44</v>
      </c>
      <c r="J59" s="41">
        <v>11</v>
      </c>
      <c r="K59" s="44">
        <v>42306</v>
      </c>
      <c r="M59" s="52">
        <v>28461</v>
      </c>
      <c r="N59" s="53">
        <v>28491</v>
      </c>
      <c r="O59" s="54">
        <v>34</v>
      </c>
      <c r="P59" s="54">
        <v>3</v>
      </c>
      <c r="Q59" s="54">
        <v>212</v>
      </c>
      <c r="R59" s="54">
        <v>37.83</v>
      </c>
      <c r="S59" s="54">
        <v>37.909999999999997</v>
      </c>
      <c r="T59" s="55">
        <v>42306</v>
      </c>
      <c r="V59" s="52">
        <v>35035</v>
      </c>
      <c r="W59" s="53">
        <v>35065</v>
      </c>
      <c r="X59" s="54">
        <v>16</v>
      </c>
      <c r="Y59" s="54">
        <v>3</v>
      </c>
      <c r="Z59" s="54">
        <v>212</v>
      </c>
      <c r="AA59" s="54">
        <v>19.829999999999998</v>
      </c>
      <c r="AB59" s="66">
        <v>19.91</v>
      </c>
      <c r="AC59" s="55">
        <v>42306</v>
      </c>
    </row>
    <row r="60" spans="2:29" ht="13.5" thickBot="1">
      <c r="B60" s="39">
        <v>25935</v>
      </c>
      <c r="C60" s="40">
        <v>25965</v>
      </c>
      <c r="D60" s="41">
        <v>41</v>
      </c>
      <c r="E60" s="41">
        <v>2</v>
      </c>
      <c r="F60" s="42">
        <v>158</v>
      </c>
      <c r="G60" s="41">
        <v>44</v>
      </c>
      <c r="H60" s="41">
        <v>7</v>
      </c>
      <c r="I60" s="43">
        <v>44</v>
      </c>
      <c r="J60" s="41">
        <v>8</v>
      </c>
      <c r="K60" s="44">
        <v>42252</v>
      </c>
      <c r="M60" s="52">
        <v>28492</v>
      </c>
      <c r="N60" s="53">
        <v>28522</v>
      </c>
      <c r="O60" s="54">
        <v>34</v>
      </c>
      <c r="P60" s="54">
        <v>2</v>
      </c>
      <c r="Q60" s="54">
        <v>158</v>
      </c>
      <c r="R60" s="54">
        <v>37.590000000000003</v>
      </c>
      <c r="S60" s="54">
        <v>37.68</v>
      </c>
      <c r="T60" s="55">
        <v>42252</v>
      </c>
      <c r="V60" s="52">
        <v>35066</v>
      </c>
      <c r="W60" s="53">
        <v>35096</v>
      </c>
      <c r="X60" s="54">
        <v>16</v>
      </c>
      <c r="Y60" s="54">
        <v>2</v>
      </c>
      <c r="Z60" s="54">
        <v>158</v>
      </c>
      <c r="AA60" s="54">
        <v>19.59</v>
      </c>
      <c r="AB60" s="66">
        <v>19.68</v>
      </c>
      <c r="AC60" s="55">
        <v>42252</v>
      </c>
    </row>
    <row r="61" spans="2:29" ht="13.5" thickBot="1">
      <c r="B61" s="39">
        <v>25966</v>
      </c>
      <c r="C61" s="40">
        <v>25993</v>
      </c>
      <c r="D61" s="41">
        <v>41</v>
      </c>
      <c r="E61" s="41">
        <v>1</v>
      </c>
      <c r="F61" s="42">
        <v>103</v>
      </c>
      <c r="G61" s="41">
        <v>44</v>
      </c>
      <c r="H61" s="41">
        <v>4</v>
      </c>
      <c r="I61" s="43">
        <v>44</v>
      </c>
      <c r="J61" s="41">
        <v>5</v>
      </c>
      <c r="K61" s="44">
        <v>42197</v>
      </c>
      <c r="M61" s="52">
        <v>28523</v>
      </c>
      <c r="N61" s="53">
        <v>28550</v>
      </c>
      <c r="O61" s="54">
        <v>34</v>
      </c>
      <c r="P61" s="54">
        <v>1</v>
      </c>
      <c r="Q61" s="54">
        <v>103</v>
      </c>
      <c r="R61" s="54">
        <v>37.369999999999997</v>
      </c>
      <c r="S61" s="54">
        <v>37.44</v>
      </c>
      <c r="T61" s="55">
        <v>42197</v>
      </c>
      <c r="V61" s="52">
        <v>35097</v>
      </c>
      <c r="W61" s="53">
        <v>35125</v>
      </c>
      <c r="X61" s="54">
        <v>16</v>
      </c>
      <c r="Y61" s="54">
        <v>1</v>
      </c>
      <c r="Z61" s="54">
        <v>103</v>
      </c>
      <c r="AA61" s="54">
        <v>19.36</v>
      </c>
      <c r="AB61" s="66">
        <v>19.440000000000001</v>
      </c>
      <c r="AC61" s="55">
        <v>42197</v>
      </c>
    </row>
    <row r="62" spans="2:29" ht="13.5" thickBot="1">
      <c r="B62" s="39">
        <v>25994</v>
      </c>
      <c r="C62" s="40">
        <v>26024</v>
      </c>
      <c r="D62" s="41">
        <v>41</v>
      </c>
      <c r="E62" s="41">
        <v>0</v>
      </c>
      <c r="F62" s="42">
        <v>54</v>
      </c>
      <c r="G62" s="41">
        <v>44</v>
      </c>
      <c r="H62" s="41">
        <v>2</v>
      </c>
      <c r="I62" s="43">
        <v>44</v>
      </c>
      <c r="J62" s="41">
        <v>3</v>
      </c>
      <c r="K62" s="44">
        <v>42148</v>
      </c>
      <c r="M62" s="52">
        <v>28551</v>
      </c>
      <c r="N62" s="53">
        <v>28581</v>
      </c>
      <c r="O62" s="54">
        <v>34</v>
      </c>
      <c r="P62" s="54">
        <v>0</v>
      </c>
      <c r="Q62" s="54">
        <v>54</v>
      </c>
      <c r="R62" s="54">
        <v>37.15</v>
      </c>
      <c r="S62" s="54">
        <v>37.229999999999997</v>
      </c>
      <c r="T62" s="55">
        <v>42148</v>
      </c>
      <c r="V62" s="52">
        <v>35126</v>
      </c>
      <c r="W62" s="53">
        <v>35156</v>
      </c>
      <c r="X62" s="54">
        <v>16</v>
      </c>
      <c r="Y62" s="54">
        <v>0</v>
      </c>
      <c r="Z62" s="54">
        <v>54</v>
      </c>
      <c r="AA62" s="54">
        <v>19.149999999999999</v>
      </c>
      <c r="AB62" s="66">
        <v>19.23</v>
      </c>
      <c r="AC62" s="55">
        <v>42148</v>
      </c>
    </row>
    <row r="65" spans="2:50" ht="15.75" thickBot="1">
      <c r="B65" s="45" t="s">
        <v>178</v>
      </c>
    </row>
    <row r="66" spans="2:50" ht="25.5" customHeight="1" thickBot="1">
      <c r="B66" s="67" t="s">
        <v>81</v>
      </c>
      <c r="C66" s="68" t="s">
        <v>82</v>
      </c>
      <c r="D66" s="69" t="s">
        <v>83</v>
      </c>
      <c r="E66" s="69" t="s">
        <v>84</v>
      </c>
      <c r="F66" s="69" t="s">
        <v>85</v>
      </c>
      <c r="G66" s="69" t="s">
        <v>86</v>
      </c>
      <c r="H66" s="70" t="s">
        <v>87</v>
      </c>
      <c r="I66" s="68" t="s">
        <v>88</v>
      </c>
      <c r="J66" s="69" t="s">
        <v>89</v>
      </c>
      <c r="K66" s="69" t="s">
        <v>90</v>
      </c>
      <c r="L66" s="69" t="s">
        <v>91</v>
      </c>
      <c r="M66" s="69" t="s">
        <v>92</v>
      </c>
      <c r="N66" s="69" t="s">
        <v>93</v>
      </c>
      <c r="O66" s="69" t="s">
        <v>94</v>
      </c>
      <c r="P66" s="69" t="s">
        <v>95</v>
      </c>
      <c r="Q66" s="69" t="s">
        <v>96</v>
      </c>
      <c r="R66" s="69" t="s">
        <v>97</v>
      </c>
      <c r="S66" s="69" t="s">
        <v>98</v>
      </c>
      <c r="T66" s="69" t="s">
        <v>99</v>
      </c>
      <c r="U66" s="69" t="s">
        <v>100</v>
      </c>
      <c r="V66" s="69" t="s">
        <v>101</v>
      </c>
      <c r="W66" s="69" t="s">
        <v>102</v>
      </c>
      <c r="X66" s="69" t="s">
        <v>103</v>
      </c>
      <c r="Y66" s="69" t="s">
        <v>104</v>
      </c>
      <c r="Z66" s="69" t="s">
        <v>105</v>
      </c>
      <c r="AA66" s="69" t="s">
        <v>106</v>
      </c>
      <c r="AB66" s="69" t="s">
        <v>107</v>
      </c>
      <c r="AC66" s="69" t="s">
        <v>108</v>
      </c>
      <c r="AD66" s="69" t="s">
        <v>109</v>
      </c>
      <c r="AE66" s="69" t="s">
        <v>110</v>
      </c>
      <c r="AF66" s="69" t="s">
        <v>111</v>
      </c>
      <c r="AG66" s="69" t="s">
        <v>112</v>
      </c>
      <c r="AH66" s="69" t="s">
        <v>113</v>
      </c>
      <c r="AI66" s="69" t="s">
        <v>114</v>
      </c>
      <c r="AJ66" s="69" t="s">
        <v>115</v>
      </c>
      <c r="AK66" s="69" t="s">
        <v>116</v>
      </c>
      <c r="AL66" s="69" t="s">
        <v>117</v>
      </c>
      <c r="AM66" s="69" t="s">
        <v>118</v>
      </c>
      <c r="AN66" s="69" t="s">
        <v>119</v>
      </c>
      <c r="AO66" s="69" t="s">
        <v>120</v>
      </c>
      <c r="AP66" s="69" t="s">
        <v>121</v>
      </c>
      <c r="AQ66" s="69" t="s">
        <v>122</v>
      </c>
      <c r="AR66" s="69" t="s">
        <v>123</v>
      </c>
      <c r="AS66" s="69" t="s">
        <v>124</v>
      </c>
      <c r="AT66" s="69" t="s">
        <v>125</v>
      </c>
      <c r="AU66" s="69" t="s">
        <v>126</v>
      </c>
      <c r="AV66" s="69" t="s">
        <v>127</v>
      </c>
      <c r="AW66" s="69" t="s">
        <v>128</v>
      </c>
      <c r="AX66" s="69" t="s">
        <v>129</v>
      </c>
    </row>
    <row r="67" spans="2:50" ht="13.5" thickBot="1">
      <c r="B67" s="71" t="s">
        <v>130</v>
      </c>
      <c r="C67" s="72">
        <v>2504</v>
      </c>
      <c r="D67" s="73">
        <v>2450</v>
      </c>
      <c r="E67" s="73">
        <v>2398</v>
      </c>
      <c r="F67" s="73">
        <v>2343</v>
      </c>
      <c r="G67" s="73">
        <v>2289</v>
      </c>
      <c r="H67" s="73">
        <v>2237</v>
      </c>
      <c r="I67" s="73">
        <v>2182</v>
      </c>
      <c r="J67" s="73">
        <v>2130</v>
      </c>
      <c r="K67" s="73">
        <v>2076</v>
      </c>
      <c r="L67" s="73">
        <v>2021</v>
      </c>
      <c r="M67" s="73">
        <v>1971</v>
      </c>
      <c r="N67" s="73">
        <v>1916</v>
      </c>
      <c r="O67" s="73">
        <v>1864</v>
      </c>
      <c r="P67" s="73">
        <v>1810</v>
      </c>
      <c r="Q67" s="73">
        <v>1757</v>
      </c>
      <c r="R67" s="73">
        <v>1703</v>
      </c>
      <c r="S67" s="73">
        <v>1649</v>
      </c>
      <c r="T67" s="73">
        <v>1596</v>
      </c>
      <c r="U67" s="73">
        <v>1542</v>
      </c>
      <c r="V67" s="73">
        <v>1489</v>
      </c>
      <c r="W67" s="73">
        <v>1435</v>
      </c>
      <c r="X67" s="73">
        <v>1381</v>
      </c>
      <c r="Y67" s="73">
        <v>1332</v>
      </c>
      <c r="Z67" s="73">
        <v>1278</v>
      </c>
      <c r="AA67" s="73">
        <v>1225</v>
      </c>
      <c r="AB67" s="73">
        <v>1171</v>
      </c>
      <c r="AC67" s="73">
        <v>1118</v>
      </c>
      <c r="AD67" s="73">
        <v>1064</v>
      </c>
      <c r="AE67" s="73">
        <v>1010</v>
      </c>
      <c r="AF67" s="73">
        <v>957</v>
      </c>
      <c r="AG67" s="73">
        <v>903</v>
      </c>
      <c r="AH67" s="73">
        <v>851</v>
      </c>
      <c r="AI67" s="73">
        <v>796</v>
      </c>
      <c r="AJ67" s="73">
        <v>742</v>
      </c>
      <c r="AK67" s="73">
        <v>693</v>
      </c>
      <c r="AL67" s="73">
        <v>639</v>
      </c>
      <c r="AM67" s="73">
        <v>586</v>
      </c>
      <c r="AN67" s="73">
        <v>532</v>
      </c>
      <c r="AO67" s="73">
        <v>480</v>
      </c>
      <c r="AP67" s="73">
        <v>425</v>
      </c>
      <c r="AQ67" s="73">
        <v>371</v>
      </c>
      <c r="AR67" s="73">
        <v>319</v>
      </c>
      <c r="AS67" s="73">
        <v>264</v>
      </c>
      <c r="AT67" s="73">
        <v>212</v>
      </c>
      <c r="AU67" s="73">
        <v>158</v>
      </c>
      <c r="AV67" s="73">
        <v>103</v>
      </c>
      <c r="AW67" s="73">
        <v>54</v>
      </c>
      <c r="AX67" s="180"/>
    </row>
    <row r="68" spans="2:50" ht="13.5" thickBot="1">
      <c r="B68" s="74" t="s">
        <v>131</v>
      </c>
      <c r="C68" s="72">
        <v>2450</v>
      </c>
      <c r="D68" s="73">
        <v>2398</v>
      </c>
      <c r="E68" s="73">
        <v>2343</v>
      </c>
      <c r="F68" s="73">
        <v>2289</v>
      </c>
      <c r="G68" s="73">
        <v>2237</v>
      </c>
      <c r="H68" s="73">
        <v>2182</v>
      </c>
      <c r="I68" s="73">
        <v>2130</v>
      </c>
      <c r="J68" s="73">
        <v>2076</v>
      </c>
      <c r="K68" s="73">
        <v>2021</v>
      </c>
      <c r="L68" s="73">
        <v>1971</v>
      </c>
      <c r="M68" s="73">
        <v>1916</v>
      </c>
      <c r="N68" s="73">
        <v>1864</v>
      </c>
      <c r="O68" s="73">
        <v>1810</v>
      </c>
      <c r="P68" s="73">
        <v>1757</v>
      </c>
      <c r="Q68" s="73">
        <v>1703</v>
      </c>
      <c r="R68" s="73">
        <v>1649</v>
      </c>
      <c r="S68" s="73">
        <v>1596</v>
      </c>
      <c r="T68" s="73">
        <v>1542</v>
      </c>
      <c r="U68" s="73">
        <v>1489</v>
      </c>
      <c r="V68" s="73">
        <v>1435</v>
      </c>
      <c r="W68" s="73">
        <v>1381</v>
      </c>
      <c r="X68" s="73">
        <v>1332</v>
      </c>
      <c r="Y68" s="73">
        <v>1278</v>
      </c>
      <c r="Z68" s="73">
        <v>1225</v>
      </c>
      <c r="AA68" s="73">
        <v>1171</v>
      </c>
      <c r="AB68" s="73">
        <v>1118</v>
      </c>
      <c r="AC68" s="73">
        <v>1064</v>
      </c>
      <c r="AD68" s="73">
        <v>1010</v>
      </c>
      <c r="AE68" s="73">
        <v>957</v>
      </c>
      <c r="AF68" s="73">
        <v>903</v>
      </c>
      <c r="AG68" s="73">
        <v>851</v>
      </c>
      <c r="AH68" s="73">
        <v>796</v>
      </c>
      <c r="AI68" s="73">
        <v>742</v>
      </c>
      <c r="AJ68" s="73">
        <v>693</v>
      </c>
      <c r="AK68" s="73">
        <v>639</v>
      </c>
      <c r="AL68" s="73">
        <v>586</v>
      </c>
      <c r="AM68" s="73">
        <v>532</v>
      </c>
      <c r="AN68" s="73">
        <v>480</v>
      </c>
      <c r="AO68" s="73">
        <v>425</v>
      </c>
      <c r="AP68" s="73">
        <v>371</v>
      </c>
      <c r="AQ68" s="73">
        <v>319</v>
      </c>
      <c r="AR68" s="73">
        <v>264</v>
      </c>
      <c r="AS68" s="73">
        <v>212</v>
      </c>
      <c r="AT68" s="73">
        <v>158</v>
      </c>
      <c r="AU68" s="73">
        <v>103</v>
      </c>
      <c r="AV68" s="73">
        <v>54</v>
      </c>
      <c r="AW68" s="180"/>
      <c r="AX68" s="181"/>
    </row>
    <row r="69" spans="2:50" ht="13.5" thickBot="1">
      <c r="B69" s="74" t="s">
        <v>132</v>
      </c>
      <c r="C69" s="72">
        <v>2398</v>
      </c>
      <c r="D69" s="73">
        <v>2343</v>
      </c>
      <c r="E69" s="73">
        <v>2289</v>
      </c>
      <c r="F69" s="73">
        <v>2237</v>
      </c>
      <c r="G69" s="73">
        <v>2182</v>
      </c>
      <c r="H69" s="73">
        <v>2130</v>
      </c>
      <c r="I69" s="73">
        <v>2076</v>
      </c>
      <c r="J69" s="73">
        <v>2021</v>
      </c>
      <c r="K69" s="73">
        <v>1971</v>
      </c>
      <c r="L69" s="73">
        <v>1916</v>
      </c>
      <c r="M69" s="73">
        <v>1864</v>
      </c>
      <c r="N69" s="73">
        <v>1810</v>
      </c>
      <c r="O69" s="73">
        <v>1757</v>
      </c>
      <c r="P69" s="73">
        <v>1703</v>
      </c>
      <c r="Q69" s="73">
        <v>1649</v>
      </c>
      <c r="R69" s="73">
        <v>1596</v>
      </c>
      <c r="S69" s="73">
        <v>1542</v>
      </c>
      <c r="T69" s="73">
        <v>1489</v>
      </c>
      <c r="U69" s="73">
        <v>1435</v>
      </c>
      <c r="V69" s="73">
        <v>1381</v>
      </c>
      <c r="W69" s="73">
        <v>1332</v>
      </c>
      <c r="X69" s="73">
        <v>1278</v>
      </c>
      <c r="Y69" s="73">
        <v>1225</v>
      </c>
      <c r="Z69" s="73">
        <v>1171</v>
      </c>
      <c r="AA69" s="73">
        <v>1118</v>
      </c>
      <c r="AB69" s="73">
        <v>1064</v>
      </c>
      <c r="AC69" s="73">
        <v>1010</v>
      </c>
      <c r="AD69" s="73">
        <v>957</v>
      </c>
      <c r="AE69" s="73">
        <v>903</v>
      </c>
      <c r="AF69" s="73">
        <v>851</v>
      </c>
      <c r="AG69" s="73">
        <v>796</v>
      </c>
      <c r="AH69" s="73">
        <v>742</v>
      </c>
      <c r="AI69" s="73">
        <v>693</v>
      </c>
      <c r="AJ69" s="73">
        <v>639</v>
      </c>
      <c r="AK69" s="73">
        <v>586</v>
      </c>
      <c r="AL69" s="73">
        <v>532</v>
      </c>
      <c r="AM69" s="73">
        <v>480</v>
      </c>
      <c r="AN69" s="73">
        <v>425</v>
      </c>
      <c r="AO69" s="73">
        <v>371</v>
      </c>
      <c r="AP69" s="73">
        <v>319</v>
      </c>
      <c r="AQ69" s="73">
        <v>264</v>
      </c>
      <c r="AR69" s="73">
        <v>212</v>
      </c>
      <c r="AS69" s="73">
        <v>158</v>
      </c>
      <c r="AT69" s="73">
        <v>103</v>
      </c>
      <c r="AU69" s="73">
        <v>54</v>
      </c>
      <c r="AV69" s="180"/>
      <c r="AW69" s="181"/>
      <c r="AX69" s="181"/>
    </row>
    <row r="70" spans="2:50" ht="13.5" thickBot="1">
      <c r="B70" s="74" t="s">
        <v>133</v>
      </c>
      <c r="C70" s="72">
        <v>2343</v>
      </c>
      <c r="D70" s="73">
        <v>2289</v>
      </c>
      <c r="E70" s="73">
        <v>2237</v>
      </c>
      <c r="F70" s="73">
        <v>2182</v>
      </c>
      <c r="G70" s="73">
        <v>2130</v>
      </c>
      <c r="H70" s="73">
        <v>2076</v>
      </c>
      <c r="I70" s="73">
        <v>2021</v>
      </c>
      <c r="J70" s="73">
        <v>1971</v>
      </c>
      <c r="K70" s="73">
        <v>1916</v>
      </c>
      <c r="L70" s="73">
        <v>1864</v>
      </c>
      <c r="M70" s="73">
        <v>1810</v>
      </c>
      <c r="N70" s="73">
        <v>1757</v>
      </c>
      <c r="O70" s="73">
        <v>1703</v>
      </c>
      <c r="P70" s="73">
        <v>1649</v>
      </c>
      <c r="Q70" s="73">
        <v>1596</v>
      </c>
      <c r="R70" s="73">
        <v>1542</v>
      </c>
      <c r="S70" s="73">
        <v>1489</v>
      </c>
      <c r="T70" s="73">
        <v>1435</v>
      </c>
      <c r="U70" s="73">
        <v>1381</v>
      </c>
      <c r="V70" s="73">
        <v>1332</v>
      </c>
      <c r="W70" s="73">
        <v>1278</v>
      </c>
      <c r="X70" s="73">
        <v>1225</v>
      </c>
      <c r="Y70" s="73">
        <v>1171</v>
      </c>
      <c r="Z70" s="73">
        <v>1118</v>
      </c>
      <c r="AA70" s="73">
        <v>1064</v>
      </c>
      <c r="AB70" s="73">
        <v>1010</v>
      </c>
      <c r="AC70" s="73">
        <v>957</v>
      </c>
      <c r="AD70" s="73">
        <v>903</v>
      </c>
      <c r="AE70" s="73">
        <v>851</v>
      </c>
      <c r="AF70" s="73">
        <v>796</v>
      </c>
      <c r="AG70" s="73">
        <v>742</v>
      </c>
      <c r="AH70" s="73">
        <v>693</v>
      </c>
      <c r="AI70" s="73">
        <v>639</v>
      </c>
      <c r="AJ70" s="73">
        <v>586</v>
      </c>
      <c r="AK70" s="73">
        <v>532</v>
      </c>
      <c r="AL70" s="73">
        <v>480</v>
      </c>
      <c r="AM70" s="73">
        <v>425</v>
      </c>
      <c r="AN70" s="73">
        <v>371</v>
      </c>
      <c r="AO70" s="73">
        <v>319</v>
      </c>
      <c r="AP70" s="73">
        <v>264</v>
      </c>
      <c r="AQ70" s="73">
        <v>212</v>
      </c>
      <c r="AR70" s="73">
        <v>158</v>
      </c>
      <c r="AS70" s="73">
        <v>103</v>
      </c>
      <c r="AT70" s="73">
        <v>54</v>
      </c>
      <c r="AU70" s="180"/>
      <c r="AV70" s="181"/>
      <c r="AW70" s="181"/>
      <c r="AX70" s="181"/>
    </row>
    <row r="71" spans="2:50" ht="13.5" thickBot="1">
      <c r="B71" s="74" t="s">
        <v>134</v>
      </c>
      <c r="C71" s="72">
        <v>2289</v>
      </c>
      <c r="D71" s="73">
        <v>2237</v>
      </c>
      <c r="E71" s="73">
        <v>2182</v>
      </c>
      <c r="F71" s="73">
        <v>2130</v>
      </c>
      <c r="G71" s="73">
        <v>2076</v>
      </c>
      <c r="H71" s="73">
        <v>2021</v>
      </c>
      <c r="I71" s="73">
        <v>1971</v>
      </c>
      <c r="J71" s="73">
        <v>1916</v>
      </c>
      <c r="K71" s="73">
        <v>1864</v>
      </c>
      <c r="L71" s="73">
        <v>1810</v>
      </c>
      <c r="M71" s="73">
        <v>1757</v>
      </c>
      <c r="N71" s="73">
        <v>1703</v>
      </c>
      <c r="O71" s="73">
        <v>1649</v>
      </c>
      <c r="P71" s="73">
        <v>1596</v>
      </c>
      <c r="Q71" s="73">
        <v>1542</v>
      </c>
      <c r="R71" s="73">
        <v>1489</v>
      </c>
      <c r="S71" s="73">
        <v>1435</v>
      </c>
      <c r="T71" s="73">
        <v>1381</v>
      </c>
      <c r="U71" s="73">
        <v>1332</v>
      </c>
      <c r="V71" s="73">
        <v>1278</v>
      </c>
      <c r="W71" s="73">
        <v>1225</v>
      </c>
      <c r="X71" s="73">
        <v>1171</v>
      </c>
      <c r="Y71" s="73">
        <v>1118</v>
      </c>
      <c r="Z71" s="73">
        <v>1064</v>
      </c>
      <c r="AA71" s="73">
        <v>1010</v>
      </c>
      <c r="AB71" s="73">
        <v>957</v>
      </c>
      <c r="AC71" s="73">
        <v>903</v>
      </c>
      <c r="AD71" s="73">
        <v>851</v>
      </c>
      <c r="AE71" s="73">
        <v>796</v>
      </c>
      <c r="AF71" s="73">
        <v>742</v>
      </c>
      <c r="AG71" s="73">
        <v>693</v>
      </c>
      <c r="AH71" s="73">
        <v>639</v>
      </c>
      <c r="AI71" s="73">
        <v>586</v>
      </c>
      <c r="AJ71" s="73">
        <v>532</v>
      </c>
      <c r="AK71" s="73">
        <v>480</v>
      </c>
      <c r="AL71" s="73">
        <v>425</v>
      </c>
      <c r="AM71" s="73">
        <v>371</v>
      </c>
      <c r="AN71" s="73">
        <v>319</v>
      </c>
      <c r="AO71" s="73">
        <v>264</v>
      </c>
      <c r="AP71" s="73">
        <v>212</v>
      </c>
      <c r="AQ71" s="73">
        <v>158</v>
      </c>
      <c r="AR71" s="73">
        <v>103</v>
      </c>
      <c r="AS71" s="182">
        <v>54</v>
      </c>
      <c r="AU71" s="181"/>
      <c r="AV71" s="181"/>
      <c r="AW71" s="181"/>
      <c r="AX71" s="181"/>
    </row>
    <row r="72" spans="2:50" ht="13.5" thickBot="1">
      <c r="B72" s="74" t="s">
        <v>135</v>
      </c>
      <c r="C72" s="72">
        <v>2237</v>
      </c>
      <c r="D72" s="73">
        <v>2182</v>
      </c>
      <c r="E72" s="73">
        <v>2130</v>
      </c>
      <c r="F72" s="73">
        <v>2076</v>
      </c>
      <c r="G72" s="73">
        <v>2021</v>
      </c>
      <c r="H72" s="73">
        <v>1971</v>
      </c>
      <c r="I72" s="73">
        <v>1916</v>
      </c>
      <c r="J72" s="73">
        <v>1864</v>
      </c>
      <c r="K72" s="73">
        <v>1810</v>
      </c>
      <c r="L72" s="73">
        <v>1757</v>
      </c>
      <c r="M72" s="73">
        <v>1703</v>
      </c>
      <c r="N72" s="73">
        <v>1649</v>
      </c>
      <c r="O72" s="73">
        <v>1596</v>
      </c>
      <c r="P72" s="73">
        <v>1542</v>
      </c>
      <c r="Q72" s="73">
        <v>1489</v>
      </c>
      <c r="R72" s="73">
        <v>1435</v>
      </c>
      <c r="S72" s="73">
        <v>1381</v>
      </c>
      <c r="T72" s="73">
        <v>1332</v>
      </c>
      <c r="U72" s="73">
        <v>1278</v>
      </c>
      <c r="V72" s="73">
        <v>1225</v>
      </c>
      <c r="W72" s="73">
        <v>1171</v>
      </c>
      <c r="X72" s="73">
        <v>1118</v>
      </c>
      <c r="Y72" s="73">
        <v>1064</v>
      </c>
      <c r="Z72" s="73">
        <v>1010</v>
      </c>
      <c r="AA72" s="73">
        <v>957</v>
      </c>
      <c r="AB72" s="73">
        <v>903</v>
      </c>
      <c r="AC72" s="73">
        <v>851</v>
      </c>
      <c r="AD72" s="73">
        <v>796</v>
      </c>
      <c r="AE72" s="73">
        <v>742</v>
      </c>
      <c r="AF72" s="73">
        <v>693</v>
      </c>
      <c r="AG72" s="73">
        <v>639</v>
      </c>
      <c r="AH72" s="73">
        <v>586</v>
      </c>
      <c r="AI72" s="73">
        <v>532</v>
      </c>
      <c r="AJ72" s="73">
        <v>480</v>
      </c>
      <c r="AK72" s="73">
        <v>425</v>
      </c>
      <c r="AL72" s="73">
        <v>371</v>
      </c>
      <c r="AM72" s="73">
        <v>319</v>
      </c>
      <c r="AN72" s="73">
        <v>264</v>
      </c>
      <c r="AO72" s="73">
        <v>212</v>
      </c>
      <c r="AP72" s="73">
        <v>158</v>
      </c>
      <c r="AQ72" s="73">
        <v>103</v>
      </c>
      <c r="AR72" s="73">
        <v>54</v>
      </c>
      <c r="AS72" s="75"/>
      <c r="AT72" s="181"/>
      <c r="AU72" s="181"/>
      <c r="AV72" s="181"/>
      <c r="AW72" s="181"/>
      <c r="AX72" s="181"/>
    </row>
    <row r="73" spans="2:50" ht="13.5" thickBot="1">
      <c r="B73" s="74" t="s">
        <v>136</v>
      </c>
      <c r="C73" s="72">
        <v>2182</v>
      </c>
      <c r="D73" s="73">
        <v>2130</v>
      </c>
      <c r="E73" s="73">
        <v>2076</v>
      </c>
      <c r="F73" s="73">
        <v>2021</v>
      </c>
      <c r="G73" s="73">
        <v>1971</v>
      </c>
      <c r="H73" s="73">
        <v>1916</v>
      </c>
      <c r="I73" s="73">
        <v>1864</v>
      </c>
      <c r="J73" s="73">
        <v>1810</v>
      </c>
      <c r="K73" s="73">
        <v>1757</v>
      </c>
      <c r="L73" s="73">
        <v>1703</v>
      </c>
      <c r="M73" s="73">
        <v>1649</v>
      </c>
      <c r="N73" s="73">
        <v>1596</v>
      </c>
      <c r="O73" s="73">
        <v>1542</v>
      </c>
      <c r="P73" s="73">
        <v>1489</v>
      </c>
      <c r="Q73" s="73">
        <v>1435</v>
      </c>
      <c r="R73" s="73">
        <v>1381</v>
      </c>
      <c r="S73" s="73">
        <v>1332</v>
      </c>
      <c r="T73" s="73">
        <v>1278</v>
      </c>
      <c r="U73" s="73">
        <v>1225</v>
      </c>
      <c r="V73" s="73">
        <v>1171</v>
      </c>
      <c r="W73" s="73">
        <v>1118</v>
      </c>
      <c r="X73" s="73">
        <v>1064</v>
      </c>
      <c r="Y73" s="73">
        <v>1010</v>
      </c>
      <c r="Z73" s="73">
        <v>957</v>
      </c>
      <c r="AA73" s="73">
        <v>903</v>
      </c>
      <c r="AB73" s="73">
        <v>851</v>
      </c>
      <c r="AC73" s="73">
        <v>796</v>
      </c>
      <c r="AD73" s="73">
        <v>742</v>
      </c>
      <c r="AE73" s="73">
        <v>693</v>
      </c>
      <c r="AF73" s="73">
        <v>639</v>
      </c>
      <c r="AG73" s="73">
        <v>586</v>
      </c>
      <c r="AH73" s="73">
        <v>532</v>
      </c>
      <c r="AI73" s="73">
        <v>480</v>
      </c>
      <c r="AJ73" s="73">
        <v>425</v>
      </c>
      <c r="AK73" s="73">
        <v>371</v>
      </c>
      <c r="AL73" s="73">
        <v>319</v>
      </c>
      <c r="AM73" s="73">
        <v>264</v>
      </c>
      <c r="AN73" s="73">
        <v>212</v>
      </c>
      <c r="AO73" s="73">
        <v>158</v>
      </c>
      <c r="AP73" s="73">
        <v>103</v>
      </c>
      <c r="AQ73" s="73">
        <v>54</v>
      </c>
      <c r="AR73" s="75"/>
      <c r="AS73" s="75"/>
      <c r="AT73" s="181"/>
      <c r="AU73" s="181"/>
      <c r="AV73" s="181"/>
      <c r="AW73" s="181"/>
      <c r="AX73" s="181"/>
    </row>
    <row r="74" spans="2:50" ht="13.5" thickBot="1">
      <c r="B74" s="74" t="s">
        <v>137</v>
      </c>
      <c r="C74" s="72">
        <v>2130</v>
      </c>
      <c r="D74" s="73">
        <v>2076</v>
      </c>
      <c r="E74" s="73">
        <v>2021</v>
      </c>
      <c r="F74" s="73">
        <v>1971</v>
      </c>
      <c r="G74" s="73">
        <v>1916</v>
      </c>
      <c r="H74" s="73">
        <v>1864</v>
      </c>
      <c r="I74" s="73">
        <v>1810</v>
      </c>
      <c r="J74" s="73">
        <v>1757</v>
      </c>
      <c r="K74" s="73">
        <v>1703</v>
      </c>
      <c r="L74" s="73">
        <v>1649</v>
      </c>
      <c r="M74" s="73">
        <v>1596</v>
      </c>
      <c r="N74" s="73">
        <v>1542</v>
      </c>
      <c r="O74" s="73">
        <v>1489</v>
      </c>
      <c r="P74" s="73">
        <v>1435</v>
      </c>
      <c r="Q74" s="73">
        <v>1381</v>
      </c>
      <c r="R74" s="73">
        <v>1332</v>
      </c>
      <c r="S74" s="73">
        <v>1278</v>
      </c>
      <c r="T74" s="73">
        <v>1225</v>
      </c>
      <c r="U74" s="73">
        <v>1171</v>
      </c>
      <c r="V74" s="73">
        <v>1118</v>
      </c>
      <c r="W74" s="73">
        <v>1064</v>
      </c>
      <c r="X74" s="73">
        <v>1010</v>
      </c>
      <c r="Y74" s="73">
        <v>957</v>
      </c>
      <c r="Z74" s="73">
        <v>903</v>
      </c>
      <c r="AA74" s="73">
        <v>851</v>
      </c>
      <c r="AB74" s="73">
        <v>796</v>
      </c>
      <c r="AC74" s="73">
        <v>742</v>
      </c>
      <c r="AD74" s="73">
        <v>693</v>
      </c>
      <c r="AE74" s="73">
        <v>639</v>
      </c>
      <c r="AF74" s="73">
        <v>586</v>
      </c>
      <c r="AG74" s="73">
        <v>532</v>
      </c>
      <c r="AH74" s="73">
        <v>480</v>
      </c>
      <c r="AI74" s="73">
        <v>425</v>
      </c>
      <c r="AJ74" s="73">
        <v>371</v>
      </c>
      <c r="AK74" s="73">
        <v>319</v>
      </c>
      <c r="AL74" s="73">
        <v>264</v>
      </c>
      <c r="AM74" s="73">
        <v>212</v>
      </c>
      <c r="AN74" s="73">
        <v>158</v>
      </c>
      <c r="AO74" s="73">
        <v>103</v>
      </c>
      <c r="AP74" s="73">
        <v>54</v>
      </c>
      <c r="AQ74" s="75"/>
      <c r="AR74" s="75"/>
      <c r="AS74" s="75"/>
      <c r="AT74" s="181"/>
      <c r="AU74" s="181"/>
      <c r="AV74" s="181"/>
      <c r="AW74" s="181"/>
      <c r="AX74" s="181"/>
    </row>
    <row r="75" spans="2:50" ht="13.5" thickBot="1">
      <c r="B75" s="74" t="s">
        <v>138</v>
      </c>
      <c r="C75" s="72">
        <v>2076</v>
      </c>
      <c r="D75" s="73">
        <v>2021</v>
      </c>
      <c r="E75" s="73">
        <v>1971</v>
      </c>
      <c r="F75" s="73">
        <v>1916</v>
      </c>
      <c r="G75" s="73">
        <v>1864</v>
      </c>
      <c r="H75" s="73">
        <v>1810</v>
      </c>
      <c r="I75" s="73">
        <v>1757</v>
      </c>
      <c r="J75" s="73">
        <v>1703</v>
      </c>
      <c r="K75" s="73">
        <v>1649</v>
      </c>
      <c r="L75" s="73">
        <v>1596</v>
      </c>
      <c r="M75" s="73">
        <v>1542</v>
      </c>
      <c r="N75" s="73">
        <v>1489</v>
      </c>
      <c r="O75" s="73">
        <v>1435</v>
      </c>
      <c r="P75" s="73">
        <v>1381</v>
      </c>
      <c r="Q75" s="73">
        <v>1332</v>
      </c>
      <c r="R75" s="73">
        <v>1278</v>
      </c>
      <c r="S75" s="73">
        <v>1225</v>
      </c>
      <c r="T75" s="73">
        <v>1171</v>
      </c>
      <c r="U75" s="73">
        <v>1118</v>
      </c>
      <c r="V75" s="73">
        <v>1064</v>
      </c>
      <c r="W75" s="73">
        <v>1010</v>
      </c>
      <c r="X75" s="73">
        <v>957</v>
      </c>
      <c r="Y75" s="73">
        <v>903</v>
      </c>
      <c r="Z75" s="73">
        <v>851</v>
      </c>
      <c r="AA75" s="73">
        <v>796</v>
      </c>
      <c r="AB75" s="73">
        <v>742</v>
      </c>
      <c r="AC75" s="73">
        <v>693</v>
      </c>
      <c r="AD75" s="73">
        <v>639</v>
      </c>
      <c r="AE75" s="73">
        <v>586</v>
      </c>
      <c r="AF75" s="73">
        <v>532</v>
      </c>
      <c r="AG75" s="73">
        <v>480</v>
      </c>
      <c r="AH75" s="73">
        <v>425</v>
      </c>
      <c r="AI75" s="73">
        <v>371</v>
      </c>
      <c r="AJ75" s="73">
        <v>319</v>
      </c>
      <c r="AK75" s="73">
        <v>264</v>
      </c>
      <c r="AL75" s="73">
        <v>212</v>
      </c>
      <c r="AM75" s="73">
        <v>158</v>
      </c>
      <c r="AN75" s="73">
        <v>103</v>
      </c>
      <c r="AO75" s="73">
        <v>54</v>
      </c>
      <c r="AP75" s="75"/>
      <c r="AQ75" s="75"/>
      <c r="AR75" s="75"/>
      <c r="AS75" s="75"/>
      <c r="AT75" s="181"/>
      <c r="AU75" s="181"/>
      <c r="AV75" s="181"/>
      <c r="AW75" s="181"/>
      <c r="AX75" s="181"/>
    </row>
    <row r="76" spans="2:50" ht="13.5" thickBot="1">
      <c r="B76" s="74" t="s">
        <v>139</v>
      </c>
      <c r="C76" s="72">
        <v>2021</v>
      </c>
      <c r="D76" s="73">
        <v>1971</v>
      </c>
      <c r="E76" s="73">
        <v>1916</v>
      </c>
      <c r="F76" s="73">
        <v>1864</v>
      </c>
      <c r="G76" s="73">
        <v>1810</v>
      </c>
      <c r="H76" s="73">
        <v>1757</v>
      </c>
      <c r="I76" s="73">
        <v>1703</v>
      </c>
      <c r="J76" s="73">
        <v>1649</v>
      </c>
      <c r="K76" s="73">
        <v>1596</v>
      </c>
      <c r="L76" s="73">
        <v>1542</v>
      </c>
      <c r="M76" s="73">
        <v>1489</v>
      </c>
      <c r="N76" s="73">
        <v>1435</v>
      </c>
      <c r="O76" s="73">
        <v>1381</v>
      </c>
      <c r="P76" s="73">
        <v>1332</v>
      </c>
      <c r="Q76" s="73">
        <v>1278</v>
      </c>
      <c r="R76" s="73">
        <v>1225</v>
      </c>
      <c r="S76" s="73">
        <v>1171</v>
      </c>
      <c r="T76" s="73">
        <v>1118</v>
      </c>
      <c r="U76" s="73">
        <v>1064</v>
      </c>
      <c r="V76" s="73">
        <v>1010</v>
      </c>
      <c r="W76" s="73">
        <v>957</v>
      </c>
      <c r="X76" s="73">
        <v>903</v>
      </c>
      <c r="Y76" s="73">
        <v>851</v>
      </c>
      <c r="Z76" s="73">
        <v>796</v>
      </c>
      <c r="AA76" s="73">
        <v>742</v>
      </c>
      <c r="AB76" s="73">
        <v>693</v>
      </c>
      <c r="AC76" s="73">
        <v>639</v>
      </c>
      <c r="AD76" s="73">
        <v>586</v>
      </c>
      <c r="AE76" s="73">
        <v>532</v>
      </c>
      <c r="AF76" s="73">
        <v>480</v>
      </c>
      <c r="AG76" s="73">
        <v>425</v>
      </c>
      <c r="AH76" s="73">
        <v>371</v>
      </c>
      <c r="AI76" s="73">
        <v>319</v>
      </c>
      <c r="AJ76" s="73">
        <v>264</v>
      </c>
      <c r="AK76" s="73">
        <v>212</v>
      </c>
      <c r="AL76" s="73">
        <v>158</v>
      </c>
      <c r="AM76" s="73">
        <v>103</v>
      </c>
      <c r="AN76" s="73">
        <v>54</v>
      </c>
      <c r="AO76" s="75"/>
      <c r="AP76" s="75"/>
      <c r="AQ76" s="75"/>
      <c r="AR76" s="75"/>
      <c r="AS76" s="75"/>
      <c r="AT76" s="181"/>
      <c r="AU76" s="181"/>
      <c r="AV76" s="181"/>
      <c r="AW76" s="181"/>
      <c r="AX76" s="181"/>
    </row>
    <row r="77" spans="2:50" ht="13.5" thickBot="1">
      <c r="B77" s="74" t="s">
        <v>140</v>
      </c>
      <c r="C77" s="72">
        <v>1971</v>
      </c>
      <c r="D77" s="73">
        <v>1916</v>
      </c>
      <c r="E77" s="73">
        <v>1864</v>
      </c>
      <c r="F77" s="73">
        <v>1810</v>
      </c>
      <c r="G77" s="73">
        <v>1757</v>
      </c>
      <c r="H77" s="73">
        <v>1703</v>
      </c>
      <c r="I77" s="73">
        <v>1649</v>
      </c>
      <c r="J77" s="73">
        <v>1596</v>
      </c>
      <c r="K77" s="73">
        <v>1542</v>
      </c>
      <c r="L77" s="73">
        <v>1489</v>
      </c>
      <c r="M77" s="73">
        <v>1435</v>
      </c>
      <c r="N77" s="73">
        <v>1381</v>
      </c>
      <c r="O77" s="73">
        <v>1332</v>
      </c>
      <c r="P77" s="73">
        <v>1278</v>
      </c>
      <c r="Q77" s="73">
        <v>1225</v>
      </c>
      <c r="R77" s="73">
        <v>1171</v>
      </c>
      <c r="S77" s="73">
        <v>1118</v>
      </c>
      <c r="T77" s="73">
        <v>1064</v>
      </c>
      <c r="U77" s="73">
        <v>1010</v>
      </c>
      <c r="V77" s="73">
        <v>957</v>
      </c>
      <c r="W77" s="73">
        <v>903</v>
      </c>
      <c r="X77" s="73">
        <v>851</v>
      </c>
      <c r="Y77" s="73">
        <v>796</v>
      </c>
      <c r="Z77" s="73">
        <v>742</v>
      </c>
      <c r="AA77" s="73">
        <v>693</v>
      </c>
      <c r="AB77" s="73">
        <v>639</v>
      </c>
      <c r="AC77" s="73">
        <v>586</v>
      </c>
      <c r="AD77" s="73">
        <v>532</v>
      </c>
      <c r="AE77" s="73">
        <v>480</v>
      </c>
      <c r="AF77" s="73">
        <v>425</v>
      </c>
      <c r="AG77" s="73">
        <v>371</v>
      </c>
      <c r="AH77" s="73">
        <v>319</v>
      </c>
      <c r="AI77" s="73">
        <v>264</v>
      </c>
      <c r="AJ77" s="73">
        <v>212</v>
      </c>
      <c r="AK77" s="73">
        <v>158</v>
      </c>
      <c r="AL77" s="73">
        <v>103</v>
      </c>
      <c r="AM77" s="73">
        <v>54</v>
      </c>
      <c r="AN77" s="75"/>
      <c r="AO77" s="75"/>
      <c r="AP77" s="75"/>
      <c r="AQ77" s="75"/>
      <c r="AR77" s="75"/>
      <c r="AS77" s="75"/>
      <c r="AT77" s="181"/>
      <c r="AU77" s="181"/>
      <c r="AV77" s="181"/>
      <c r="AW77" s="181"/>
      <c r="AX77" s="181"/>
    </row>
    <row r="78" spans="2:50" ht="13.5" thickBot="1">
      <c r="B78" s="74" t="s">
        <v>141</v>
      </c>
      <c r="C78" s="72">
        <v>1916</v>
      </c>
      <c r="D78" s="73">
        <v>1864</v>
      </c>
      <c r="E78" s="73">
        <v>1810</v>
      </c>
      <c r="F78" s="73">
        <v>1757</v>
      </c>
      <c r="G78" s="73">
        <v>1703</v>
      </c>
      <c r="H78" s="73">
        <v>1649</v>
      </c>
      <c r="I78" s="73">
        <v>1596</v>
      </c>
      <c r="J78" s="73">
        <v>1542</v>
      </c>
      <c r="K78" s="73">
        <v>1489</v>
      </c>
      <c r="L78" s="73">
        <v>1435</v>
      </c>
      <c r="M78" s="73">
        <v>1381</v>
      </c>
      <c r="N78" s="73">
        <v>1332</v>
      </c>
      <c r="O78" s="73">
        <v>1278</v>
      </c>
      <c r="P78" s="73">
        <v>1225</v>
      </c>
      <c r="Q78" s="73">
        <v>1171</v>
      </c>
      <c r="R78" s="73">
        <v>1118</v>
      </c>
      <c r="S78" s="73">
        <v>1064</v>
      </c>
      <c r="T78" s="73">
        <v>1010</v>
      </c>
      <c r="U78" s="73">
        <v>957</v>
      </c>
      <c r="V78" s="73">
        <v>903</v>
      </c>
      <c r="W78" s="73">
        <v>851</v>
      </c>
      <c r="X78" s="73">
        <v>796</v>
      </c>
      <c r="Y78" s="73">
        <v>742</v>
      </c>
      <c r="Z78" s="73">
        <v>693</v>
      </c>
      <c r="AA78" s="73">
        <v>639</v>
      </c>
      <c r="AB78" s="73">
        <v>586</v>
      </c>
      <c r="AC78" s="73">
        <v>532</v>
      </c>
      <c r="AD78" s="73">
        <v>480</v>
      </c>
      <c r="AE78" s="73">
        <v>425</v>
      </c>
      <c r="AF78" s="73">
        <v>371</v>
      </c>
      <c r="AG78" s="73">
        <v>319</v>
      </c>
      <c r="AH78" s="73">
        <v>264</v>
      </c>
      <c r="AI78" s="73">
        <v>212</v>
      </c>
      <c r="AJ78" s="73">
        <v>158</v>
      </c>
      <c r="AK78" s="73">
        <v>103</v>
      </c>
      <c r="AL78" s="73">
        <v>54</v>
      </c>
      <c r="AM78" s="75"/>
      <c r="AN78" s="75"/>
      <c r="AO78" s="75"/>
      <c r="AP78" s="75"/>
      <c r="AQ78" s="75"/>
      <c r="AR78" s="75"/>
      <c r="AS78" s="75"/>
      <c r="AT78" s="181"/>
      <c r="AU78" s="181"/>
      <c r="AV78" s="181"/>
      <c r="AW78" s="181"/>
      <c r="AX78" s="181"/>
    </row>
    <row r="79" spans="2:50" ht="13.5" thickBot="1">
      <c r="B79" s="74" t="s">
        <v>142</v>
      </c>
      <c r="C79" s="72">
        <v>1864</v>
      </c>
      <c r="D79" s="73">
        <v>1810</v>
      </c>
      <c r="E79" s="73">
        <v>1757</v>
      </c>
      <c r="F79" s="73">
        <v>1703</v>
      </c>
      <c r="G79" s="73">
        <v>1649</v>
      </c>
      <c r="H79" s="73">
        <v>1596</v>
      </c>
      <c r="I79" s="73">
        <v>1542</v>
      </c>
      <c r="J79" s="73">
        <v>1489</v>
      </c>
      <c r="K79" s="73">
        <v>1435</v>
      </c>
      <c r="L79" s="73">
        <v>1381</v>
      </c>
      <c r="M79" s="73">
        <v>1332</v>
      </c>
      <c r="N79" s="73">
        <v>1278</v>
      </c>
      <c r="O79" s="73">
        <v>1225</v>
      </c>
      <c r="P79" s="73">
        <v>1171</v>
      </c>
      <c r="Q79" s="73">
        <v>1118</v>
      </c>
      <c r="R79" s="73">
        <v>1064</v>
      </c>
      <c r="S79" s="73">
        <v>1010</v>
      </c>
      <c r="T79" s="73">
        <v>957</v>
      </c>
      <c r="U79" s="73">
        <v>903</v>
      </c>
      <c r="V79" s="73">
        <v>851</v>
      </c>
      <c r="W79" s="73">
        <v>796</v>
      </c>
      <c r="X79" s="73">
        <v>742</v>
      </c>
      <c r="Y79" s="73">
        <v>693</v>
      </c>
      <c r="Z79" s="73">
        <v>639</v>
      </c>
      <c r="AA79" s="73">
        <v>586</v>
      </c>
      <c r="AB79" s="73">
        <v>532</v>
      </c>
      <c r="AC79" s="73">
        <v>480</v>
      </c>
      <c r="AD79" s="73">
        <v>425</v>
      </c>
      <c r="AE79" s="73">
        <v>371</v>
      </c>
      <c r="AF79" s="73">
        <v>319</v>
      </c>
      <c r="AG79" s="73">
        <v>264</v>
      </c>
      <c r="AH79" s="73">
        <v>212</v>
      </c>
      <c r="AI79" s="73">
        <v>158</v>
      </c>
      <c r="AJ79" s="73">
        <v>103</v>
      </c>
      <c r="AK79" s="73">
        <v>54</v>
      </c>
      <c r="AL79" s="75"/>
      <c r="AM79" s="75"/>
      <c r="AN79" s="75"/>
      <c r="AO79" s="75"/>
      <c r="AP79" s="75"/>
      <c r="AQ79" s="75"/>
      <c r="AR79" s="75"/>
      <c r="AS79" s="75"/>
      <c r="AT79" s="181"/>
      <c r="AU79" s="181"/>
      <c r="AV79" s="181"/>
      <c r="AW79" s="181"/>
      <c r="AX79" s="181"/>
    </row>
    <row r="80" spans="2:50" ht="13.5" thickBot="1">
      <c r="B80" s="74" t="s">
        <v>143</v>
      </c>
      <c r="C80" s="72">
        <v>1810</v>
      </c>
      <c r="D80" s="73">
        <v>1757</v>
      </c>
      <c r="E80" s="73">
        <v>1703</v>
      </c>
      <c r="F80" s="73">
        <v>1649</v>
      </c>
      <c r="G80" s="73">
        <v>1596</v>
      </c>
      <c r="H80" s="73">
        <v>1542</v>
      </c>
      <c r="I80" s="73">
        <v>1489</v>
      </c>
      <c r="J80" s="73">
        <v>1435</v>
      </c>
      <c r="K80" s="73">
        <v>1381</v>
      </c>
      <c r="L80" s="73">
        <v>1332</v>
      </c>
      <c r="M80" s="73">
        <v>1278</v>
      </c>
      <c r="N80" s="73">
        <v>1225</v>
      </c>
      <c r="O80" s="73">
        <v>1171</v>
      </c>
      <c r="P80" s="73">
        <v>1118</v>
      </c>
      <c r="Q80" s="73">
        <v>1064</v>
      </c>
      <c r="R80" s="73">
        <v>1010</v>
      </c>
      <c r="S80" s="73">
        <v>957</v>
      </c>
      <c r="T80" s="73">
        <v>903</v>
      </c>
      <c r="U80" s="73">
        <v>851</v>
      </c>
      <c r="V80" s="73">
        <v>796</v>
      </c>
      <c r="W80" s="73">
        <v>742</v>
      </c>
      <c r="X80" s="73">
        <v>693</v>
      </c>
      <c r="Y80" s="73">
        <v>639</v>
      </c>
      <c r="Z80" s="73">
        <v>586</v>
      </c>
      <c r="AA80" s="73">
        <v>532</v>
      </c>
      <c r="AB80" s="73">
        <v>480</v>
      </c>
      <c r="AC80" s="73">
        <v>425</v>
      </c>
      <c r="AD80" s="73">
        <v>371</v>
      </c>
      <c r="AE80" s="73">
        <v>319</v>
      </c>
      <c r="AF80" s="73">
        <v>264</v>
      </c>
      <c r="AG80" s="73">
        <v>212</v>
      </c>
      <c r="AH80" s="73">
        <v>158</v>
      </c>
      <c r="AI80" s="73">
        <v>103</v>
      </c>
      <c r="AJ80" s="73">
        <v>54</v>
      </c>
      <c r="AK80" s="75"/>
      <c r="AL80" s="75"/>
      <c r="AM80" s="75"/>
      <c r="AN80" s="75"/>
      <c r="AO80" s="75"/>
      <c r="AP80" s="75"/>
      <c r="AQ80" s="75"/>
      <c r="AR80" s="75"/>
      <c r="AS80" s="75"/>
      <c r="AT80" s="181"/>
      <c r="AU80" s="181"/>
      <c r="AV80" s="181"/>
      <c r="AW80" s="181"/>
      <c r="AX80" s="181"/>
    </row>
    <row r="81" spans="2:50" ht="13.5" thickBot="1">
      <c r="B81" s="74" t="s">
        <v>144</v>
      </c>
      <c r="C81" s="72">
        <v>1757</v>
      </c>
      <c r="D81" s="73">
        <v>1703</v>
      </c>
      <c r="E81" s="73">
        <v>1649</v>
      </c>
      <c r="F81" s="73">
        <v>1596</v>
      </c>
      <c r="G81" s="73">
        <v>1542</v>
      </c>
      <c r="H81" s="73">
        <v>1489</v>
      </c>
      <c r="I81" s="73">
        <v>1435</v>
      </c>
      <c r="J81" s="73">
        <v>1381</v>
      </c>
      <c r="K81" s="73">
        <v>1332</v>
      </c>
      <c r="L81" s="73">
        <v>1278</v>
      </c>
      <c r="M81" s="73">
        <v>1225</v>
      </c>
      <c r="N81" s="73">
        <v>1171</v>
      </c>
      <c r="O81" s="73">
        <v>1118</v>
      </c>
      <c r="P81" s="73">
        <v>1064</v>
      </c>
      <c r="Q81" s="73">
        <v>1010</v>
      </c>
      <c r="R81" s="73">
        <v>957</v>
      </c>
      <c r="S81" s="73">
        <v>903</v>
      </c>
      <c r="T81" s="73">
        <v>851</v>
      </c>
      <c r="U81" s="73">
        <v>796</v>
      </c>
      <c r="V81" s="73">
        <v>742</v>
      </c>
      <c r="W81" s="73">
        <v>693</v>
      </c>
      <c r="X81" s="73">
        <v>639</v>
      </c>
      <c r="Y81" s="73">
        <v>586</v>
      </c>
      <c r="Z81" s="73">
        <v>532</v>
      </c>
      <c r="AA81" s="73">
        <v>480</v>
      </c>
      <c r="AB81" s="73">
        <v>425</v>
      </c>
      <c r="AC81" s="73">
        <v>371</v>
      </c>
      <c r="AD81" s="73">
        <v>319</v>
      </c>
      <c r="AE81" s="73">
        <v>264</v>
      </c>
      <c r="AF81" s="73">
        <v>212</v>
      </c>
      <c r="AG81" s="73">
        <v>158</v>
      </c>
      <c r="AH81" s="73">
        <v>103</v>
      </c>
      <c r="AI81" s="73">
        <v>54</v>
      </c>
      <c r="AJ81" s="75"/>
      <c r="AK81" s="75"/>
      <c r="AL81" s="75"/>
      <c r="AM81" s="75"/>
      <c r="AN81" s="75"/>
      <c r="AO81" s="75"/>
      <c r="AP81" s="75"/>
      <c r="AQ81" s="75"/>
      <c r="AR81" s="75"/>
      <c r="AS81" s="75"/>
      <c r="AT81" s="181"/>
      <c r="AU81" s="181"/>
      <c r="AV81" s="181"/>
      <c r="AW81" s="181"/>
      <c r="AX81" s="181"/>
    </row>
    <row r="82" spans="2:50" ht="13.5" thickBot="1">
      <c r="B82" s="74" t="s">
        <v>145</v>
      </c>
      <c r="C82" s="72">
        <v>1703</v>
      </c>
      <c r="D82" s="73">
        <v>1649</v>
      </c>
      <c r="E82" s="73">
        <v>1596</v>
      </c>
      <c r="F82" s="73">
        <v>1542</v>
      </c>
      <c r="G82" s="73">
        <v>1489</v>
      </c>
      <c r="H82" s="73">
        <v>1435</v>
      </c>
      <c r="I82" s="73">
        <v>1381</v>
      </c>
      <c r="J82" s="73">
        <v>1332</v>
      </c>
      <c r="K82" s="73">
        <v>1278</v>
      </c>
      <c r="L82" s="73">
        <v>1225</v>
      </c>
      <c r="M82" s="73">
        <v>1171</v>
      </c>
      <c r="N82" s="73">
        <v>1118</v>
      </c>
      <c r="O82" s="73">
        <v>1064</v>
      </c>
      <c r="P82" s="73">
        <v>1010</v>
      </c>
      <c r="Q82" s="73">
        <v>957</v>
      </c>
      <c r="R82" s="73">
        <v>903</v>
      </c>
      <c r="S82" s="73">
        <v>851</v>
      </c>
      <c r="T82" s="73">
        <v>796</v>
      </c>
      <c r="U82" s="73">
        <v>742</v>
      </c>
      <c r="V82" s="73">
        <v>693</v>
      </c>
      <c r="W82" s="73">
        <v>639</v>
      </c>
      <c r="X82" s="73">
        <v>586</v>
      </c>
      <c r="Y82" s="73">
        <v>532</v>
      </c>
      <c r="Z82" s="73">
        <v>480</v>
      </c>
      <c r="AA82" s="73">
        <v>425</v>
      </c>
      <c r="AB82" s="73">
        <v>371</v>
      </c>
      <c r="AC82" s="73">
        <v>319</v>
      </c>
      <c r="AD82" s="73">
        <v>264</v>
      </c>
      <c r="AE82" s="73">
        <v>212</v>
      </c>
      <c r="AF82" s="73">
        <v>158</v>
      </c>
      <c r="AG82" s="73">
        <v>103</v>
      </c>
      <c r="AH82" s="73">
        <v>54</v>
      </c>
      <c r="AI82" s="75"/>
      <c r="AJ82" s="75"/>
      <c r="AK82" s="75"/>
      <c r="AL82" s="75"/>
      <c r="AM82" s="75"/>
      <c r="AN82" s="75"/>
      <c r="AO82" s="75"/>
      <c r="AP82" s="75"/>
      <c r="AQ82" s="75"/>
      <c r="AR82" s="75"/>
      <c r="AS82" s="75"/>
      <c r="AT82" s="181"/>
      <c r="AU82" s="181"/>
      <c r="AV82" s="181"/>
      <c r="AW82" s="181"/>
      <c r="AX82" s="181"/>
    </row>
    <row r="83" spans="2:50" ht="13.5" thickBot="1">
      <c r="B83" s="74" t="s">
        <v>146</v>
      </c>
      <c r="C83" s="72">
        <v>1649</v>
      </c>
      <c r="D83" s="73">
        <v>1596</v>
      </c>
      <c r="E83" s="73">
        <v>1542</v>
      </c>
      <c r="F83" s="73">
        <v>1489</v>
      </c>
      <c r="G83" s="73">
        <v>1435</v>
      </c>
      <c r="H83" s="73">
        <v>1381</v>
      </c>
      <c r="I83" s="73">
        <v>1332</v>
      </c>
      <c r="J83" s="73">
        <v>1278</v>
      </c>
      <c r="K83" s="73">
        <v>1225</v>
      </c>
      <c r="L83" s="73">
        <v>1171</v>
      </c>
      <c r="M83" s="73">
        <v>1118</v>
      </c>
      <c r="N83" s="73">
        <v>1064</v>
      </c>
      <c r="O83" s="73">
        <v>1010</v>
      </c>
      <c r="P83" s="73">
        <v>957</v>
      </c>
      <c r="Q83" s="73">
        <v>903</v>
      </c>
      <c r="R83" s="73">
        <v>851</v>
      </c>
      <c r="S83" s="73">
        <v>796</v>
      </c>
      <c r="T83" s="73">
        <v>742</v>
      </c>
      <c r="U83" s="73">
        <v>693</v>
      </c>
      <c r="V83" s="73">
        <v>639</v>
      </c>
      <c r="W83" s="73">
        <v>586</v>
      </c>
      <c r="X83" s="73">
        <v>532</v>
      </c>
      <c r="Y83" s="73">
        <v>480</v>
      </c>
      <c r="Z83" s="73">
        <v>425</v>
      </c>
      <c r="AA83" s="73">
        <v>371</v>
      </c>
      <c r="AB83" s="73">
        <v>319</v>
      </c>
      <c r="AC83" s="73">
        <v>264</v>
      </c>
      <c r="AD83" s="73">
        <v>212</v>
      </c>
      <c r="AE83" s="73">
        <v>158</v>
      </c>
      <c r="AF83" s="73">
        <v>103</v>
      </c>
      <c r="AG83" s="73">
        <v>54</v>
      </c>
      <c r="AH83" s="75"/>
      <c r="AI83" s="75"/>
      <c r="AJ83" s="75"/>
      <c r="AK83" s="75"/>
      <c r="AL83" s="75"/>
      <c r="AM83" s="75"/>
      <c r="AN83" s="75"/>
      <c r="AO83" s="75"/>
      <c r="AP83" s="75"/>
      <c r="AQ83" s="75"/>
      <c r="AR83" s="75"/>
      <c r="AS83" s="75"/>
      <c r="AT83" s="181"/>
      <c r="AU83" s="181"/>
      <c r="AV83" s="181"/>
      <c r="AW83" s="181"/>
      <c r="AX83" s="181"/>
    </row>
    <row r="84" spans="2:50" ht="13.5" thickBot="1">
      <c r="B84" s="74" t="s">
        <v>147</v>
      </c>
      <c r="C84" s="72">
        <v>1596</v>
      </c>
      <c r="D84" s="73">
        <v>1542</v>
      </c>
      <c r="E84" s="73">
        <v>1489</v>
      </c>
      <c r="F84" s="73">
        <v>1435</v>
      </c>
      <c r="G84" s="73">
        <v>1381</v>
      </c>
      <c r="H84" s="73">
        <v>1332</v>
      </c>
      <c r="I84" s="73">
        <v>1278</v>
      </c>
      <c r="J84" s="73">
        <v>1225</v>
      </c>
      <c r="K84" s="73">
        <v>1171</v>
      </c>
      <c r="L84" s="73">
        <v>1118</v>
      </c>
      <c r="M84" s="73">
        <v>1064</v>
      </c>
      <c r="N84" s="73">
        <v>1010</v>
      </c>
      <c r="O84" s="73">
        <v>957</v>
      </c>
      <c r="P84" s="73">
        <v>903</v>
      </c>
      <c r="Q84" s="73">
        <v>851</v>
      </c>
      <c r="R84" s="73">
        <v>796</v>
      </c>
      <c r="S84" s="73">
        <v>742</v>
      </c>
      <c r="T84" s="73">
        <v>693</v>
      </c>
      <c r="U84" s="73">
        <v>639</v>
      </c>
      <c r="V84" s="73">
        <v>586</v>
      </c>
      <c r="W84" s="73">
        <v>532</v>
      </c>
      <c r="X84" s="73">
        <v>480</v>
      </c>
      <c r="Y84" s="73">
        <v>425</v>
      </c>
      <c r="Z84" s="73">
        <v>371</v>
      </c>
      <c r="AA84" s="73">
        <v>319</v>
      </c>
      <c r="AB84" s="73">
        <v>264</v>
      </c>
      <c r="AC84" s="73">
        <v>212</v>
      </c>
      <c r="AD84" s="73">
        <v>158</v>
      </c>
      <c r="AE84" s="73">
        <v>103</v>
      </c>
      <c r="AF84" s="73">
        <v>54</v>
      </c>
      <c r="AG84" s="75"/>
      <c r="AH84" s="75"/>
      <c r="AI84" s="75"/>
      <c r="AJ84" s="75"/>
      <c r="AK84" s="75"/>
      <c r="AL84" s="75"/>
      <c r="AM84" s="75"/>
      <c r="AN84" s="75"/>
      <c r="AO84" s="75"/>
      <c r="AP84" s="75"/>
      <c r="AQ84" s="75"/>
      <c r="AR84" s="75"/>
      <c r="AS84" s="75"/>
      <c r="AT84" s="181"/>
      <c r="AU84" s="181"/>
      <c r="AV84" s="181"/>
      <c r="AW84" s="181"/>
      <c r="AX84" s="181"/>
    </row>
    <row r="85" spans="2:50" ht="13.5" thickBot="1">
      <c r="B85" s="74" t="s">
        <v>148</v>
      </c>
      <c r="C85" s="72">
        <v>1542</v>
      </c>
      <c r="D85" s="73">
        <v>1489</v>
      </c>
      <c r="E85" s="73">
        <v>1435</v>
      </c>
      <c r="F85" s="73">
        <v>1381</v>
      </c>
      <c r="G85" s="73">
        <v>1332</v>
      </c>
      <c r="H85" s="73">
        <v>1278</v>
      </c>
      <c r="I85" s="73">
        <v>1225</v>
      </c>
      <c r="J85" s="73">
        <v>1171</v>
      </c>
      <c r="K85" s="73">
        <v>1118</v>
      </c>
      <c r="L85" s="73">
        <v>1064</v>
      </c>
      <c r="M85" s="73">
        <v>1010</v>
      </c>
      <c r="N85" s="73">
        <v>957</v>
      </c>
      <c r="O85" s="73">
        <v>903</v>
      </c>
      <c r="P85" s="73">
        <v>851</v>
      </c>
      <c r="Q85" s="73">
        <v>796</v>
      </c>
      <c r="R85" s="73">
        <v>742</v>
      </c>
      <c r="S85" s="73">
        <v>693</v>
      </c>
      <c r="T85" s="73">
        <v>639</v>
      </c>
      <c r="U85" s="73">
        <v>586</v>
      </c>
      <c r="V85" s="73">
        <v>532</v>
      </c>
      <c r="W85" s="73">
        <v>480</v>
      </c>
      <c r="X85" s="73">
        <v>425</v>
      </c>
      <c r="Y85" s="73">
        <v>371</v>
      </c>
      <c r="Z85" s="73">
        <v>319</v>
      </c>
      <c r="AA85" s="73">
        <v>264</v>
      </c>
      <c r="AB85" s="73">
        <v>212</v>
      </c>
      <c r="AC85" s="73">
        <v>158</v>
      </c>
      <c r="AD85" s="73">
        <v>103</v>
      </c>
      <c r="AE85" s="73">
        <v>54</v>
      </c>
      <c r="AF85" s="75"/>
      <c r="AG85" s="75"/>
      <c r="AH85" s="75"/>
      <c r="AI85" s="75"/>
      <c r="AJ85" s="75"/>
      <c r="AK85" s="75"/>
      <c r="AL85" s="75"/>
      <c r="AM85" s="75"/>
      <c r="AN85" s="75"/>
      <c r="AO85" s="75"/>
      <c r="AP85" s="75"/>
      <c r="AQ85" s="75"/>
      <c r="AR85" s="75"/>
      <c r="AS85" s="75"/>
      <c r="AT85" s="181"/>
      <c r="AU85" s="181"/>
      <c r="AV85" s="181"/>
      <c r="AW85" s="181"/>
      <c r="AX85" s="181"/>
    </row>
    <row r="86" spans="2:50" ht="13.5" thickBot="1">
      <c r="B86" s="74" t="s">
        <v>149</v>
      </c>
      <c r="C86" s="72">
        <v>1489</v>
      </c>
      <c r="D86" s="73">
        <v>1435</v>
      </c>
      <c r="E86" s="73">
        <v>1381</v>
      </c>
      <c r="F86" s="73">
        <v>1332</v>
      </c>
      <c r="G86" s="73">
        <v>1278</v>
      </c>
      <c r="H86" s="73">
        <v>1225</v>
      </c>
      <c r="I86" s="73">
        <v>1171</v>
      </c>
      <c r="J86" s="73">
        <v>1118</v>
      </c>
      <c r="K86" s="73">
        <v>1064</v>
      </c>
      <c r="L86" s="73">
        <v>1010</v>
      </c>
      <c r="M86" s="73">
        <v>957</v>
      </c>
      <c r="N86" s="73">
        <v>903</v>
      </c>
      <c r="O86" s="73">
        <v>851</v>
      </c>
      <c r="P86" s="73">
        <v>796</v>
      </c>
      <c r="Q86" s="73">
        <v>742</v>
      </c>
      <c r="R86" s="73">
        <v>693</v>
      </c>
      <c r="S86" s="73">
        <v>639</v>
      </c>
      <c r="T86" s="73">
        <v>586</v>
      </c>
      <c r="U86" s="73">
        <v>532</v>
      </c>
      <c r="V86" s="73">
        <v>480</v>
      </c>
      <c r="W86" s="73">
        <v>425</v>
      </c>
      <c r="X86" s="73">
        <v>371</v>
      </c>
      <c r="Y86" s="73">
        <v>319</v>
      </c>
      <c r="Z86" s="73">
        <v>264</v>
      </c>
      <c r="AA86" s="73">
        <v>212</v>
      </c>
      <c r="AB86" s="73">
        <v>158</v>
      </c>
      <c r="AC86" s="73">
        <v>103</v>
      </c>
      <c r="AD86" s="73">
        <v>54</v>
      </c>
      <c r="AE86" s="75"/>
      <c r="AF86" s="75"/>
      <c r="AG86" s="75"/>
      <c r="AH86" s="75"/>
      <c r="AI86" s="75"/>
      <c r="AJ86" s="75"/>
      <c r="AK86" s="75"/>
      <c r="AL86" s="75"/>
      <c r="AM86" s="75"/>
      <c r="AN86" s="75"/>
      <c r="AO86" s="75"/>
      <c r="AP86" s="75"/>
      <c r="AQ86" s="75"/>
      <c r="AR86" s="75"/>
      <c r="AS86" s="75"/>
      <c r="AT86" s="181"/>
      <c r="AU86" s="181"/>
      <c r="AV86" s="181"/>
      <c r="AW86" s="181"/>
      <c r="AX86" s="181"/>
    </row>
    <row r="87" spans="2:50" ht="13.5" thickBot="1">
      <c r="B87" s="74" t="s">
        <v>150</v>
      </c>
      <c r="C87" s="72">
        <v>1435</v>
      </c>
      <c r="D87" s="73">
        <v>1381</v>
      </c>
      <c r="E87" s="73">
        <v>1332</v>
      </c>
      <c r="F87" s="73">
        <v>1278</v>
      </c>
      <c r="G87" s="73">
        <v>1225</v>
      </c>
      <c r="H87" s="73">
        <v>1171</v>
      </c>
      <c r="I87" s="73">
        <v>1118</v>
      </c>
      <c r="J87" s="73">
        <v>1064</v>
      </c>
      <c r="K87" s="73">
        <v>1010</v>
      </c>
      <c r="L87" s="73">
        <v>957</v>
      </c>
      <c r="M87" s="73">
        <v>903</v>
      </c>
      <c r="N87" s="73">
        <v>851</v>
      </c>
      <c r="O87" s="73">
        <v>796</v>
      </c>
      <c r="P87" s="73">
        <v>742</v>
      </c>
      <c r="Q87" s="73">
        <v>693</v>
      </c>
      <c r="R87" s="73">
        <v>639</v>
      </c>
      <c r="S87" s="73">
        <v>586</v>
      </c>
      <c r="T87" s="73">
        <v>532</v>
      </c>
      <c r="U87" s="73">
        <v>480</v>
      </c>
      <c r="V87" s="73">
        <v>425</v>
      </c>
      <c r="W87" s="73">
        <v>371</v>
      </c>
      <c r="X87" s="73">
        <v>319</v>
      </c>
      <c r="Y87" s="73">
        <v>264</v>
      </c>
      <c r="Z87" s="73">
        <v>212</v>
      </c>
      <c r="AA87" s="73">
        <v>158</v>
      </c>
      <c r="AB87" s="73">
        <v>103</v>
      </c>
      <c r="AC87" s="73">
        <v>54</v>
      </c>
      <c r="AD87" s="75"/>
      <c r="AE87" s="75"/>
      <c r="AF87" s="75"/>
      <c r="AG87" s="75"/>
      <c r="AH87" s="75"/>
      <c r="AI87" s="75"/>
      <c r="AJ87" s="75"/>
      <c r="AK87" s="75"/>
      <c r="AL87" s="75"/>
      <c r="AM87" s="75"/>
      <c r="AN87" s="75"/>
      <c r="AO87" s="75"/>
      <c r="AP87" s="75"/>
      <c r="AQ87" s="75"/>
      <c r="AR87" s="75"/>
      <c r="AS87" s="75"/>
      <c r="AT87" s="181"/>
      <c r="AU87" s="181"/>
      <c r="AV87" s="181"/>
      <c r="AW87" s="181"/>
      <c r="AX87" s="181"/>
    </row>
    <row r="88" spans="2:50" ht="13.5" thickBot="1">
      <c r="B88" s="74" t="s">
        <v>151</v>
      </c>
      <c r="C88" s="72">
        <v>1381</v>
      </c>
      <c r="D88" s="73">
        <v>1332</v>
      </c>
      <c r="E88" s="73">
        <v>1278</v>
      </c>
      <c r="F88" s="73">
        <v>1225</v>
      </c>
      <c r="G88" s="73">
        <v>1171</v>
      </c>
      <c r="H88" s="73">
        <v>1118</v>
      </c>
      <c r="I88" s="73">
        <v>1064</v>
      </c>
      <c r="J88" s="73">
        <v>1010</v>
      </c>
      <c r="K88" s="73">
        <v>957</v>
      </c>
      <c r="L88" s="73">
        <v>903</v>
      </c>
      <c r="M88" s="73">
        <v>851</v>
      </c>
      <c r="N88" s="73">
        <v>796</v>
      </c>
      <c r="O88" s="73">
        <v>742</v>
      </c>
      <c r="P88" s="73">
        <v>693</v>
      </c>
      <c r="Q88" s="73">
        <v>639</v>
      </c>
      <c r="R88" s="73">
        <v>586</v>
      </c>
      <c r="S88" s="73">
        <v>532</v>
      </c>
      <c r="T88" s="73">
        <v>480</v>
      </c>
      <c r="U88" s="73">
        <v>425</v>
      </c>
      <c r="V88" s="73">
        <v>371</v>
      </c>
      <c r="W88" s="73">
        <v>319</v>
      </c>
      <c r="X88" s="73">
        <v>264</v>
      </c>
      <c r="Y88" s="73">
        <v>212</v>
      </c>
      <c r="Z88" s="73">
        <v>158</v>
      </c>
      <c r="AA88" s="73">
        <v>103</v>
      </c>
      <c r="AB88" s="73">
        <v>54</v>
      </c>
      <c r="AC88" s="75"/>
      <c r="AD88" s="75"/>
      <c r="AE88" s="75"/>
      <c r="AF88" s="75"/>
      <c r="AG88" s="75"/>
      <c r="AH88" s="75"/>
      <c r="AI88" s="75"/>
      <c r="AJ88" s="75"/>
      <c r="AK88" s="75"/>
      <c r="AL88" s="75"/>
      <c r="AM88" s="75"/>
      <c r="AN88" s="75"/>
      <c r="AO88" s="75"/>
      <c r="AP88" s="75"/>
      <c r="AQ88" s="75"/>
      <c r="AR88" s="75"/>
      <c r="AS88" s="75"/>
      <c r="AT88" s="181"/>
      <c r="AU88" s="181"/>
      <c r="AV88" s="181"/>
      <c r="AW88" s="181"/>
      <c r="AX88" s="181"/>
    </row>
    <row r="89" spans="2:50" ht="13.5" thickBot="1">
      <c r="B89" s="74" t="s">
        <v>152</v>
      </c>
      <c r="C89" s="72">
        <v>1332</v>
      </c>
      <c r="D89" s="73">
        <v>1278</v>
      </c>
      <c r="E89" s="73">
        <v>1225</v>
      </c>
      <c r="F89" s="73">
        <v>1171</v>
      </c>
      <c r="G89" s="73">
        <v>1118</v>
      </c>
      <c r="H89" s="73">
        <v>1064</v>
      </c>
      <c r="I89" s="73">
        <v>1010</v>
      </c>
      <c r="J89" s="73">
        <v>957</v>
      </c>
      <c r="K89" s="73">
        <v>903</v>
      </c>
      <c r="L89" s="73">
        <v>851</v>
      </c>
      <c r="M89" s="73">
        <v>796</v>
      </c>
      <c r="N89" s="73">
        <v>742</v>
      </c>
      <c r="O89" s="73">
        <v>693</v>
      </c>
      <c r="P89" s="73">
        <v>639</v>
      </c>
      <c r="Q89" s="73">
        <v>586</v>
      </c>
      <c r="R89" s="73">
        <v>532</v>
      </c>
      <c r="S89" s="73">
        <v>480</v>
      </c>
      <c r="T89" s="73">
        <v>425</v>
      </c>
      <c r="U89" s="73">
        <v>371</v>
      </c>
      <c r="V89" s="73">
        <v>319</v>
      </c>
      <c r="W89" s="73">
        <v>264</v>
      </c>
      <c r="X89" s="73">
        <v>212</v>
      </c>
      <c r="Y89" s="73">
        <v>158</v>
      </c>
      <c r="Z89" s="73">
        <v>103</v>
      </c>
      <c r="AA89" s="73">
        <v>54</v>
      </c>
      <c r="AB89" s="75"/>
      <c r="AC89" s="75"/>
      <c r="AD89" s="75"/>
      <c r="AE89" s="75"/>
      <c r="AF89" s="75"/>
      <c r="AG89" s="75"/>
      <c r="AH89" s="75"/>
      <c r="AI89" s="75"/>
      <c r="AJ89" s="75"/>
      <c r="AK89" s="75"/>
      <c r="AL89" s="75"/>
      <c r="AM89" s="75"/>
      <c r="AN89" s="75"/>
      <c r="AO89" s="75"/>
      <c r="AP89" s="75"/>
      <c r="AQ89" s="75"/>
      <c r="AR89" s="75"/>
      <c r="AS89" s="75"/>
      <c r="AT89" s="181"/>
      <c r="AU89" s="181"/>
      <c r="AV89" s="181"/>
      <c r="AW89" s="181"/>
      <c r="AX89" s="181"/>
    </row>
    <row r="90" spans="2:50" ht="13.5" thickBot="1">
      <c r="B90" s="74" t="s">
        <v>153</v>
      </c>
      <c r="C90" s="72">
        <v>1278</v>
      </c>
      <c r="D90" s="73">
        <v>1225</v>
      </c>
      <c r="E90" s="73">
        <v>1171</v>
      </c>
      <c r="F90" s="73">
        <v>1118</v>
      </c>
      <c r="G90" s="73">
        <v>1064</v>
      </c>
      <c r="H90" s="73">
        <v>1010</v>
      </c>
      <c r="I90" s="73">
        <v>957</v>
      </c>
      <c r="J90" s="73">
        <v>903</v>
      </c>
      <c r="K90" s="73">
        <v>851</v>
      </c>
      <c r="L90" s="73">
        <v>796</v>
      </c>
      <c r="M90" s="73">
        <v>742</v>
      </c>
      <c r="N90" s="73">
        <v>693</v>
      </c>
      <c r="O90" s="73">
        <v>639</v>
      </c>
      <c r="P90" s="73">
        <v>586</v>
      </c>
      <c r="Q90" s="73">
        <v>532</v>
      </c>
      <c r="R90" s="73">
        <v>480</v>
      </c>
      <c r="S90" s="73">
        <v>425</v>
      </c>
      <c r="T90" s="73">
        <v>371</v>
      </c>
      <c r="U90" s="73">
        <v>319</v>
      </c>
      <c r="V90" s="73">
        <v>264</v>
      </c>
      <c r="W90" s="73">
        <v>212</v>
      </c>
      <c r="X90" s="73">
        <v>158</v>
      </c>
      <c r="Y90" s="73">
        <v>103</v>
      </c>
      <c r="Z90" s="73">
        <v>54</v>
      </c>
      <c r="AA90" s="75"/>
      <c r="AB90" s="75"/>
      <c r="AC90" s="75"/>
      <c r="AD90" s="75"/>
      <c r="AE90" s="75"/>
      <c r="AF90" s="75"/>
      <c r="AG90" s="75"/>
      <c r="AH90" s="75"/>
      <c r="AI90" s="75"/>
      <c r="AJ90" s="75"/>
      <c r="AK90" s="75"/>
      <c r="AL90" s="75"/>
      <c r="AM90" s="75"/>
      <c r="AN90" s="75"/>
      <c r="AO90" s="75"/>
      <c r="AP90" s="75"/>
      <c r="AQ90" s="75"/>
      <c r="AR90" s="75"/>
      <c r="AS90" s="75"/>
      <c r="AT90" s="181"/>
      <c r="AU90" s="181"/>
      <c r="AV90" s="181"/>
      <c r="AW90" s="181"/>
      <c r="AX90" s="181"/>
    </row>
    <row r="91" spans="2:50" ht="13.5" thickBot="1">
      <c r="B91" s="74" t="s">
        <v>154</v>
      </c>
      <c r="C91" s="72">
        <v>1225</v>
      </c>
      <c r="D91" s="73">
        <v>1171</v>
      </c>
      <c r="E91" s="73">
        <v>1118</v>
      </c>
      <c r="F91" s="73">
        <v>1064</v>
      </c>
      <c r="G91" s="73">
        <v>1010</v>
      </c>
      <c r="H91" s="73">
        <v>957</v>
      </c>
      <c r="I91" s="73">
        <v>903</v>
      </c>
      <c r="J91" s="73">
        <v>851</v>
      </c>
      <c r="K91" s="73">
        <v>796</v>
      </c>
      <c r="L91" s="73">
        <v>742</v>
      </c>
      <c r="M91" s="73">
        <v>693</v>
      </c>
      <c r="N91" s="73">
        <v>639</v>
      </c>
      <c r="O91" s="73">
        <v>586</v>
      </c>
      <c r="P91" s="73">
        <v>532</v>
      </c>
      <c r="Q91" s="73">
        <v>480</v>
      </c>
      <c r="R91" s="73">
        <v>425</v>
      </c>
      <c r="S91" s="73">
        <v>371</v>
      </c>
      <c r="T91" s="73">
        <v>319</v>
      </c>
      <c r="U91" s="73">
        <v>264</v>
      </c>
      <c r="V91" s="73">
        <v>212</v>
      </c>
      <c r="W91" s="73">
        <v>158</v>
      </c>
      <c r="X91" s="73">
        <v>103</v>
      </c>
      <c r="Y91" s="73">
        <v>54</v>
      </c>
      <c r="Z91" s="75"/>
      <c r="AA91" s="75"/>
      <c r="AB91" s="75"/>
      <c r="AC91" s="75"/>
      <c r="AD91" s="75"/>
      <c r="AE91" s="75"/>
      <c r="AF91" s="75"/>
      <c r="AG91" s="75"/>
      <c r="AH91" s="75"/>
      <c r="AI91" s="75"/>
      <c r="AJ91" s="75"/>
      <c r="AK91" s="75"/>
      <c r="AL91" s="75"/>
      <c r="AM91" s="75"/>
      <c r="AN91" s="75"/>
      <c r="AO91" s="75"/>
      <c r="AP91" s="75"/>
      <c r="AQ91" s="75"/>
      <c r="AR91" s="75"/>
      <c r="AS91" s="75"/>
      <c r="AT91" s="181"/>
      <c r="AU91" s="181"/>
      <c r="AV91" s="181"/>
      <c r="AW91" s="181"/>
      <c r="AX91" s="181"/>
    </row>
    <row r="92" spans="2:50" ht="13.5" thickBot="1">
      <c r="B92" s="74" t="s">
        <v>155</v>
      </c>
      <c r="C92" s="72">
        <v>1171</v>
      </c>
      <c r="D92" s="73">
        <v>1118</v>
      </c>
      <c r="E92" s="73">
        <v>1064</v>
      </c>
      <c r="F92" s="73">
        <v>1010</v>
      </c>
      <c r="G92" s="73">
        <v>957</v>
      </c>
      <c r="H92" s="73">
        <v>903</v>
      </c>
      <c r="I92" s="73">
        <v>851</v>
      </c>
      <c r="J92" s="73">
        <v>796</v>
      </c>
      <c r="K92" s="73">
        <v>742</v>
      </c>
      <c r="L92" s="73">
        <v>693</v>
      </c>
      <c r="M92" s="73">
        <v>639</v>
      </c>
      <c r="N92" s="73">
        <v>586</v>
      </c>
      <c r="O92" s="73">
        <v>532</v>
      </c>
      <c r="P92" s="73">
        <v>480</v>
      </c>
      <c r="Q92" s="73">
        <v>425</v>
      </c>
      <c r="R92" s="73">
        <v>371</v>
      </c>
      <c r="S92" s="73">
        <v>319</v>
      </c>
      <c r="T92" s="73">
        <v>264</v>
      </c>
      <c r="U92" s="73">
        <v>212</v>
      </c>
      <c r="V92" s="73">
        <v>158</v>
      </c>
      <c r="W92" s="73">
        <v>103</v>
      </c>
      <c r="X92" s="73">
        <v>54</v>
      </c>
      <c r="Y92" s="75"/>
      <c r="Z92" s="75"/>
      <c r="AA92" s="75"/>
      <c r="AB92" s="75"/>
      <c r="AC92" s="75"/>
      <c r="AD92" s="75"/>
      <c r="AE92" s="75"/>
      <c r="AF92" s="75"/>
      <c r="AG92" s="75"/>
      <c r="AH92" s="75"/>
      <c r="AI92" s="75"/>
      <c r="AJ92" s="75"/>
      <c r="AK92" s="75"/>
      <c r="AL92" s="75"/>
      <c r="AM92" s="75"/>
      <c r="AN92" s="75"/>
      <c r="AO92" s="75"/>
      <c r="AP92" s="75"/>
      <c r="AQ92" s="75"/>
      <c r="AR92" s="75"/>
      <c r="AS92" s="75"/>
      <c r="AT92" s="181"/>
      <c r="AU92" s="181"/>
      <c r="AV92" s="181"/>
      <c r="AW92" s="181"/>
      <c r="AX92" s="181"/>
    </row>
    <row r="93" spans="2:50" ht="13.5" thickBot="1">
      <c r="B93" s="74" t="s">
        <v>156</v>
      </c>
      <c r="C93" s="72">
        <v>1118</v>
      </c>
      <c r="D93" s="73">
        <v>1064</v>
      </c>
      <c r="E93" s="73">
        <v>1010</v>
      </c>
      <c r="F93" s="73">
        <v>957</v>
      </c>
      <c r="G93" s="73">
        <v>903</v>
      </c>
      <c r="H93" s="73">
        <v>851</v>
      </c>
      <c r="I93" s="73">
        <v>796</v>
      </c>
      <c r="J93" s="73">
        <v>742</v>
      </c>
      <c r="K93" s="73">
        <v>693</v>
      </c>
      <c r="L93" s="73">
        <v>639</v>
      </c>
      <c r="M93" s="73">
        <v>586</v>
      </c>
      <c r="N93" s="73">
        <v>532</v>
      </c>
      <c r="O93" s="73">
        <v>480</v>
      </c>
      <c r="P93" s="73">
        <v>425</v>
      </c>
      <c r="Q93" s="73">
        <v>371</v>
      </c>
      <c r="R93" s="73">
        <v>319</v>
      </c>
      <c r="S93" s="73">
        <v>264</v>
      </c>
      <c r="T93" s="73">
        <v>212</v>
      </c>
      <c r="U93" s="73">
        <v>158</v>
      </c>
      <c r="V93" s="73">
        <v>103</v>
      </c>
      <c r="W93" s="73">
        <v>54</v>
      </c>
      <c r="X93" s="75"/>
      <c r="Y93" s="75"/>
      <c r="Z93" s="75"/>
      <c r="AA93" s="75"/>
      <c r="AB93" s="75"/>
      <c r="AC93" s="75"/>
      <c r="AD93" s="75"/>
      <c r="AE93" s="75"/>
      <c r="AF93" s="75"/>
      <c r="AG93" s="75"/>
      <c r="AH93" s="75"/>
      <c r="AI93" s="75"/>
      <c r="AJ93" s="75"/>
      <c r="AK93" s="75"/>
      <c r="AL93" s="75"/>
      <c r="AM93" s="75"/>
      <c r="AN93" s="75"/>
      <c r="AO93" s="75"/>
      <c r="AP93" s="75"/>
      <c r="AQ93" s="75"/>
      <c r="AR93" s="75"/>
      <c r="AS93" s="75"/>
      <c r="AT93" s="181"/>
      <c r="AU93" s="181"/>
      <c r="AV93" s="181"/>
      <c r="AW93" s="181"/>
      <c r="AX93" s="181"/>
    </row>
    <row r="94" spans="2:50" ht="13.5" thickBot="1">
      <c r="B94" s="74" t="s">
        <v>157</v>
      </c>
      <c r="C94" s="72">
        <v>1064</v>
      </c>
      <c r="D94" s="73">
        <v>1010</v>
      </c>
      <c r="E94" s="73">
        <v>957</v>
      </c>
      <c r="F94" s="73">
        <v>903</v>
      </c>
      <c r="G94" s="73">
        <v>851</v>
      </c>
      <c r="H94" s="73">
        <v>796</v>
      </c>
      <c r="I94" s="73">
        <v>742</v>
      </c>
      <c r="J94" s="73">
        <v>693</v>
      </c>
      <c r="K94" s="73">
        <v>639</v>
      </c>
      <c r="L94" s="73">
        <v>586</v>
      </c>
      <c r="M94" s="73">
        <v>532</v>
      </c>
      <c r="N94" s="73">
        <v>480</v>
      </c>
      <c r="O94" s="73">
        <v>425</v>
      </c>
      <c r="P94" s="73">
        <v>371</v>
      </c>
      <c r="Q94" s="73">
        <v>319</v>
      </c>
      <c r="R94" s="73">
        <v>264</v>
      </c>
      <c r="S94" s="73">
        <v>212</v>
      </c>
      <c r="T94" s="73">
        <v>158</v>
      </c>
      <c r="U94" s="73">
        <v>103</v>
      </c>
      <c r="V94" s="73">
        <v>54</v>
      </c>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181"/>
      <c r="AU94" s="181"/>
      <c r="AV94" s="181"/>
      <c r="AW94" s="181"/>
      <c r="AX94" s="181"/>
    </row>
    <row r="95" spans="2:50" ht="13.5" thickBot="1">
      <c r="B95" s="74" t="s">
        <v>158</v>
      </c>
      <c r="C95" s="72">
        <v>1010</v>
      </c>
      <c r="D95" s="73">
        <v>957</v>
      </c>
      <c r="E95" s="73">
        <v>903</v>
      </c>
      <c r="F95" s="73">
        <v>851</v>
      </c>
      <c r="G95" s="73">
        <v>796</v>
      </c>
      <c r="H95" s="73">
        <v>742</v>
      </c>
      <c r="I95" s="73">
        <v>693</v>
      </c>
      <c r="J95" s="73">
        <v>639</v>
      </c>
      <c r="K95" s="73">
        <v>586</v>
      </c>
      <c r="L95" s="73">
        <v>532</v>
      </c>
      <c r="M95" s="73">
        <v>480</v>
      </c>
      <c r="N95" s="73">
        <v>425</v>
      </c>
      <c r="O95" s="73">
        <v>371</v>
      </c>
      <c r="P95" s="73">
        <v>319</v>
      </c>
      <c r="Q95" s="73">
        <v>264</v>
      </c>
      <c r="R95" s="73">
        <v>212</v>
      </c>
      <c r="S95" s="73">
        <v>158</v>
      </c>
      <c r="T95" s="73">
        <v>103</v>
      </c>
      <c r="U95" s="73">
        <v>54</v>
      </c>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181"/>
      <c r="AU95" s="181"/>
      <c r="AV95" s="181"/>
      <c r="AW95" s="181"/>
      <c r="AX95" s="181"/>
    </row>
    <row r="96" spans="2:50" ht="13.5" thickBot="1">
      <c r="B96" s="76" t="s">
        <v>159</v>
      </c>
      <c r="C96" s="73">
        <v>957</v>
      </c>
      <c r="D96" s="73">
        <v>903</v>
      </c>
      <c r="E96" s="73">
        <v>851</v>
      </c>
      <c r="F96" s="73">
        <v>796</v>
      </c>
      <c r="G96" s="73">
        <v>742</v>
      </c>
      <c r="H96" s="73">
        <v>693</v>
      </c>
      <c r="I96" s="73">
        <v>639</v>
      </c>
      <c r="J96" s="73">
        <v>586</v>
      </c>
      <c r="K96" s="73">
        <v>532</v>
      </c>
      <c r="L96" s="73">
        <v>480</v>
      </c>
      <c r="M96" s="73">
        <v>425</v>
      </c>
      <c r="N96" s="73">
        <v>371</v>
      </c>
      <c r="O96" s="73">
        <v>319</v>
      </c>
      <c r="P96" s="73">
        <v>264</v>
      </c>
      <c r="Q96" s="73">
        <v>212</v>
      </c>
      <c r="R96" s="73">
        <v>158</v>
      </c>
      <c r="S96" s="73">
        <v>103</v>
      </c>
      <c r="T96" s="73">
        <v>54</v>
      </c>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181"/>
      <c r="AU96" s="181"/>
      <c r="AV96" s="181"/>
      <c r="AW96" s="181"/>
      <c r="AX96" s="181"/>
    </row>
    <row r="97" spans="2:50" ht="13.5" thickBot="1">
      <c r="B97" s="76" t="s">
        <v>160</v>
      </c>
      <c r="C97" s="73">
        <v>903</v>
      </c>
      <c r="D97" s="73">
        <v>851</v>
      </c>
      <c r="E97" s="73">
        <v>796</v>
      </c>
      <c r="F97" s="73">
        <v>742</v>
      </c>
      <c r="G97" s="73">
        <v>693</v>
      </c>
      <c r="H97" s="73">
        <v>639</v>
      </c>
      <c r="I97" s="73">
        <v>586</v>
      </c>
      <c r="J97" s="73">
        <v>532</v>
      </c>
      <c r="K97" s="73">
        <v>480</v>
      </c>
      <c r="L97" s="73">
        <v>425</v>
      </c>
      <c r="M97" s="73">
        <v>371</v>
      </c>
      <c r="N97" s="73">
        <v>319</v>
      </c>
      <c r="O97" s="73">
        <v>264</v>
      </c>
      <c r="P97" s="73">
        <v>212</v>
      </c>
      <c r="Q97" s="73">
        <v>158</v>
      </c>
      <c r="R97" s="73">
        <v>103</v>
      </c>
      <c r="S97" s="73">
        <v>54</v>
      </c>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181"/>
      <c r="AU97" s="181"/>
      <c r="AV97" s="181"/>
      <c r="AW97" s="181"/>
      <c r="AX97" s="181"/>
    </row>
    <row r="98" spans="2:50" ht="13.5" thickBot="1">
      <c r="B98" s="76" t="s">
        <v>161</v>
      </c>
      <c r="C98" s="73">
        <v>851</v>
      </c>
      <c r="D98" s="73">
        <v>796</v>
      </c>
      <c r="E98" s="73">
        <v>742</v>
      </c>
      <c r="F98" s="73">
        <v>693</v>
      </c>
      <c r="G98" s="73">
        <v>639</v>
      </c>
      <c r="H98" s="73">
        <v>586</v>
      </c>
      <c r="I98" s="73">
        <v>532</v>
      </c>
      <c r="J98" s="73">
        <v>480</v>
      </c>
      <c r="K98" s="73">
        <v>425</v>
      </c>
      <c r="L98" s="73">
        <v>371</v>
      </c>
      <c r="M98" s="73">
        <v>319</v>
      </c>
      <c r="N98" s="73">
        <v>264</v>
      </c>
      <c r="O98" s="73">
        <v>212</v>
      </c>
      <c r="P98" s="73">
        <v>158</v>
      </c>
      <c r="Q98" s="73">
        <v>103</v>
      </c>
      <c r="R98" s="73">
        <v>54</v>
      </c>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181"/>
      <c r="AU98" s="181"/>
      <c r="AV98" s="181"/>
      <c r="AW98" s="181"/>
      <c r="AX98" s="181"/>
    </row>
    <row r="99" spans="2:50" ht="13.5" thickBot="1">
      <c r="B99" s="76" t="s">
        <v>162</v>
      </c>
      <c r="C99" s="73">
        <v>796</v>
      </c>
      <c r="D99" s="73">
        <v>742</v>
      </c>
      <c r="E99" s="73">
        <v>693</v>
      </c>
      <c r="F99" s="73">
        <v>639</v>
      </c>
      <c r="G99" s="73">
        <v>586</v>
      </c>
      <c r="H99" s="73">
        <v>532</v>
      </c>
      <c r="I99" s="73">
        <v>480</v>
      </c>
      <c r="J99" s="73">
        <v>425</v>
      </c>
      <c r="K99" s="73">
        <v>371</v>
      </c>
      <c r="L99" s="73">
        <v>319</v>
      </c>
      <c r="M99" s="73">
        <v>264</v>
      </c>
      <c r="N99" s="73">
        <v>212</v>
      </c>
      <c r="O99" s="73">
        <v>158</v>
      </c>
      <c r="P99" s="73">
        <v>103</v>
      </c>
      <c r="Q99" s="73">
        <v>54</v>
      </c>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181"/>
      <c r="AU99" s="181"/>
      <c r="AV99" s="181"/>
      <c r="AW99" s="181"/>
      <c r="AX99" s="181"/>
    </row>
    <row r="100" spans="2:50" ht="13.5" thickBot="1">
      <c r="B100" s="76" t="s">
        <v>163</v>
      </c>
      <c r="C100" s="73">
        <v>742</v>
      </c>
      <c r="D100" s="73">
        <v>693</v>
      </c>
      <c r="E100" s="73">
        <v>639</v>
      </c>
      <c r="F100" s="73">
        <v>586</v>
      </c>
      <c r="G100" s="73">
        <v>532</v>
      </c>
      <c r="H100" s="73">
        <v>480</v>
      </c>
      <c r="I100" s="73">
        <v>425</v>
      </c>
      <c r="J100" s="73">
        <v>371</v>
      </c>
      <c r="K100" s="73">
        <v>319</v>
      </c>
      <c r="L100" s="73">
        <v>264</v>
      </c>
      <c r="M100" s="73">
        <v>212</v>
      </c>
      <c r="N100" s="73">
        <v>158</v>
      </c>
      <c r="O100" s="73">
        <v>103</v>
      </c>
      <c r="P100" s="73">
        <v>54</v>
      </c>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181"/>
      <c r="AU100" s="181"/>
      <c r="AV100" s="181"/>
      <c r="AW100" s="181"/>
      <c r="AX100" s="181"/>
    </row>
    <row r="101" spans="2:50" ht="13.5" thickBot="1">
      <c r="B101" s="77" t="s">
        <v>164</v>
      </c>
      <c r="C101" s="73">
        <v>693</v>
      </c>
      <c r="D101" s="73">
        <v>639</v>
      </c>
      <c r="E101" s="73">
        <v>586</v>
      </c>
      <c r="F101" s="73">
        <v>532</v>
      </c>
      <c r="G101" s="73">
        <v>480</v>
      </c>
      <c r="H101" s="73">
        <v>425</v>
      </c>
      <c r="I101" s="73">
        <v>371</v>
      </c>
      <c r="J101" s="73">
        <v>319</v>
      </c>
      <c r="K101" s="73">
        <v>264</v>
      </c>
      <c r="L101" s="73">
        <v>212</v>
      </c>
      <c r="M101" s="73">
        <v>158</v>
      </c>
      <c r="N101" s="73">
        <v>103</v>
      </c>
      <c r="O101" s="73">
        <v>54</v>
      </c>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181"/>
      <c r="AU101" s="181"/>
      <c r="AV101" s="181"/>
      <c r="AW101" s="181"/>
      <c r="AX101" s="181"/>
    </row>
    <row r="102" spans="2:50" ht="13.5" thickBot="1">
      <c r="B102" s="78" t="s">
        <v>165</v>
      </c>
      <c r="C102" s="73">
        <v>639</v>
      </c>
      <c r="D102" s="73">
        <v>586</v>
      </c>
      <c r="E102" s="73">
        <v>532</v>
      </c>
      <c r="F102" s="73">
        <v>480</v>
      </c>
      <c r="G102" s="73">
        <v>425</v>
      </c>
      <c r="H102" s="73">
        <v>371</v>
      </c>
      <c r="I102" s="73">
        <v>319</v>
      </c>
      <c r="J102" s="73">
        <v>264</v>
      </c>
      <c r="K102" s="73">
        <v>212</v>
      </c>
      <c r="L102" s="73">
        <v>158</v>
      </c>
      <c r="M102" s="73">
        <v>103</v>
      </c>
      <c r="N102" s="73">
        <v>54</v>
      </c>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181"/>
      <c r="AU102" s="181"/>
      <c r="AV102" s="181"/>
      <c r="AW102" s="181"/>
      <c r="AX102" s="181"/>
    </row>
    <row r="103" spans="2:50" ht="13.5" thickBot="1">
      <c r="B103" s="76" t="s">
        <v>166</v>
      </c>
      <c r="C103" s="73">
        <v>586</v>
      </c>
      <c r="D103" s="73">
        <v>532</v>
      </c>
      <c r="E103" s="73">
        <v>480</v>
      </c>
      <c r="F103" s="73">
        <v>425</v>
      </c>
      <c r="G103" s="73">
        <v>371</v>
      </c>
      <c r="H103" s="73">
        <v>319</v>
      </c>
      <c r="I103" s="73">
        <v>264</v>
      </c>
      <c r="J103" s="73">
        <v>212</v>
      </c>
      <c r="K103" s="73">
        <v>158</v>
      </c>
      <c r="L103" s="73">
        <v>103</v>
      </c>
      <c r="M103" s="73">
        <v>54</v>
      </c>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181"/>
      <c r="AU103" s="181"/>
      <c r="AV103" s="181"/>
      <c r="AW103" s="181"/>
      <c r="AX103" s="181"/>
    </row>
    <row r="104" spans="2:50" ht="13.5" thickBot="1">
      <c r="B104" s="76" t="s">
        <v>167</v>
      </c>
      <c r="C104" s="73">
        <v>532</v>
      </c>
      <c r="D104" s="73">
        <v>480</v>
      </c>
      <c r="E104" s="73">
        <v>425</v>
      </c>
      <c r="F104" s="73">
        <v>371</v>
      </c>
      <c r="G104" s="73">
        <v>319</v>
      </c>
      <c r="H104" s="73">
        <v>264</v>
      </c>
      <c r="I104" s="73">
        <v>212</v>
      </c>
      <c r="J104" s="73">
        <v>158</v>
      </c>
      <c r="K104" s="73">
        <v>103</v>
      </c>
      <c r="L104" s="73">
        <v>54</v>
      </c>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181"/>
      <c r="AU104" s="181"/>
      <c r="AV104" s="181"/>
      <c r="AW104" s="181"/>
      <c r="AX104" s="181"/>
    </row>
    <row r="105" spans="2:50" ht="13.5" thickBot="1">
      <c r="B105" s="76" t="s">
        <v>168</v>
      </c>
      <c r="C105" s="73">
        <v>480</v>
      </c>
      <c r="D105" s="73">
        <v>425</v>
      </c>
      <c r="E105" s="73">
        <v>371</v>
      </c>
      <c r="F105" s="73">
        <v>319</v>
      </c>
      <c r="G105" s="73">
        <v>264</v>
      </c>
      <c r="H105" s="73">
        <v>212</v>
      </c>
      <c r="I105" s="73">
        <v>158</v>
      </c>
      <c r="J105" s="73">
        <v>103</v>
      </c>
      <c r="K105" s="73">
        <v>54</v>
      </c>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181"/>
      <c r="AU105" s="181"/>
      <c r="AV105" s="181"/>
      <c r="AW105" s="181"/>
      <c r="AX105" s="181"/>
    </row>
    <row r="106" spans="2:50" ht="13.5" thickBot="1">
      <c r="B106" s="76" t="s">
        <v>169</v>
      </c>
      <c r="C106" s="73">
        <v>425</v>
      </c>
      <c r="D106" s="73">
        <v>371</v>
      </c>
      <c r="E106" s="73">
        <v>319</v>
      </c>
      <c r="F106" s="73">
        <v>264</v>
      </c>
      <c r="G106" s="73">
        <v>212</v>
      </c>
      <c r="H106" s="73">
        <v>158</v>
      </c>
      <c r="I106" s="73">
        <v>103</v>
      </c>
      <c r="J106" s="73">
        <v>54</v>
      </c>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181"/>
      <c r="AU106" s="181"/>
      <c r="AV106" s="181"/>
      <c r="AW106" s="181"/>
      <c r="AX106" s="181"/>
    </row>
    <row r="107" spans="2:50" ht="13.5" thickBot="1">
      <c r="B107" s="76" t="s">
        <v>170</v>
      </c>
      <c r="C107" s="73">
        <v>371</v>
      </c>
      <c r="D107" s="73">
        <v>319</v>
      </c>
      <c r="E107" s="73">
        <v>264</v>
      </c>
      <c r="F107" s="73">
        <v>212</v>
      </c>
      <c r="G107" s="73">
        <v>158</v>
      </c>
      <c r="H107" s="73">
        <v>103</v>
      </c>
      <c r="I107" s="73">
        <v>54</v>
      </c>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181"/>
      <c r="AU107" s="181"/>
      <c r="AV107" s="181"/>
      <c r="AW107" s="181"/>
      <c r="AX107" s="181"/>
    </row>
    <row r="108" spans="2:50" ht="13.5" thickBot="1">
      <c r="B108" s="76" t="s">
        <v>171</v>
      </c>
      <c r="C108" s="73">
        <v>319</v>
      </c>
      <c r="D108" s="73">
        <v>264</v>
      </c>
      <c r="E108" s="73">
        <v>212</v>
      </c>
      <c r="F108" s="73">
        <v>158</v>
      </c>
      <c r="G108" s="73">
        <v>103</v>
      </c>
      <c r="H108" s="73">
        <v>54</v>
      </c>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181"/>
      <c r="AU108" s="181"/>
      <c r="AV108" s="181"/>
      <c r="AW108" s="181"/>
      <c r="AX108" s="181"/>
    </row>
    <row r="109" spans="2:50" ht="13.5" thickBot="1">
      <c r="B109" s="76" t="s">
        <v>172</v>
      </c>
      <c r="C109" s="73">
        <v>264</v>
      </c>
      <c r="D109" s="73">
        <v>212</v>
      </c>
      <c r="E109" s="73">
        <v>158</v>
      </c>
      <c r="F109" s="73">
        <v>103</v>
      </c>
      <c r="G109" s="73">
        <v>54</v>
      </c>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181"/>
      <c r="AU109" s="181"/>
      <c r="AV109" s="181"/>
      <c r="AW109" s="181"/>
      <c r="AX109" s="181"/>
    </row>
    <row r="110" spans="2:50" ht="13.5" thickBot="1">
      <c r="B110" s="76" t="s">
        <v>173</v>
      </c>
      <c r="C110" s="73">
        <v>212</v>
      </c>
      <c r="D110" s="73">
        <v>158</v>
      </c>
      <c r="E110" s="73">
        <v>103</v>
      </c>
      <c r="F110" s="73">
        <v>54</v>
      </c>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181"/>
      <c r="AU110" s="181"/>
      <c r="AV110" s="181"/>
      <c r="AW110" s="181"/>
      <c r="AX110" s="181"/>
    </row>
    <row r="111" spans="2:50" ht="13.5" thickBot="1">
      <c r="B111" s="76" t="s">
        <v>174</v>
      </c>
      <c r="C111" s="73">
        <v>158</v>
      </c>
      <c r="D111" s="73">
        <v>103</v>
      </c>
      <c r="E111" s="73">
        <v>54</v>
      </c>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181"/>
      <c r="AU111" s="181"/>
      <c r="AV111" s="181"/>
      <c r="AW111" s="181"/>
      <c r="AX111" s="181"/>
    </row>
    <row r="112" spans="2:50" ht="13.5" thickBot="1">
      <c r="B112" s="76" t="s">
        <v>175</v>
      </c>
      <c r="C112" s="73">
        <v>103</v>
      </c>
      <c r="D112" s="73">
        <v>54</v>
      </c>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181"/>
      <c r="AU112" s="181"/>
      <c r="AV112" s="181"/>
      <c r="AW112" s="181"/>
      <c r="AX112" s="181"/>
    </row>
    <row r="113" spans="2:50" ht="13.5" thickBot="1">
      <c r="B113" s="76" t="s">
        <v>176</v>
      </c>
      <c r="C113" s="73">
        <v>54</v>
      </c>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181"/>
      <c r="AU113" s="181"/>
      <c r="AV113" s="181"/>
      <c r="AW113" s="181"/>
      <c r="AX113" s="181"/>
    </row>
    <row r="114" spans="2:50" ht="13.5" thickBot="1">
      <c r="B114" s="76" t="s">
        <v>177</v>
      </c>
      <c r="C114" s="180"/>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row>
  </sheetData>
  <mergeCells count="17">
    <mergeCell ref="K12:K13"/>
    <mergeCell ref="G13:H13"/>
    <mergeCell ref="I13:J13"/>
    <mergeCell ref="B12:C13"/>
    <mergeCell ref="D12:E13"/>
    <mergeCell ref="F12:F13"/>
    <mergeCell ref="G12:J12"/>
    <mergeCell ref="AC12:AC13"/>
    <mergeCell ref="M12:N13"/>
    <mergeCell ref="O12:P13"/>
    <mergeCell ref="Q12:Q13"/>
    <mergeCell ref="R12:S12"/>
    <mergeCell ref="T12:T13"/>
    <mergeCell ref="V12:W13"/>
    <mergeCell ref="X12:Y13"/>
    <mergeCell ref="Z12:Z13"/>
    <mergeCell ref="AA12:AB12"/>
  </mergeCells>
  <phoneticPr fontId="41" type="noConversion"/>
  <hyperlinks>
    <hyperlink ref="C6" r:id="rId1"/>
  </hyperlinks>
  <pageMargins left="0.7" right="0.7" top="0.75" bottom="0.75" header="0.3" footer="0.3"/>
  <pageSetup paperSize="9" orientation="portrait" r:id="rId2"/>
  <headerFooter>
    <oddHeader>&amp;CPROTECT - SCHEME MANAGEMENT&amp;L_x000D_&amp;Z&amp;F  [&amp;A]</oddHeader>
    <oddFooter>&amp;LPage &amp;P of &amp;N&amp;R&amp;T &amp;D</oddFooter>
  </headerFooter>
</worksheet>
</file>

<file path=xl/worksheets/sheet6.xml><?xml version="1.0" encoding="utf-8"?>
<worksheet xmlns="http://schemas.openxmlformats.org/spreadsheetml/2006/main" xmlns:r="http://schemas.openxmlformats.org/officeDocument/2006/relationships">
  <sheetPr codeName="Sheet5">
    <pageSetUpPr fitToPage="1"/>
  </sheetPr>
  <dimension ref="A1:J94"/>
  <sheetViews>
    <sheetView workbookViewId="0">
      <selection activeCell="B43" sqref="B43:M43"/>
    </sheetView>
  </sheetViews>
  <sheetFormatPr defaultRowHeight="12.75"/>
  <cols>
    <col min="2" max="2" width="56.5703125" bestFit="1" customWidth="1"/>
    <col min="3" max="3" width="10.140625" bestFit="1" customWidth="1"/>
    <col min="5" max="5" width="11.42578125" bestFit="1" customWidth="1"/>
    <col min="6" max="6" width="11.28515625" bestFit="1" customWidth="1"/>
    <col min="8" max="8" width="10.140625" bestFit="1" customWidth="1"/>
    <col min="10" max="10" width="12.42578125" bestFit="1" customWidth="1"/>
  </cols>
  <sheetData>
    <row r="1" spans="1:9" ht="20.25">
      <c r="A1" s="13" t="s">
        <v>19</v>
      </c>
      <c r="B1" s="12"/>
      <c r="C1" s="12"/>
      <c r="D1" s="12"/>
      <c r="E1" s="12"/>
      <c r="F1" s="12"/>
      <c r="G1" s="12"/>
      <c r="H1" s="12"/>
      <c r="I1" s="12"/>
    </row>
    <row r="2" spans="1:9" ht="15.75">
      <c r="A2" s="28" t="str">
        <f>IF(title="&gt; Enter workbook title here","Enter workbook title in Cover sheet",title)</f>
        <v>Police Scheme Reform Pension calculator</v>
      </c>
      <c r="B2" s="11"/>
      <c r="C2" s="11"/>
      <c r="D2" s="11"/>
      <c r="E2" s="11"/>
      <c r="F2" s="11"/>
      <c r="G2" s="11"/>
      <c r="H2" s="11"/>
      <c r="I2" s="11"/>
    </row>
    <row r="3" spans="1:9" ht="15.75">
      <c r="A3" s="14" t="s">
        <v>198</v>
      </c>
      <c r="B3" s="11"/>
      <c r="C3" s="11"/>
      <c r="D3" s="11"/>
      <c r="E3" s="11"/>
      <c r="F3" s="11"/>
      <c r="G3" s="11"/>
      <c r="H3" s="11"/>
      <c r="I3" s="11"/>
    </row>
    <row r="4" spans="1:9">
      <c r="A4" s="7" t="str">
        <f ca="1">CELL("filename",A1)</f>
        <v>G:\My Documents\[Pension_calculator_v5_0.xlsx]PPS and NPPS calcs</v>
      </c>
    </row>
    <row r="6" spans="1:9">
      <c r="B6" s="1" t="s">
        <v>371</v>
      </c>
      <c r="E6">
        <f ca="1">(TODAY()-DoB)/DoY</f>
        <v>116.25188227241615</v>
      </c>
    </row>
    <row r="7" spans="1:9">
      <c r="E7">
        <f ca="1">INT(E6)</f>
        <v>116</v>
      </c>
      <c r="F7" s="30" t="s">
        <v>76</v>
      </c>
    </row>
    <row r="8" spans="1:9">
      <c r="E8">
        <f ca="1">INT((E6-INT(E6))*12)</f>
        <v>3</v>
      </c>
      <c r="F8" s="30" t="s">
        <v>185</v>
      </c>
    </row>
    <row r="10" spans="1:9">
      <c r="B10" s="1" t="s">
        <v>233</v>
      </c>
      <c r="E10">
        <f>(ProtectDate-DoB)/DoY</f>
        <v>112.25188227241615</v>
      </c>
    </row>
    <row r="12" spans="1:9">
      <c r="B12" s="1" t="s">
        <v>350</v>
      </c>
      <c r="E12" s="113">
        <f>(NPPSstart-DJS)/DoY+TVinYears+TVinDays/DoY</f>
        <v>106.26420260095824</v>
      </c>
    </row>
    <row r="13" spans="1:9">
      <c r="B13" s="1" t="s">
        <v>341</v>
      </c>
      <c r="E13" s="113" t="str">
        <f>IF('Inputs and outputs'!I27="Part-time","N",IF(AND(CurrentScheme="NPPS",DJS&lt;DATE(2006,4,6)),"Y","N"))</f>
        <v>N</v>
      </c>
    </row>
    <row r="14" spans="1:9">
      <c r="B14" s="1"/>
      <c r="E14" s="114" t="s">
        <v>356</v>
      </c>
      <c r="F14" s="114" t="s">
        <v>355</v>
      </c>
    </row>
    <row r="15" spans="1:9">
      <c r="B15" s="1" t="s">
        <v>354</v>
      </c>
      <c r="C15" s="30"/>
      <c r="E15" s="113" t="str">
        <f>IF(E13="Y",IF((NPPSstart-DoB)/DoY&lt;55,"Y","N"),"N")</f>
        <v>N</v>
      </c>
      <c r="F15" s="113" t="str">
        <f>IF(E13="Y",IF((NPPSstart-DoB)/DoY&lt;55,"N","Y"),"N")</f>
        <v>N</v>
      </c>
    </row>
    <row r="16" spans="1:9">
      <c r="B16" s="1" t="s">
        <v>346</v>
      </c>
      <c r="C16" s="30"/>
      <c r="E16" s="113">
        <f>ROUNDUP((DJS-DoB)/DoY,0)</f>
        <v>0</v>
      </c>
      <c r="F16" s="113">
        <f>MIN(30,ROUNDDOWN(E12,0))</f>
        <v>30</v>
      </c>
    </row>
    <row r="17" spans="1:8">
      <c r="B17" s="1" t="s">
        <v>343</v>
      </c>
      <c r="C17" s="30"/>
      <c r="E17" s="113">
        <f>IF(E16&lt;26,Parameters!$I$60,IF(E16&gt;34,Parameters!$I$70,"N"))</f>
        <v>1.1666666666666667</v>
      </c>
      <c r="F17" s="113" t="str">
        <f>IF(F16&lt;21,Parameters!$I$70,"N")</f>
        <v>N</v>
      </c>
    </row>
    <row r="18" spans="1:8">
      <c r="B18" s="1" t="s">
        <v>342</v>
      </c>
      <c r="C18" s="30"/>
      <c r="E18" s="113">
        <f>IF(E15="Y",IF(E17="N",VLOOKUP(E16,Upliftunder55,3,FALSE),E17),1)</f>
        <v>1</v>
      </c>
      <c r="F18" s="113">
        <f>IF(F15="Y",IF(F17="N",VLOOKUP(F16,Uplift55andover,2,FALSE),F17),1)</f>
        <v>1</v>
      </c>
      <c r="H18" s="8"/>
    </row>
    <row r="19" spans="1:8">
      <c r="H19" s="8"/>
    </row>
    <row r="20" spans="1:8">
      <c r="B20" s="1" t="s">
        <v>223</v>
      </c>
      <c r="E20" s="81">
        <f>E12*E18*F18+NonUplifted</f>
        <v>112.25188227241615</v>
      </c>
      <c r="H20" s="30"/>
    </row>
    <row r="21" spans="1:8">
      <c r="B21" s="1"/>
      <c r="E21" s="81"/>
      <c r="F21" s="30"/>
    </row>
    <row r="22" spans="1:8">
      <c r="A22" s="84" t="s">
        <v>206</v>
      </c>
      <c r="B22" s="1"/>
      <c r="E22" s="81"/>
      <c r="F22" s="30"/>
    </row>
    <row r="23" spans="1:8">
      <c r="B23" s="1"/>
      <c r="E23" s="237" t="s">
        <v>216</v>
      </c>
      <c r="F23" s="237"/>
    </row>
    <row r="24" spans="1:8">
      <c r="B24" s="1"/>
      <c r="E24" s="83" t="s">
        <v>60</v>
      </c>
      <c r="F24" s="1" t="s">
        <v>61</v>
      </c>
      <c r="H24" s="1" t="s">
        <v>239</v>
      </c>
    </row>
    <row r="25" spans="1:8">
      <c r="B25" s="1" t="s">
        <v>190</v>
      </c>
      <c r="E25">
        <f ca="1">MAX(MIN(55,30-E20+E10,MAX(25-E20+E10,50)),ROUNDUP(E6,0))</f>
        <v>117</v>
      </c>
      <c r="F25" s="30">
        <f ca="1">MAX(55,ROUNDUP(E6,0))</f>
        <v>117</v>
      </c>
      <c r="H25">
        <f ca="1">IF(CurrentScheme="PPS",E25,F25)</f>
        <v>117</v>
      </c>
    </row>
    <row r="26" spans="1:8">
      <c r="B26" s="1" t="s">
        <v>202</v>
      </c>
      <c r="E26" s="8">
        <f ca="1">DoB+E25*DoY</f>
        <v>42734.25</v>
      </c>
      <c r="F26" s="8">
        <f ca="1">DoB+F25*DoY</f>
        <v>42734.25</v>
      </c>
      <c r="H26" s="8">
        <f ca="1">IF(CurrentScheme="PPS",E26,F26)</f>
        <v>42734.25</v>
      </c>
    </row>
    <row r="27" spans="1:8">
      <c r="B27" s="1" t="s">
        <v>220</v>
      </c>
      <c r="E27" s="8">
        <f>DoB+ChosenRA*DoY</f>
        <v>0</v>
      </c>
      <c r="F27" s="8">
        <f>E27</f>
        <v>0</v>
      </c>
      <c r="H27" s="8">
        <f>IF(CurrentScheme="PPS",E27,F27)</f>
        <v>0</v>
      </c>
    </row>
    <row r="28" spans="1:8">
      <c r="B28" s="1" t="s">
        <v>222</v>
      </c>
      <c r="E28" s="8">
        <f>DoB+60*DoY</f>
        <v>21915</v>
      </c>
      <c r="F28" s="8">
        <f>DoB+60*DoY</f>
        <v>21915</v>
      </c>
      <c r="H28" s="8">
        <f>IF(CurrentScheme="PPS",E28,F28)</f>
        <v>21915</v>
      </c>
    </row>
    <row r="29" spans="1:8">
      <c r="B29" s="1"/>
      <c r="E29" s="8"/>
      <c r="F29" s="8"/>
    </row>
    <row r="30" spans="1:8">
      <c r="A30" s="84" t="s">
        <v>205</v>
      </c>
      <c r="B30" s="1"/>
      <c r="E30" s="8"/>
      <c r="F30" s="8"/>
    </row>
    <row r="31" spans="1:8">
      <c r="B31" s="1"/>
      <c r="E31" s="81"/>
    </row>
    <row r="32" spans="1:8">
      <c r="B32" s="1" t="s">
        <v>444</v>
      </c>
      <c r="D32" s="1"/>
      <c r="E32" s="8">
        <f>(DATE(YEAR(DJS)-TVinYears,MONTH(DJS),DAY(DJS))-TVinDays)</f>
        <v>0</v>
      </c>
      <c r="H32" s="8">
        <f>IF(CurrentScheme="PPS",E32,F32)</f>
        <v>0</v>
      </c>
    </row>
    <row r="33" spans="1:9">
      <c r="B33" s="1"/>
      <c r="E33" s="81"/>
    </row>
    <row r="34" spans="1:9">
      <c r="B34" s="1" t="s">
        <v>186</v>
      </c>
      <c r="D34" s="1"/>
      <c r="E34" t="str">
        <f>IF(OR(E10&gt;=45,AND(E10&gt;=38,E20&gt;=20)),"Full",IF(OR(E10&lt;38-TaperSize,AND(E10&lt;45-TaperSize,E20&lt;20-TaperSize)),"None","Tapered"))</f>
        <v>Full</v>
      </c>
      <c r="F34" t="str">
        <f>IF(DJS&gt;ProtectDate,"None",IF(E10&gt;=45,"Full",IF(E10&lt;45-TaperSize,"None","Tapered")))</f>
        <v>Full</v>
      </c>
      <c r="H34" t="str">
        <f>IF(CurrentScheme="PPS",E34,F34)</f>
        <v>Full</v>
      </c>
    </row>
    <row r="35" spans="1:9">
      <c r="B35" s="1"/>
      <c r="D35" s="1"/>
    </row>
    <row r="36" spans="1:9">
      <c r="B36" s="1" t="s">
        <v>187</v>
      </c>
      <c r="D36" s="1"/>
      <c r="E36" t="str">
        <f>IF(E34="Tapered",IF(AND(E10&lt;38,E20&lt;20),"CornerTaper",IF(E20&gt;=20,"Age38Taper",IF(E10&lt;41,"Service20Taper",IF(E10-E20&lt;25,"Service20Taper","Age45Taper")))),"N/A")</f>
        <v>N/A</v>
      </c>
      <c r="F36" t="str">
        <f>IF(F34="Tapered","Age45Taper","N/A")</f>
        <v>N/A</v>
      </c>
      <c r="H36" t="str">
        <f>IF(CurrentScheme="PPS",E36,F36)</f>
        <v>N/A</v>
      </c>
    </row>
    <row r="37" spans="1:9">
      <c r="B37" s="1"/>
      <c r="D37" s="1"/>
    </row>
    <row r="38" spans="1:9">
      <c r="A38" s="179"/>
      <c r="B38" s="84" t="s">
        <v>456</v>
      </c>
      <c r="D38" s="1"/>
    </row>
    <row r="39" spans="1:9">
      <c r="A39" s="179"/>
      <c r="B39" s="1"/>
      <c r="D39" s="1"/>
    </row>
    <row r="40" spans="1:9">
      <c r="A40" s="179"/>
      <c r="C40" s="1" t="s">
        <v>289</v>
      </c>
      <c r="D40" s="1"/>
      <c r="E40" s="113" t="str">
        <f>IF(E36="CornerTaper",VLOOKUP(DoB,Age38Taper,3,TRUE)&amp;"&amp;"&amp;VLOOKUP(DoB,Age38Taper,4,TRUE),"N/A")</f>
        <v>N/A</v>
      </c>
      <c r="F40" s="113"/>
      <c r="G40" s="113"/>
      <c r="H40" s="113">
        <f>IF(CurrentScheme="PPS",E40,F40)</f>
        <v>0</v>
      </c>
      <c r="I40" s="30" t="s">
        <v>457</v>
      </c>
    </row>
    <row r="41" spans="1:9">
      <c r="A41" s="179"/>
      <c r="C41" s="1"/>
      <c r="D41" s="1"/>
    </row>
    <row r="42" spans="1:9">
      <c r="A42" s="179"/>
      <c r="C42" s="1" t="s">
        <v>264</v>
      </c>
      <c r="D42" s="1"/>
      <c r="E42" s="113" t="str">
        <f>IF(E36="CornerTaper",VLOOKUP(E32,Service20Taper,3,TRUE)&amp;"&amp;"&amp;VLOOKUP(E32,Service20Taper,4,TRUE),"N/A")</f>
        <v>N/A</v>
      </c>
      <c r="F42" s="113"/>
      <c r="G42" s="113"/>
      <c r="H42" s="113">
        <f>IF(CurrentScheme="PPS",E42,F42)</f>
        <v>0</v>
      </c>
      <c r="I42" s="30" t="s">
        <v>457</v>
      </c>
    </row>
    <row r="43" spans="1:9">
      <c r="A43" s="179"/>
      <c r="C43" s="1"/>
      <c r="D43" s="1"/>
    </row>
    <row r="44" spans="1:9">
      <c r="A44" s="179"/>
      <c r="C44" s="1" t="s">
        <v>68</v>
      </c>
      <c r="D44" s="1"/>
      <c r="E44" s="113" t="str">
        <f>IF(E36="CornerTaper",VLOOKUP(E42,CornerTaper,MATCH(" "&amp;E40&amp;" ",Tapers!$B$66:$AX$66,0),FALSE),"N/A")</f>
        <v>N/A</v>
      </c>
      <c r="F44" s="30" t="s">
        <v>472</v>
      </c>
      <c r="H44" s="113" t="str">
        <f>IF(CurrentScheme="PPS",E44,F44)</f>
        <v>n/a</v>
      </c>
    </row>
    <row r="45" spans="1:9">
      <c r="B45" s="1"/>
      <c r="D45" s="1"/>
    </row>
    <row r="46" spans="1:9">
      <c r="B46" s="1" t="s">
        <v>203</v>
      </c>
      <c r="C46" s="8"/>
      <c r="D46" s="1"/>
      <c r="E46" s="8" t="str">
        <f>IF(E34="None",NewSchDate-1,IF(E36="Service20Taper",VLOOKUP(E32,Service20Taper,8,TRUE),IF(E36="Age45Taper",VLOOKUP(DoB,Age45Taper,10,TRUE),IF(E36="Age38Taper",VLOOKUP(DoB,Age38Taper,8,TRUE),IF(E36="CornerTaper",NewSchDate-1+E44,"N/A")))))</f>
        <v>N/A</v>
      </c>
      <c r="F46" s="8" t="str">
        <f>IF(F34="None",NewSchDate-1,IF(F34="Full","N/A",VLOOKUP(DoB,Age45Taper,10,TRUE)))</f>
        <v>N/A</v>
      </c>
      <c r="H46" s="8" t="str">
        <f>IF(CurrentScheme="PPS",E46,F46)</f>
        <v>N/A</v>
      </c>
    </row>
    <row r="47" spans="1:9">
      <c r="B47" s="1"/>
      <c r="C47" s="8"/>
      <c r="D47" s="1"/>
    </row>
    <row r="48" spans="1:9">
      <c r="B48" s="1" t="s">
        <v>268</v>
      </c>
      <c r="C48" s="8"/>
      <c r="D48" s="1"/>
    </row>
    <row r="49" spans="1:8">
      <c r="A49" s="86" t="s">
        <v>225</v>
      </c>
      <c r="B49" s="1" t="s">
        <v>261</v>
      </c>
      <c r="C49" s="8"/>
      <c r="D49" s="1"/>
      <c r="E49" t="str">
        <f ca="1">IF(OR(E34="Full",E26&lt;E46),"",$E20+((E46-ProtectDate)/DoY))</f>
        <v/>
      </c>
      <c r="F49" t="str">
        <f ca="1">IF(OR(F34="Full",F26&lt;F46),"",$E20+((F46-ProtectDate)/DoY))</f>
        <v/>
      </c>
      <c r="H49" t="str">
        <f ca="1">IF(CurrentScheme="PPS",E49,F49)</f>
        <v/>
      </c>
    </row>
    <row r="50" spans="1:8">
      <c r="A50" s="86" t="s">
        <v>226</v>
      </c>
      <c r="B50" s="1" t="s">
        <v>262</v>
      </c>
      <c r="C50" s="8"/>
      <c r="D50" s="1"/>
      <c r="E50" t="str">
        <f>IF(OR(E34="Full",E27&lt;E46),"",$E20+((E46-ProtectDate)/DoY))</f>
        <v/>
      </c>
      <c r="F50" t="str">
        <f>IF(OR(F34="Full",F27&lt;F46),"",$E20+((F46-ProtectDate)/DoY))</f>
        <v/>
      </c>
      <c r="H50" t="str">
        <f>IF(CurrentScheme="PPS",E50,F50)</f>
        <v/>
      </c>
    </row>
    <row r="51" spans="1:8">
      <c r="A51" s="86" t="s">
        <v>227</v>
      </c>
      <c r="B51" s="1" t="s">
        <v>263</v>
      </c>
      <c r="C51" s="8"/>
      <c r="D51" s="1"/>
      <c r="E51" t="str">
        <f>IF(OR(E34="Full",E28&lt;E46),"",$E20+((E46-ProtectDate)/DoY))</f>
        <v/>
      </c>
      <c r="F51" t="str">
        <f>IF(OR(F34="Full",F28&lt;F46),"",$E20+((F46-ProtectDate)/DoY))</f>
        <v/>
      </c>
      <c r="H51" t="str">
        <f>IF(CurrentScheme="PPS",E51,F51)</f>
        <v/>
      </c>
    </row>
    <row r="52" spans="1:8">
      <c r="A52" s="86"/>
      <c r="B52" s="1"/>
      <c r="C52" s="8"/>
      <c r="D52" s="1"/>
    </row>
    <row r="53" spans="1:8">
      <c r="A53" s="86"/>
      <c r="B53" s="1" t="s">
        <v>269</v>
      </c>
      <c r="C53" s="8"/>
      <c r="D53" s="1"/>
    </row>
    <row r="54" spans="1:8">
      <c r="A54" s="86" t="s">
        <v>228</v>
      </c>
      <c r="B54" s="1" t="s">
        <v>261</v>
      </c>
      <c r="C54" s="8"/>
      <c r="D54" s="1"/>
      <c r="E54">
        <f ca="1">IF(E34="Full",E25-$E10+$E20,IF(E26&lt;E46,(E26-ProtectDate)/DoY+$E20,""))</f>
        <v>117</v>
      </c>
      <c r="F54">
        <f ca="1">IF(F34="Full",F25-$E10+$E20,IF(F26&lt;F46,(F26-ProtectDate)/DoY+$E20,""))</f>
        <v>117</v>
      </c>
      <c r="H54">
        <f ca="1">IF(CurrentScheme="PPS",E54,F54)</f>
        <v>117</v>
      </c>
    </row>
    <row r="55" spans="1:8">
      <c r="A55" s="86" t="s">
        <v>231</v>
      </c>
      <c r="B55" s="1" t="s">
        <v>262</v>
      </c>
      <c r="C55" s="8"/>
      <c r="D55" s="1"/>
      <c r="E55">
        <f>IF(E34="Full",ChosenRA-$E10+$E20,IF(E27&lt;E46,(E27-ProtectDate)/DoY+$E20,""))</f>
        <v>0</v>
      </c>
      <c r="F55">
        <f>IF(F34="Full",ChosenRA-$E10+$E20,IF(F27&lt;F46,(F27-ProtectDate)/DoY+$E20,""))</f>
        <v>0</v>
      </c>
      <c r="H55">
        <f>IF(CurrentScheme="PPS",E55,F55)</f>
        <v>0</v>
      </c>
    </row>
    <row r="56" spans="1:8">
      <c r="A56" s="86" t="s">
        <v>232</v>
      </c>
      <c r="B56" s="1" t="s">
        <v>263</v>
      </c>
      <c r="C56" s="8"/>
      <c r="D56" s="1"/>
      <c r="E56">
        <f>IF(E34="Full",60-$E10+$E20,IF(E28&lt;E46,(E28-ProtectDate)/DoY+$E20,""))</f>
        <v>60</v>
      </c>
      <c r="F56">
        <f>IF(F34="Full",60-$E10+$E20,IF(F28&lt;F46,(F28-ProtectDate)/DoY+$E20,""))</f>
        <v>60</v>
      </c>
      <c r="H56">
        <f>IF(CurrentScheme="PPS",E56,F56)</f>
        <v>60</v>
      </c>
    </row>
    <row r="57" spans="1:8">
      <c r="A57" s="86"/>
      <c r="B57" s="1"/>
      <c r="C57" s="8"/>
      <c r="D57" s="1"/>
    </row>
    <row r="58" spans="1:8">
      <c r="A58" s="86"/>
      <c r="B58" s="1" t="s">
        <v>271</v>
      </c>
      <c r="C58" s="8"/>
      <c r="D58" s="1"/>
    </row>
    <row r="59" spans="1:8">
      <c r="A59" s="86" t="s">
        <v>234</v>
      </c>
      <c r="B59" s="1" t="s">
        <v>261</v>
      </c>
      <c r="C59" s="8"/>
      <c r="D59" s="1"/>
      <c r="E59">
        <f t="shared" ref="E59:F61" ca="1" si="0">IF(E49="",E54,E49)</f>
        <v>117</v>
      </c>
      <c r="F59">
        <f t="shared" ca="1" si="0"/>
        <v>117</v>
      </c>
      <c r="H59">
        <f ca="1">IF(CurrentScheme="PPS",E59,F59)</f>
        <v>117</v>
      </c>
    </row>
    <row r="60" spans="1:8">
      <c r="A60" s="86" t="s">
        <v>235</v>
      </c>
      <c r="B60" s="1" t="s">
        <v>262</v>
      </c>
      <c r="C60" s="8"/>
      <c r="D60" s="1"/>
      <c r="E60">
        <f t="shared" si="0"/>
        <v>0</v>
      </c>
      <c r="F60">
        <f t="shared" si="0"/>
        <v>0</v>
      </c>
      <c r="H60">
        <f>IF(CurrentScheme="PPS",E60,F60)</f>
        <v>0</v>
      </c>
    </row>
    <row r="61" spans="1:8">
      <c r="A61" s="86" t="s">
        <v>236</v>
      </c>
      <c r="B61" s="1" t="s">
        <v>263</v>
      </c>
      <c r="C61" s="8"/>
      <c r="D61" s="1"/>
      <c r="E61">
        <f t="shared" si="0"/>
        <v>60</v>
      </c>
      <c r="F61">
        <f t="shared" si="0"/>
        <v>60</v>
      </c>
      <c r="H61">
        <f>IF(CurrentScheme="PPS",E61,F61)</f>
        <v>60</v>
      </c>
    </row>
    <row r="62" spans="1:8">
      <c r="A62" s="86"/>
      <c r="B62" s="1"/>
      <c r="C62" s="8"/>
      <c r="D62" s="1"/>
    </row>
    <row r="63" spans="1:8">
      <c r="A63" s="86"/>
      <c r="B63" s="1" t="s">
        <v>270</v>
      </c>
      <c r="C63" s="8"/>
      <c r="D63" s="1"/>
    </row>
    <row r="64" spans="1:8">
      <c r="A64" s="86" t="s">
        <v>241</v>
      </c>
      <c r="B64" s="1" t="s">
        <v>261</v>
      </c>
      <c r="C64" s="8"/>
      <c r="D64" s="1"/>
      <c r="E64">
        <f ca="1">E25-$E10+$E20</f>
        <v>117</v>
      </c>
      <c r="F64">
        <f ca="1">F25-$E10+$E20</f>
        <v>117</v>
      </c>
      <c r="H64">
        <f ca="1">IF(CurrentScheme="PPS",E64,F64)</f>
        <v>117</v>
      </c>
    </row>
    <row r="65" spans="1:10">
      <c r="A65" s="86" t="s">
        <v>242</v>
      </c>
      <c r="B65" s="1" t="s">
        <v>262</v>
      </c>
      <c r="C65" s="8"/>
      <c r="D65" s="1"/>
      <c r="E65">
        <f>ChosenRA-$E10+$E20</f>
        <v>0</v>
      </c>
      <c r="F65">
        <f>E65</f>
        <v>0</v>
      </c>
      <c r="H65">
        <f>IF(CurrentScheme="PPS",E65,F65)</f>
        <v>0</v>
      </c>
    </row>
    <row r="66" spans="1:10">
      <c r="A66" s="86" t="s">
        <v>243</v>
      </c>
      <c r="B66" s="1" t="s">
        <v>263</v>
      </c>
      <c r="C66" s="8"/>
      <c r="D66" s="1"/>
      <c r="E66">
        <f>60-$E10+$E20</f>
        <v>60</v>
      </c>
      <c r="F66">
        <f>E66</f>
        <v>60</v>
      </c>
      <c r="H66">
        <f>IF(CurrentScheme="PPS",E66,F66)</f>
        <v>60</v>
      </c>
    </row>
    <row r="67" spans="1:10">
      <c r="B67" s="1"/>
      <c r="C67" s="8"/>
      <c r="D67" s="1"/>
    </row>
    <row r="68" spans="1:10">
      <c r="A68" s="84" t="s">
        <v>207</v>
      </c>
      <c r="B68" s="1"/>
      <c r="C68" s="8"/>
      <c r="D68" s="1"/>
    </row>
    <row r="69" spans="1:10">
      <c r="A69" s="84"/>
      <c r="B69" s="1"/>
      <c r="C69" s="8"/>
      <c r="D69" s="1"/>
      <c r="J69" s="102"/>
    </row>
    <row r="70" spans="1:10">
      <c r="B70" s="1" t="s">
        <v>276</v>
      </c>
      <c r="C70" s="8"/>
      <c r="D70" s="1"/>
      <c r="J70" s="102"/>
    </row>
    <row r="71" spans="1:10">
      <c r="B71" s="1" t="s">
        <v>188</v>
      </c>
      <c r="C71" s="8"/>
      <c r="D71" s="1"/>
      <c r="E71" s="87">
        <f ca="1">IF(E59="",0,IF(E64&lt;20,Acc_PPS,IF(E64&lt;30,(20+2*(E64-20))/E64*Acc_PPS,1/45))*CurrentSal*E59)</f>
        <v>0</v>
      </c>
      <c r="F71" s="87">
        <f ca="1">IF(F59="",0,F59*CurrentSal*Acc_NPPS)</f>
        <v>0</v>
      </c>
      <c r="H71">
        <f ca="1">IF(CurrentScheme="PPS",E71,F71)</f>
        <v>0</v>
      </c>
      <c r="J71" s="102" t="e">
        <f ca="1">1/(E71/CurrentSal/E59)</f>
        <v>#DIV/0!</v>
      </c>
    </row>
    <row r="72" spans="1:10">
      <c r="B72" s="1" t="s">
        <v>189</v>
      </c>
      <c r="C72" s="8"/>
      <c r="D72" s="1"/>
      <c r="E72" s="87"/>
      <c r="F72" s="87">
        <f ca="1">IF(ISERROR(4*F71),0,4*F71)</f>
        <v>0</v>
      </c>
      <c r="H72">
        <f ca="1">IF(CurrentScheme="PPS",E72,F72)</f>
        <v>0</v>
      </c>
      <c r="J72" s="102"/>
    </row>
    <row r="73" spans="1:10">
      <c r="B73" s="1"/>
      <c r="C73" s="8"/>
      <c r="D73" s="1"/>
      <c r="E73" s="87"/>
      <c r="F73" s="87"/>
      <c r="J73" s="102"/>
    </row>
    <row r="74" spans="1:10">
      <c r="B74" s="1" t="s">
        <v>277</v>
      </c>
      <c r="C74" s="8"/>
      <c r="D74" s="1"/>
      <c r="E74" s="87"/>
      <c r="F74" s="87"/>
      <c r="J74" s="102"/>
    </row>
    <row r="75" spans="1:10">
      <c r="B75" s="1" t="s">
        <v>188</v>
      </c>
      <c r="C75" s="8"/>
      <c r="D75" s="1"/>
      <c r="E75" s="87">
        <f>IF(E60="",0,IF(E65&lt;20,Acc_PPS,IF(E65&lt;30,(20+2*(E65-20))/E65*Acc_PPS,1/45))*CurrentSal*E60)</f>
        <v>0</v>
      </c>
      <c r="F75" s="87">
        <f>IF(F60="",0,F60*CurrentSal*Acc_NPPS)</f>
        <v>0</v>
      </c>
      <c r="H75">
        <f>IF(CurrentScheme="PPS",E75,F75)</f>
        <v>0</v>
      </c>
      <c r="J75" s="102" t="e">
        <f>1/(E75/CurrentSal/E60)</f>
        <v>#DIV/0!</v>
      </c>
    </row>
    <row r="76" spans="1:10">
      <c r="B76" s="1" t="s">
        <v>189</v>
      </c>
      <c r="C76" s="8"/>
      <c r="D76" s="1"/>
      <c r="E76" s="87"/>
      <c r="F76" s="87">
        <f>IF(ISERROR(4*F75),0,4*F75)</f>
        <v>0</v>
      </c>
      <c r="H76">
        <f>IF(CurrentScheme="PPS",E76,F76)</f>
        <v>0</v>
      </c>
      <c r="J76" s="102"/>
    </row>
    <row r="77" spans="1:10">
      <c r="B77" s="1"/>
      <c r="C77" s="8"/>
      <c r="D77" s="1"/>
      <c r="E77" s="87"/>
      <c r="F77" s="87"/>
      <c r="J77" s="102"/>
    </row>
    <row r="78" spans="1:10">
      <c r="B78" s="1" t="s">
        <v>278</v>
      </c>
      <c r="C78" s="8"/>
      <c r="D78" s="1"/>
      <c r="E78" s="87"/>
      <c r="F78" s="87"/>
      <c r="J78" s="102"/>
    </row>
    <row r="79" spans="1:10">
      <c r="B79" s="1" t="s">
        <v>188</v>
      </c>
      <c r="C79" s="8"/>
      <c r="D79" s="1"/>
      <c r="E79" s="87">
        <f>IF(E61="",0,IF(E66&lt;20,Acc_PPS,IF(E66&lt;30,(20+2*(E66-20))/E66*Acc_PPS,1/45))*CurrentSal*E61)</f>
        <v>0</v>
      </c>
      <c r="F79" s="87">
        <f>IF(F61="",0,F61*CurrentSal*Acc_NPPS)</f>
        <v>0</v>
      </c>
      <c r="H79">
        <f>IF(CurrentScheme="PPS",E79,F79)</f>
        <v>0</v>
      </c>
      <c r="J79" s="102" t="e">
        <f>1/(E79/CurrentSal/E61)</f>
        <v>#DIV/0!</v>
      </c>
    </row>
    <row r="80" spans="1:10">
      <c r="B80" s="1" t="s">
        <v>189</v>
      </c>
      <c r="C80" s="8"/>
      <c r="D80" s="1"/>
      <c r="E80" s="87"/>
      <c r="F80" s="87">
        <f>IF(ISERROR(4*F79),0,4*F79)</f>
        <v>0</v>
      </c>
      <c r="H80">
        <f>IF(CurrentScheme="PPS",E80,F80)</f>
        <v>0</v>
      </c>
      <c r="J80" s="102"/>
    </row>
    <row r="81" spans="1:10">
      <c r="B81" s="1"/>
      <c r="C81" s="8"/>
      <c r="D81" s="1"/>
      <c r="E81" s="87"/>
      <c r="F81" s="87"/>
      <c r="J81" s="102"/>
    </row>
    <row r="82" spans="1:10">
      <c r="A82" s="84" t="s">
        <v>272</v>
      </c>
      <c r="C82" s="8"/>
      <c r="D82" s="1"/>
      <c r="E82" s="87"/>
      <c r="F82" s="87"/>
      <c r="J82" s="102"/>
    </row>
    <row r="83" spans="1:10">
      <c r="A83" s="1"/>
      <c r="C83" s="8"/>
      <c r="D83" s="1"/>
      <c r="E83" s="87"/>
      <c r="F83" s="87"/>
      <c r="J83" s="102"/>
    </row>
    <row r="84" spans="1:10">
      <c r="B84" s="1" t="s">
        <v>275</v>
      </c>
      <c r="J84" s="102"/>
    </row>
    <row r="85" spans="1:10">
      <c r="B85" s="1" t="s">
        <v>188</v>
      </c>
      <c r="E85">
        <f ca="1">IF(E64="",0,IF(E64&lt;20,E64,(20+2*(E64-20)))*CurrentSal*Acc_PPS)</f>
        <v>0</v>
      </c>
      <c r="F85">
        <f ca="1">IF(F64="",0,F64*CurrentSal*Acc_NPPS)</f>
        <v>0</v>
      </c>
      <c r="H85">
        <f ca="1">IF(CurrentScheme="PPS",E85,F85)</f>
        <v>0</v>
      </c>
      <c r="J85" s="102" t="e">
        <f ca="1">1/(E85/CurrentSal/MIN(E64,30))</f>
        <v>#DIV/0!</v>
      </c>
    </row>
    <row r="86" spans="1:10">
      <c r="B86" s="1" t="s">
        <v>189</v>
      </c>
      <c r="F86" s="87">
        <f ca="1">IF(ISERROR(4*F85),0,4*F85)</f>
        <v>0</v>
      </c>
      <c r="H86">
        <f ca="1">IF(CurrentScheme="PPS",E86,F86)</f>
        <v>0</v>
      </c>
      <c r="J86" s="102"/>
    </row>
    <row r="87" spans="1:10">
      <c r="J87" s="102"/>
    </row>
    <row r="88" spans="1:10">
      <c r="B88" s="1" t="s">
        <v>273</v>
      </c>
      <c r="J88" s="102"/>
    </row>
    <row r="89" spans="1:10">
      <c r="B89" s="1" t="s">
        <v>188</v>
      </c>
      <c r="E89">
        <f>IF(E65="",0,IF(E65&lt;20,E65,(20+2*(E65-20)))*CurrentSal*Acc_PPS)</f>
        <v>0</v>
      </c>
      <c r="F89">
        <f>IF(F65="",0,F65*CurrentSal*Acc_NPPS)</f>
        <v>0</v>
      </c>
      <c r="H89">
        <f>IF(CurrentScheme="PPS",E89,F89)</f>
        <v>0</v>
      </c>
      <c r="J89" s="102" t="e">
        <f>1/(E89/CurrentSal/MIN(E65,30))</f>
        <v>#DIV/0!</v>
      </c>
    </row>
    <row r="90" spans="1:10">
      <c r="B90" s="1" t="s">
        <v>189</v>
      </c>
      <c r="F90" s="87">
        <f>IF(ISERROR(4*F89),0,4*F89)</f>
        <v>0</v>
      </c>
      <c r="H90">
        <f>IF(CurrentScheme="PPS",E90,F90)</f>
        <v>0</v>
      </c>
      <c r="J90" s="102"/>
    </row>
    <row r="91" spans="1:10">
      <c r="J91" s="102"/>
    </row>
    <row r="92" spans="1:10">
      <c r="B92" s="1" t="s">
        <v>274</v>
      </c>
      <c r="J92" s="102"/>
    </row>
    <row r="93" spans="1:10">
      <c r="B93" s="1" t="s">
        <v>188</v>
      </c>
      <c r="E93">
        <f>IF(E66="",0,IF(E66&lt;20,E66,(20+2*(E66-20)))*CurrentSal*Acc_PPS)</f>
        <v>0</v>
      </c>
      <c r="F93">
        <f>IF(F66="",0,MIN(35,F66)*CurrentSal*Acc_NPPS)</f>
        <v>0</v>
      </c>
      <c r="H93">
        <f>IF(CurrentScheme="PPS",E93,F93)</f>
        <v>0</v>
      </c>
      <c r="J93" s="102" t="e">
        <f>1/(E93/CurrentSal/MIN(E66,30))</f>
        <v>#DIV/0!</v>
      </c>
    </row>
    <row r="94" spans="1:10">
      <c r="B94" s="1" t="s">
        <v>189</v>
      </c>
      <c r="F94" s="87">
        <f>IF(ISERROR(4*F93),0,4*F93)</f>
        <v>0</v>
      </c>
      <c r="H94">
        <f>IF(CurrentScheme="PPS",E94,F94)</f>
        <v>0</v>
      </c>
      <c r="J94" s="102"/>
    </row>
  </sheetData>
  <mergeCells count="1">
    <mergeCell ref="E23:F23"/>
  </mergeCells>
  <phoneticPr fontId="41" type="noConversion"/>
  <pageMargins left="0.70866141732283472" right="0.70866141732283472" top="0.74803149606299213" bottom="0.74803149606299213" header="0.31496062992125984" footer="0.31496062992125984"/>
  <pageSetup paperSize="9" scale="60" orientation="portrait" r:id="rId1"/>
  <headerFooter>
    <oddHeader>&amp;CPROTECT - SCHEME MANAGEMENT&amp;L_x000D_&amp;Z&amp;F  [&amp;A]</oddHeader>
    <oddFooter>&amp;LPage &amp;P of &amp;N&amp;R&amp;T &amp;D</oddFooter>
  </headerFooter>
  <legacyDrawing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I54"/>
  <sheetViews>
    <sheetView workbookViewId="0">
      <selection activeCell="B43" sqref="B43:M43"/>
    </sheetView>
  </sheetViews>
  <sheetFormatPr defaultRowHeight="12.75"/>
  <cols>
    <col min="2" max="2" width="26.7109375" bestFit="1" customWidth="1"/>
    <col min="3" max="3" width="19.7109375" bestFit="1" customWidth="1"/>
    <col min="5" max="5" width="12.42578125" bestFit="1" customWidth="1"/>
    <col min="6" max="6" width="12" customWidth="1"/>
    <col min="8" max="8" width="10.28515625" bestFit="1" customWidth="1"/>
  </cols>
  <sheetData>
    <row r="1" spans="1:9" ht="20.25">
      <c r="A1" s="13" t="s">
        <v>19</v>
      </c>
      <c r="B1" s="12"/>
      <c r="C1" s="12"/>
      <c r="D1" s="12"/>
      <c r="E1" s="12"/>
      <c r="F1" s="12"/>
      <c r="G1" s="12"/>
      <c r="H1" s="12"/>
      <c r="I1" s="12"/>
    </row>
    <row r="2" spans="1:9" ht="15.75">
      <c r="A2" s="28" t="str">
        <f>IF(title="&gt; Enter workbook title here","Enter workbook title in Cover sheet",title)</f>
        <v>Police Scheme Reform Pension calculator</v>
      </c>
      <c r="B2" s="11"/>
      <c r="C2" s="11"/>
      <c r="D2" s="11"/>
      <c r="E2" s="11"/>
      <c r="F2" s="11"/>
      <c r="G2" s="11"/>
      <c r="H2" s="11"/>
      <c r="I2" s="11"/>
    </row>
    <row r="3" spans="1:9" ht="15.75">
      <c r="A3" s="14" t="s">
        <v>199</v>
      </c>
      <c r="B3" s="11"/>
      <c r="C3" s="11"/>
      <c r="D3" s="11"/>
      <c r="E3" s="11"/>
      <c r="F3" s="11"/>
      <c r="G3" s="11"/>
      <c r="H3" s="11"/>
      <c r="I3" s="11"/>
    </row>
    <row r="4" spans="1:9">
      <c r="A4" s="7" t="str">
        <f ca="1">CELL("filename",A1)</f>
        <v>G:\My Documents\[Pension_calculator_v5_0.xlsx]CARE calcs</v>
      </c>
    </row>
    <row r="6" spans="1:9">
      <c r="B6" s="1" t="s">
        <v>191</v>
      </c>
      <c r="C6" s="1"/>
      <c r="D6" s="1"/>
      <c r="E6" s="30" t="e">
        <f>VLOOKUP(DoB,Parameters!D45:F48,3,TRUE)</f>
        <v>#N/A</v>
      </c>
    </row>
    <row r="7" spans="1:9">
      <c r="B7" s="1"/>
      <c r="C7" s="1"/>
      <c r="D7" s="1"/>
      <c r="E7" s="30"/>
    </row>
    <row r="8" spans="1:9">
      <c r="A8" s="84" t="s">
        <v>205</v>
      </c>
      <c r="B8" s="1"/>
      <c r="C8" s="1"/>
      <c r="D8" s="1"/>
      <c r="E8" s="30"/>
    </row>
    <row r="9" spans="1:9">
      <c r="E9" s="238" t="s">
        <v>215</v>
      </c>
      <c r="F9" s="238"/>
    </row>
    <row r="10" spans="1:9">
      <c r="E10" s="1" t="s">
        <v>60</v>
      </c>
      <c r="F10" s="1" t="s">
        <v>61</v>
      </c>
      <c r="G10" s="1"/>
      <c r="H10" s="1" t="s">
        <v>239</v>
      </c>
    </row>
    <row r="11" spans="1:9">
      <c r="B11" s="1" t="s">
        <v>219</v>
      </c>
      <c r="E11" s="1"/>
      <c r="F11" s="1"/>
      <c r="G11" s="1"/>
    </row>
    <row r="12" spans="1:9">
      <c r="B12" s="1"/>
      <c r="C12" s="1" t="s">
        <v>208</v>
      </c>
      <c r="E12" s="85">
        <f ca="1">'PPS and NPPS calcs'!E25</f>
        <v>117</v>
      </c>
      <c r="F12" s="85">
        <f ca="1">'PPS and NPPS calcs'!F25</f>
        <v>117</v>
      </c>
      <c r="G12" s="1"/>
      <c r="H12" s="81">
        <f ca="1">IF(CurrentScheme="PPS",E12,F12)</f>
        <v>117</v>
      </c>
    </row>
    <row r="13" spans="1:9">
      <c r="B13" s="1"/>
      <c r="C13" s="1" t="s">
        <v>209</v>
      </c>
      <c r="E13" s="85">
        <f>ChosenRA</f>
        <v>0</v>
      </c>
      <c r="F13" s="85">
        <f>ChosenRA</f>
        <v>0</v>
      </c>
      <c r="G13" s="1"/>
      <c r="H13" s="81">
        <f>IF(CurrentScheme="PPS",E13,F13)</f>
        <v>0</v>
      </c>
    </row>
    <row r="14" spans="1:9">
      <c r="B14" s="1"/>
      <c r="C14" s="1" t="s">
        <v>221</v>
      </c>
      <c r="E14" s="34">
        <v>60</v>
      </c>
      <c r="F14" s="34">
        <v>60</v>
      </c>
      <c r="G14" s="1"/>
      <c r="H14" s="81">
        <f>IF(CurrentScheme="PPS",E14,F14)</f>
        <v>60</v>
      </c>
    </row>
    <row r="15" spans="1:9">
      <c r="E15" s="1"/>
      <c r="F15" s="1"/>
      <c r="G15" s="1"/>
      <c r="H15" s="81"/>
    </row>
    <row r="16" spans="1:9">
      <c r="B16" s="1" t="s">
        <v>218</v>
      </c>
      <c r="E16" s="1"/>
      <c r="F16" s="1"/>
      <c r="G16" s="1"/>
      <c r="H16" s="81"/>
    </row>
    <row r="17" spans="1:8">
      <c r="C17" s="1" t="s">
        <v>210</v>
      </c>
      <c r="E17" s="85">
        <f ca="1">IF('PPS and NPPS calcs'!E49="",0,IF(ISERROR(('PPS and NPPS calcs'!E26-'PPS and NPPS calcs'!E46)/DoY),0,('PPS and NPPS calcs'!E26-'PPS and NPPS calcs'!E46)/DoY))</f>
        <v>0</v>
      </c>
      <c r="F17" s="85">
        <f ca="1">IF('PPS and NPPS calcs'!F49="",0,IF(ISERROR(('PPS and NPPS calcs'!F26-'PPS and NPPS calcs'!F46)/DoY),0,('PPS and NPPS calcs'!F26-'PPS and NPPS calcs'!F46)/DoY))</f>
        <v>0</v>
      </c>
      <c r="H17" s="81">
        <f ca="1">IF(CurrentScheme="PPS",E17,F17)</f>
        <v>0</v>
      </c>
    </row>
    <row r="18" spans="1:8">
      <c r="C18" s="1" t="s">
        <v>211</v>
      </c>
      <c r="E18" s="85">
        <f>IF('PPS and NPPS calcs'!E50="",0,IF(ISERROR(('PPS and NPPS calcs'!E27-'PPS and NPPS calcs'!E46)/DoY),0,('PPS and NPPS calcs'!E27-'PPS and NPPS calcs'!E46)/DoY))</f>
        <v>0</v>
      </c>
      <c r="F18" s="85">
        <f>IF('PPS and NPPS calcs'!F50="",0,IF(ISERROR(('PPS and NPPS calcs'!F27-'PPS and NPPS calcs'!F46)/DoY),0,('PPS and NPPS calcs'!F27-'PPS and NPPS calcs'!F46)/DoY))</f>
        <v>0</v>
      </c>
      <c r="H18" s="81">
        <f>IF(CurrentScheme="PPS",E18,F18)</f>
        <v>0</v>
      </c>
    </row>
    <row r="19" spans="1:8">
      <c r="C19" s="1" t="s">
        <v>221</v>
      </c>
      <c r="E19" s="85">
        <f>IF('PPS and NPPS calcs'!E51="",0,IF(ISERROR(('PPS and NPPS calcs'!E28-'PPS and NPPS calcs'!E46)/DoY),0,('PPS and NPPS calcs'!E28-'PPS and NPPS calcs'!E46)/DoY))</f>
        <v>0</v>
      </c>
      <c r="F19" s="85">
        <f>IF('PPS and NPPS calcs'!F51="",0,IF(ISERROR(('PPS and NPPS calcs'!F28-'PPS and NPPS calcs'!F46)/DoY),0,('PPS and NPPS calcs'!F28-'PPS and NPPS calcs'!F46)/DoY))</f>
        <v>0</v>
      </c>
      <c r="H19" s="81">
        <f>IF(CurrentScheme="PPS",E19,F19)</f>
        <v>0</v>
      </c>
    </row>
    <row r="20" spans="1:8">
      <c r="C20" s="1" t="s">
        <v>191</v>
      </c>
      <c r="E20">
        <f>IF(ISERROR(($E$6*DoY+DoB-'PPS and NPPS calcs'!E46)/DoY),0,($E$6*DoY+DoB-'PPS and NPPS calcs'!E46)/DoY)</f>
        <v>0</v>
      </c>
      <c r="F20">
        <f>IF(ISERROR(($E$6*DoY+DoB-'PPS and NPPS calcs'!F46)/DoY),0,($E$6*DoY+DoB-'PPS and NPPS calcs'!F46)/DoY)</f>
        <v>0</v>
      </c>
      <c r="H20" s="81">
        <f>IF(CurrentScheme="PPS",E20,F20)</f>
        <v>0</v>
      </c>
    </row>
    <row r="21" spans="1:8">
      <c r="H21" s="81"/>
    </row>
    <row r="22" spans="1:8">
      <c r="A22" s="84" t="s">
        <v>212</v>
      </c>
      <c r="B22" s="1"/>
      <c r="C22" s="8"/>
      <c r="D22" s="1"/>
      <c r="H22" s="81"/>
    </row>
    <row r="23" spans="1:8">
      <c r="H23" s="81"/>
    </row>
    <row r="24" spans="1:8">
      <c r="B24" s="1" t="s">
        <v>250</v>
      </c>
      <c r="H24" s="81"/>
    </row>
    <row r="25" spans="1:8">
      <c r="B25" s="30" t="s">
        <v>213</v>
      </c>
      <c r="E25" s="87">
        <f ca="1">INT(E17)</f>
        <v>0</v>
      </c>
      <c r="F25" s="87">
        <f ca="1">INT(F17)</f>
        <v>0</v>
      </c>
      <c r="H25" s="81"/>
    </row>
    <row r="26" spans="1:8">
      <c r="B26" s="30" t="s">
        <v>214</v>
      </c>
      <c r="E26" s="87">
        <f ca="1">E17-INT(E17)</f>
        <v>0</v>
      </c>
      <c r="F26" s="87">
        <f ca="1">F17-INT(F17)</f>
        <v>0</v>
      </c>
      <c r="H26" s="81"/>
    </row>
    <row r="27" spans="1:8">
      <c r="B27" s="1" t="s">
        <v>245</v>
      </c>
      <c r="E27" s="87">
        <f ca="1">CurrentSal*Acc_CARE*((1-1/(1.01^E25))/(1-1/1.01)*(1/1.01^E26)+E26)</f>
        <v>0</v>
      </c>
      <c r="F27" s="87">
        <f ca="1">CurrentSal*Acc_CARE*((1-1/(1.01^F25))/(1-1/1.01)*(1/1.01^F26)+F26)</f>
        <v>0</v>
      </c>
      <c r="H27" s="81">
        <f ca="1">IF(CurrentScheme="PPS",E27,F27)</f>
        <v>0</v>
      </c>
    </row>
    <row r="28" spans="1:8">
      <c r="B28" s="1" t="s">
        <v>246</v>
      </c>
      <c r="E28" s="87">
        <f ca="1">E27*IF(E12&lt;55,0,IF(E12&lt;60,ERFfactor^(E12-60),LRFfactor^(E12-60)))</f>
        <v>0</v>
      </c>
      <c r="F28" s="87">
        <f ca="1">F27*IF(F12&lt;55,0,IF(F12&lt;60,ERFfactor^(F12-60),LRFfactor^(F12-60)))</f>
        <v>0</v>
      </c>
      <c r="H28" s="81">
        <f ca="1">IF(CurrentScheme="PPS",E28,F28)</f>
        <v>0</v>
      </c>
    </row>
    <row r="29" spans="1:8">
      <c r="E29" s="87"/>
      <c r="F29" s="87"/>
      <c r="H29" s="81"/>
    </row>
    <row r="30" spans="1:8">
      <c r="B30" s="1" t="s">
        <v>251</v>
      </c>
      <c r="E30" s="87"/>
      <c r="F30" s="87"/>
      <c r="H30" s="81"/>
    </row>
    <row r="31" spans="1:8">
      <c r="B31" s="30" t="s">
        <v>213</v>
      </c>
      <c r="E31" s="87">
        <f>INT(E18)</f>
        <v>0</v>
      </c>
      <c r="F31" s="87">
        <f>INT(F18)</f>
        <v>0</v>
      </c>
      <c r="H31" s="81"/>
    </row>
    <row r="32" spans="1:8">
      <c r="B32" s="30" t="s">
        <v>214</v>
      </c>
      <c r="E32" s="87">
        <f>E18-INT(E18)</f>
        <v>0</v>
      </c>
      <c r="F32" s="87">
        <f>F18-INT(F18)</f>
        <v>0</v>
      </c>
      <c r="H32" s="81"/>
    </row>
    <row r="33" spans="2:8">
      <c r="B33" s="1" t="s">
        <v>245</v>
      </c>
      <c r="E33" s="87">
        <f>CurrentSal*Acc_CARE*((1-1/(1.01^E31))/(1-1/1.01)*(1/1.01^E32)+E32)</f>
        <v>0</v>
      </c>
      <c r="F33" s="87">
        <f>CurrentSal*Acc_CARE*((1-1/(1.01^F31))/(1-1/1.01)*(1/1.01^F32)+F32)</f>
        <v>0</v>
      </c>
      <c r="H33" s="81">
        <f>IF(CurrentScheme="PPS",E33,F33)</f>
        <v>0</v>
      </c>
    </row>
    <row r="34" spans="2:8">
      <c r="B34" s="1" t="s">
        <v>246</v>
      </c>
      <c r="E34" s="87">
        <f>+E33*IF(E13&lt;55,0,IF(E13&lt;60,ERFfactor^(E13-60),LRFfactor^(E13-60)))</f>
        <v>0</v>
      </c>
      <c r="F34" s="87">
        <f>+F33*IF(F13&lt;55,0,IF(F13&lt;60,ERFfactor^(F13-60),LRFfactor^(F13-60)))</f>
        <v>0</v>
      </c>
      <c r="H34" s="81">
        <f>IF(CurrentScheme="PPS",E34,F34)</f>
        <v>0</v>
      </c>
    </row>
    <row r="35" spans="2:8">
      <c r="E35" s="87"/>
      <c r="F35" s="87"/>
      <c r="H35" s="81"/>
    </row>
    <row r="36" spans="2:8">
      <c r="B36" s="1" t="s">
        <v>293</v>
      </c>
      <c r="E36" s="87"/>
      <c r="F36" s="87"/>
      <c r="H36" s="81"/>
    </row>
    <row r="37" spans="2:8">
      <c r="B37" s="30" t="s">
        <v>213</v>
      </c>
      <c r="E37" s="87">
        <f>INT(E19)</f>
        <v>0</v>
      </c>
      <c r="F37" s="87">
        <f>INT(F19)</f>
        <v>0</v>
      </c>
      <c r="H37" s="81"/>
    </row>
    <row r="38" spans="2:8">
      <c r="B38" s="30" t="s">
        <v>214</v>
      </c>
      <c r="E38" s="87">
        <f>E19-INT(E19)</f>
        <v>0</v>
      </c>
      <c r="F38" s="87">
        <f>F19-INT(F19)</f>
        <v>0</v>
      </c>
      <c r="H38" s="81"/>
    </row>
    <row r="39" spans="2:8">
      <c r="B39" s="1" t="s">
        <v>188</v>
      </c>
      <c r="E39" s="87">
        <f>CurrentSal*Acc_CARE*((1-1/(1.01^E37))/(1-1/1.01)*(1/1.01^E38)+E38)</f>
        <v>0</v>
      </c>
      <c r="F39" s="87">
        <f>CurrentSal*Acc_CARE*((1-1/(1.01^F37))/(1-1/1.01)*(1/1.01^F38)+F38)</f>
        <v>0</v>
      </c>
      <c r="H39" s="81">
        <f>IF(CurrentScheme="PPS",E39,F39)</f>
        <v>0</v>
      </c>
    </row>
    <row r="40" spans="2:8">
      <c r="E40" s="87"/>
      <c r="F40" s="87"/>
      <c r="H40" s="81"/>
    </row>
    <row r="41" spans="2:8">
      <c r="B41" s="1" t="s">
        <v>237</v>
      </c>
      <c r="E41" s="82"/>
      <c r="F41" s="82"/>
      <c r="H41" s="81"/>
    </row>
    <row r="42" spans="2:8">
      <c r="B42" s="1" t="s">
        <v>188</v>
      </c>
      <c r="E42" t="e">
        <f ca="1">IF(E28=0,E27*((1/(1+DefDec))^($E$6-E12)),0)</f>
        <v>#N/A</v>
      </c>
      <c r="F42">
        <v>0</v>
      </c>
      <c r="H42" s="81">
        <f>IF(CurrentScheme="PPS",E42,F42)</f>
        <v>0</v>
      </c>
    </row>
    <row r="43" spans="2:8">
      <c r="H43" s="81"/>
    </row>
    <row r="44" spans="2:8">
      <c r="B44" s="1" t="s">
        <v>238</v>
      </c>
      <c r="H44" s="81"/>
    </row>
    <row r="45" spans="2:8">
      <c r="B45" s="1" t="s">
        <v>188</v>
      </c>
      <c r="E45" t="e">
        <f>IF(E34=0,E33*((1/(1+DefDec))^($E$6-E13)),0)</f>
        <v>#N/A</v>
      </c>
      <c r="F45">
        <v>0</v>
      </c>
      <c r="H45" s="81">
        <f>IF(CurrentScheme="PPS",E45,F45)</f>
        <v>0</v>
      </c>
    </row>
    <row r="46" spans="2:8">
      <c r="H46" s="81"/>
    </row>
    <row r="47" spans="2:8">
      <c r="B47" s="93" t="s">
        <v>249</v>
      </c>
    </row>
    <row r="48" spans="2:8">
      <c r="B48" s="30" t="s">
        <v>213</v>
      </c>
      <c r="E48" s="87">
        <f>INT(E20)</f>
        <v>0</v>
      </c>
      <c r="F48" s="87">
        <f>INT(F20)</f>
        <v>0</v>
      </c>
    </row>
    <row r="49" spans="2:8">
      <c r="B49" s="30" t="s">
        <v>214</v>
      </c>
      <c r="E49" s="87">
        <f>E20-INT(E20)</f>
        <v>0</v>
      </c>
      <c r="F49" s="87">
        <f>F20-INT(F20)</f>
        <v>0</v>
      </c>
    </row>
    <row r="50" spans="2:8">
      <c r="B50" s="1" t="s">
        <v>188</v>
      </c>
      <c r="E50" s="87">
        <f>CurrentSal*Acc_CARE*((1-1/(1.01^E48))/(1-1/1.01)*(1/1.01^E49)+E49)</f>
        <v>0</v>
      </c>
      <c r="F50" s="87">
        <f>CurrentSal*Acc_CARE*((1-1/(1.01^F48))/(1-1/1.01)*(1/1.01^F49)+F49)</f>
        <v>0</v>
      </c>
      <c r="H50" s="81">
        <f>IF(CurrentScheme="PPS",E50,F50)</f>
        <v>0</v>
      </c>
    </row>
    <row r="52" spans="2:8" ht="12.75" customHeight="1">
      <c r="B52" s="1" t="s">
        <v>359</v>
      </c>
      <c r="C52" s="106"/>
      <c r="D52" s="106"/>
      <c r="E52" t="e">
        <f>IF(OR(CurrentScheme="NPPS",E13&gt;=55),0,E33*ERFandLRF^(55-E6)*(1/(1+DefDec))^(55-E13))</f>
        <v>#NAME?</v>
      </c>
      <c r="F52">
        <v>0</v>
      </c>
      <c r="H52" s="81">
        <f>IF(CurrentScheme="PPS",E52,F52)</f>
        <v>0</v>
      </c>
    </row>
    <row r="53" spans="2:8">
      <c r="B53" s="106"/>
      <c r="C53" s="106"/>
      <c r="D53" s="106"/>
    </row>
    <row r="54" spans="2:8">
      <c r="B54" s="1" t="s">
        <v>363</v>
      </c>
      <c r="E54">
        <f>IF(OR(CurrentScheme="NPPS",E13&lt;55),0,E33*(1/(1+DefDec))^(E6-E13))</f>
        <v>0</v>
      </c>
      <c r="F54">
        <f>IF(OR(CurrentScheme="PPS",F13&lt;55),0,F33*(1/(1+DefDec))^(E6-F13))</f>
        <v>0</v>
      </c>
      <c r="H54" s="81">
        <f>IF(CurrentScheme="PPS",E54,F54)</f>
        <v>0</v>
      </c>
    </row>
  </sheetData>
  <mergeCells count="1">
    <mergeCell ref="E9:F9"/>
  </mergeCells>
  <phoneticPr fontId="41" type="noConversion"/>
  <pageMargins left="0.70866141732283472" right="0.70866141732283472" top="0.74803149606299213" bottom="0.74803149606299213" header="0.31496062992125984" footer="0.31496062992125984"/>
  <pageSetup paperSize="9" scale="75" orientation="portrait" r:id="rId1"/>
  <headerFooter>
    <oddHeader>&amp;CPROTECT - SCHEME MANAGEMENT&amp;L_x000D_&amp;Z&amp;F  [&amp;A]</oddHeader>
    <oddFooter>&amp;LPage &amp;P of &amp;N&amp;R&amp;T &amp;D</oddFooter>
  </headerFooter>
</worksheet>
</file>

<file path=xl/worksheets/sheet8.xml><?xml version="1.0" encoding="utf-8"?>
<worksheet xmlns="http://schemas.openxmlformats.org/spreadsheetml/2006/main" xmlns:r="http://schemas.openxmlformats.org/officeDocument/2006/relationships">
  <sheetPr codeName="Sheet8"/>
  <dimension ref="A1:I35"/>
  <sheetViews>
    <sheetView zoomScaleNormal="100" workbookViewId="0">
      <selection activeCell="B43" sqref="B43:M43"/>
    </sheetView>
  </sheetViews>
  <sheetFormatPr defaultRowHeight="12.75"/>
  <cols>
    <col min="2" max="2" width="32.140625" style="1" bestFit="1" customWidth="1"/>
    <col min="5" max="5" width="19.7109375" bestFit="1" customWidth="1"/>
    <col min="6" max="6" width="18" bestFit="1" customWidth="1"/>
    <col min="7" max="7" width="17.42578125" bestFit="1" customWidth="1"/>
  </cols>
  <sheetData>
    <row r="1" spans="1:9" ht="20.25">
      <c r="A1" s="13" t="s">
        <v>19</v>
      </c>
      <c r="B1" s="32"/>
      <c r="C1" s="12"/>
      <c r="D1" s="12"/>
      <c r="E1" s="12"/>
      <c r="F1" s="12"/>
      <c r="G1" s="12"/>
      <c r="H1" s="12"/>
      <c r="I1" s="12"/>
    </row>
    <row r="2" spans="1:9" ht="15.75">
      <c r="A2" s="28" t="str">
        <f>IF(title="&gt; Enter workbook title here","Enter workbook title in Cover sheet",title)</f>
        <v>Police Scheme Reform Pension calculator</v>
      </c>
      <c r="B2" s="33"/>
      <c r="C2" s="11"/>
      <c r="D2" s="11"/>
      <c r="E2" s="11"/>
      <c r="F2" s="11"/>
      <c r="G2" s="11"/>
      <c r="H2" s="11"/>
      <c r="I2" s="11"/>
    </row>
    <row r="3" spans="1:9" ht="15.75">
      <c r="A3" s="14" t="s">
        <v>217</v>
      </c>
      <c r="B3" s="33"/>
      <c r="C3" s="11"/>
      <c r="D3" s="11"/>
      <c r="E3" s="11"/>
      <c r="F3" s="11"/>
      <c r="G3" s="11"/>
      <c r="H3" s="11"/>
      <c r="I3" s="11"/>
    </row>
    <row r="4" spans="1:9">
      <c r="A4" s="7" t="str">
        <f ca="1">CELL("filename",A1)</f>
        <v>G:\My Documents\[Pension_calculator_v5_0.xlsx]Summary</v>
      </c>
    </row>
    <row r="6" spans="1:9">
      <c r="A6" s="84" t="s">
        <v>252</v>
      </c>
    </row>
    <row r="7" spans="1:9">
      <c r="E7" s="1" t="s">
        <v>261</v>
      </c>
      <c r="F7" s="1" t="s">
        <v>262</v>
      </c>
      <c r="G7" s="1" t="s">
        <v>263</v>
      </c>
    </row>
    <row r="8" spans="1:9">
      <c r="B8" s="1" t="s">
        <v>224</v>
      </c>
      <c r="E8" s="82">
        <f>CurrentSal</f>
        <v>0</v>
      </c>
      <c r="F8" s="82">
        <f>CurrentSal</f>
        <v>0</v>
      </c>
      <c r="G8" s="82">
        <f>CurrentSal</f>
        <v>0</v>
      </c>
    </row>
    <row r="9" spans="1:9">
      <c r="B9" s="1" t="s">
        <v>233</v>
      </c>
      <c r="E9">
        <f>'PPS and NPPS calcs'!E10</f>
        <v>112.25188227241615</v>
      </c>
      <c r="F9">
        <f t="shared" ref="F9:G11" si="0">E9</f>
        <v>112.25188227241615</v>
      </c>
      <c r="G9">
        <f t="shared" si="0"/>
        <v>112.25188227241615</v>
      </c>
    </row>
    <row r="10" spans="1:9">
      <c r="B10" s="1" t="s">
        <v>247</v>
      </c>
      <c r="E10">
        <f>'PPS and NPPS calcs'!E20</f>
        <v>112.25188227241615</v>
      </c>
      <c r="F10">
        <f t="shared" si="0"/>
        <v>112.25188227241615</v>
      </c>
      <c r="G10">
        <f t="shared" si="0"/>
        <v>112.25188227241615</v>
      </c>
    </row>
    <row r="11" spans="1:9">
      <c r="B11" s="1" t="s">
        <v>203</v>
      </c>
      <c r="E11" s="8" t="str">
        <f>'PPS and NPPS calcs'!H46</f>
        <v>N/A</v>
      </c>
      <c r="F11" s="8" t="str">
        <f t="shared" si="0"/>
        <v>N/A</v>
      </c>
      <c r="G11" s="8" t="str">
        <f t="shared" si="0"/>
        <v>N/A</v>
      </c>
    </row>
    <row r="12" spans="1:9">
      <c r="B12" s="1" t="s">
        <v>265</v>
      </c>
      <c r="E12" s="8">
        <f ca="1">'PPS and NPPS calcs'!H26</f>
        <v>42734.25</v>
      </c>
      <c r="F12" s="8">
        <f>'PPS and NPPS calcs'!H27</f>
        <v>0</v>
      </c>
      <c r="G12" s="8">
        <f>'PPS and NPPS calcs'!H28</f>
        <v>21915</v>
      </c>
    </row>
    <row r="13" spans="1:9">
      <c r="B13" s="1" t="s">
        <v>266</v>
      </c>
      <c r="E13" s="81">
        <f ca="1">'PPS and NPPS calcs'!H25</f>
        <v>117</v>
      </c>
      <c r="F13" s="81">
        <f>ChosenRA</f>
        <v>0</v>
      </c>
      <c r="G13" s="81">
        <f>60</f>
        <v>60</v>
      </c>
    </row>
    <row r="14" spans="1:9">
      <c r="B14" s="1" t="s">
        <v>264</v>
      </c>
      <c r="E14" s="91">
        <f ca="1">'PPS and NPPS calcs'!H59</f>
        <v>117</v>
      </c>
      <c r="F14" s="91">
        <f>'PPS and NPPS calcs'!H60</f>
        <v>0</v>
      </c>
      <c r="G14" s="91">
        <f>'PPS and NPPS calcs'!H61</f>
        <v>60</v>
      </c>
    </row>
    <row r="15" spans="1:9">
      <c r="B15" s="1" t="s">
        <v>188</v>
      </c>
      <c r="E15" s="92">
        <f ca="1">'PPS and NPPS calcs'!H71</f>
        <v>0</v>
      </c>
      <c r="F15" s="92">
        <f>'PPS and NPPS calcs'!H75</f>
        <v>0</v>
      </c>
      <c r="G15" s="92">
        <f>'PPS and NPPS calcs'!H79</f>
        <v>0</v>
      </c>
    </row>
    <row r="16" spans="1:9">
      <c r="B16" s="1" t="s">
        <v>189</v>
      </c>
      <c r="E16" s="92">
        <f ca="1">'PPS and NPPS calcs'!H72</f>
        <v>0</v>
      </c>
      <c r="F16" s="92">
        <f>'PPS and NPPS calcs'!H76</f>
        <v>0</v>
      </c>
      <c r="G16" s="92">
        <f>'PPS and NPPS calcs'!H80</f>
        <v>0</v>
      </c>
    </row>
    <row r="17" spans="1:7">
      <c r="B17" s="1" t="s">
        <v>267</v>
      </c>
      <c r="E17" s="91" t="e">
        <f ca="1">IF(AND(CurrentScheme="PPS",E14&gt;PPSmax),45,IF(AND(CurrentScheme="NPPS",E14&gt;NPPSmax),70,MAX(45,E8*E14/E15)))</f>
        <v>#DIV/0!</v>
      </c>
      <c r="F17" s="91" t="e">
        <f>IF(AND(CurrentScheme="PPS",F14&gt;PPSmax),45,IF(AND(CurrentScheme="NPPS",F14&gt;NPPSmax),70,MAX(45,F8*F14/F15)))</f>
        <v>#DIV/0!</v>
      </c>
      <c r="G17" s="91" t="e">
        <f>IF(AND(CurrentScheme="PPS",G14&gt;PPSmax),45,IF(AND(CurrentScheme="NPPS",G14&gt;NPPSmax),70,MAX(45,G8*G14/G15)))</f>
        <v>#DIV/0!</v>
      </c>
    </row>
    <row r="19" spans="1:7">
      <c r="A19" s="84" t="s">
        <v>253</v>
      </c>
    </row>
    <row r="21" spans="1:7">
      <c r="B21" s="1" t="s">
        <v>264</v>
      </c>
      <c r="E21">
        <f ca="1">'CARE calcs'!H17</f>
        <v>0</v>
      </c>
      <c r="F21">
        <f>'CARE calcs'!H18</f>
        <v>0</v>
      </c>
      <c r="G21">
        <f>'CARE calcs'!H19</f>
        <v>0</v>
      </c>
    </row>
    <row r="22" spans="1:7">
      <c r="B22" s="1" t="s">
        <v>191</v>
      </c>
      <c r="E22" t="e">
        <f>'CARE calcs'!E6</f>
        <v>#N/A</v>
      </c>
      <c r="F22" t="e">
        <f>E22</f>
        <v>#N/A</v>
      </c>
      <c r="G22" t="e">
        <f>F22</f>
        <v>#N/A</v>
      </c>
    </row>
    <row r="23" spans="1:7">
      <c r="B23" s="1" t="s">
        <v>245</v>
      </c>
      <c r="E23" s="82">
        <f ca="1">'CARE calcs'!H27</f>
        <v>0</v>
      </c>
      <c r="F23" s="82">
        <f>'CARE calcs'!H33</f>
        <v>0</v>
      </c>
      <c r="G23" s="82">
        <f>'CARE calcs'!H39</f>
        <v>0</v>
      </c>
    </row>
    <row r="24" spans="1:7">
      <c r="B24" s="1" t="s">
        <v>246</v>
      </c>
      <c r="E24" s="82">
        <f ca="1">'CARE calcs'!H28</f>
        <v>0</v>
      </c>
      <c r="F24" s="82">
        <f>'CARE calcs'!H34</f>
        <v>0</v>
      </c>
      <c r="G24" s="82">
        <f>G23</f>
        <v>0</v>
      </c>
    </row>
    <row r="25" spans="1:7">
      <c r="B25" s="1" t="s">
        <v>361</v>
      </c>
      <c r="E25" s="82">
        <f>'CARE calcs'!H42</f>
        <v>0</v>
      </c>
      <c r="F25" s="82">
        <f>'CARE calcs'!H45</f>
        <v>0</v>
      </c>
      <c r="G25" s="82">
        <v>0</v>
      </c>
    </row>
    <row r="26" spans="1:7">
      <c r="B26" s="1" t="s">
        <v>362</v>
      </c>
      <c r="E26" s="82"/>
      <c r="F26" s="82">
        <f>'CARE calcs'!H52</f>
        <v>0</v>
      </c>
      <c r="G26" s="82"/>
    </row>
    <row r="27" spans="1:7">
      <c r="B27" s="1" t="s">
        <v>364</v>
      </c>
      <c r="E27" s="82"/>
      <c r="F27" s="82">
        <f>'CARE calcs'!H54</f>
        <v>0</v>
      </c>
      <c r="G27" s="82"/>
    </row>
    <row r="29" spans="1:7">
      <c r="A29" s="84" t="s">
        <v>254</v>
      </c>
    </row>
    <row r="31" spans="1:7">
      <c r="B31" s="1" t="s">
        <v>264</v>
      </c>
      <c r="E31">
        <f ca="1">'PPS and NPPS calcs'!H64</f>
        <v>117</v>
      </c>
      <c r="F31">
        <f>'PPS and NPPS calcs'!H65</f>
        <v>0</v>
      </c>
      <c r="G31">
        <f>'PPS and NPPS calcs'!H66</f>
        <v>60</v>
      </c>
    </row>
    <row r="32" spans="1:7">
      <c r="B32" s="1" t="s">
        <v>188</v>
      </c>
      <c r="E32" s="82">
        <f ca="1">'PPS and NPPS calcs'!H85</f>
        <v>0</v>
      </c>
      <c r="F32" s="82">
        <f>'PPS and NPPS calcs'!H89</f>
        <v>0</v>
      </c>
      <c r="G32" s="82">
        <f>'PPS and NPPS calcs'!H93</f>
        <v>0</v>
      </c>
    </row>
    <row r="33" spans="2:7">
      <c r="B33" s="1" t="s">
        <v>189</v>
      </c>
      <c r="E33" s="82">
        <f ca="1">'PPS and NPPS calcs'!H86</f>
        <v>0</v>
      </c>
      <c r="F33" s="82">
        <f>'PPS and NPPS calcs'!H90</f>
        <v>0</v>
      </c>
      <c r="G33" s="82">
        <f>'PPS and NPPS calcs'!H94</f>
        <v>0</v>
      </c>
    </row>
    <row r="35" spans="2:7">
      <c r="B35" s="94" t="s">
        <v>285</v>
      </c>
      <c r="E35" s="94" t="b">
        <f ca="1">ROUND(E31,4)=ROUND(E14+E21,4)</f>
        <v>1</v>
      </c>
      <c r="F35" s="94" t="b">
        <f>ROUND(F31,4)=ROUND(F14+F21,4)</f>
        <v>1</v>
      </c>
      <c r="G35" s="94" t="b">
        <f>ROUND(G31,4)=ROUND(G14+G21,4)</f>
        <v>1</v>
      </c>
    </row>
  </sheetData>
  <phoneticPr fontId="41" type="noConversion"/>
  <pageMargins left="0.7" right="0.7" top="0.75" bottom="0.75" header="0.3" footer="0.3"/>
  <pageSetup paperSize="9" orientation="landscape" r:id="rId1"/>
  <headerFooter>
    <oddHeader>&amp;CPROTECT - SCHEME MANAGEMENT&amp;L_x000D_&amp;Z&amp;F  [&amp;A]</oddHeader>
    <oddFooter>&amp;LPage &amp;P of &amp;N&amp;R&amp;T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38</vt:i4>
      </vt:variant>
    </vt:vector>
  </HeadingPairs>
  <TitlesOfParts>
    <vt:vector size="46" baseType="lpstr">
      <vt:lpstr>Cover</vt:lpstr>
      <vt:lpstr>Version control</vt:lpstr>
      <vt:lpstr>Inputs and outputs</vt:lpstr>
      <vt:lpstr>Parameters</vt:lpstr>
      <vt:lpstr>Tapers</vt:lpstr>
      <vt:lpstr>PPS and NPPS calcs</vt:lpstr>
      <vt:lpstr>CARE calcs</vt:lpstr>
      <vt:lpstr>Summary</vt:lpstr>
      <vt:lpstr>Acc_CARE</vt:lpstr>
      <vt:lpstr>Acc_NPPS</vt:lpstr>
      <vt:lpstr>Acc_PPS</vt:lpstr>
      <vt:lpstr>Age38Taper</vt:lpstr>
      <vt:lpstr>Age45Taper</vt:lpstr>
      <vt:lpstr>ChosenRA</vt:lpstr>
      <vt:lpstr>Class_Select</vt:lpstr>
      <vt:lpstr>Classification_Key</vt:lpstr>
      <vt:lpstr>CornerTaper</vt:lpstr>
      <vt:lpstr>CurrentSal</vt:lpstr>
      <vt:lpstr>CurrentScheme</vt:lpstr>
      <vt:lpstr>DefDec</vt:lpstr>
      <vt:lpstr>Descriptor_Key</vt:lpstr>
      <vt:lpstr>Descriptor_Select</vt:lpstr>
      <vt:lpstr>DJS</vt:lpstr>
      <vt:lpstr>DoB</vt:lpstr>
      <vt:lpstr>DoY</vt:lpstr>
      <vt:lpstr>ERF</vt:lpstr>
      <vt:lpstr>ERFfactor</vt:lpstr>
      <vt:lpstr>LRF</vt:lpstr>
      <vt:lpstr>LRFfactor</vt:lpstr>
      <vt:lpstr>LS_NPPS</vt:lpstr>
      <vt:lpstr>NewSchDate</vt:lpstr>
      <vt:lpstr>NonUplifted</vt:lpstr>
      <vt:lpstr>NPPSmax</vt:lpstr>
      <vt:lpstr>NPPSstart</vt:lpstr>
      <vt:lpstr>PPSmax</vt:lpstr>
      <vt:lpstr>'Inputs and outputs'!Print_Area</vt:lpstr>
      <vt:lpstr>'Version control'!Print_Titles</vt:lpstr>
      <vt:lpstr>ProtectDate</vt:lpstr>
      <vt:lpstr>Service20Taper</vt:lpstr>
      <vt:lpstr>TaperSize</vt:lpstr>
      <vt:lpstr>title</vt:lpstr>
      <vt:lpstr>TVinDays</vt:lpstr>
      <vt:lpstr>TVinYears</vt:lpstr>
      <vt:lpstr>Uplift55andover</vt:lpstr>
      <vt:lpstr>Upliftunder55</vt:lpstr>
      <vt:lpstr>ValidSchemes</vt:lpstr>
    </vt:vector>
  </TitlesOfParts>
  <Company>Government Actuary's Department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Crabtree</dc:creator>
  <cp:lastModifiedBy>Daisy Goddard</cp:lastModifiedBy>
  <cp:lastPrinted>2014-01-09T10:05:42Z</cp:lastPrinted>
  <dcterms:created xsi:type="dcterms:W3CDTF">2007-01-30T12:07:56Z</dcterms:created>
  <dcterms:modified xsi:type="dcterms:W3CDTF">2016-04-01T09:04:16Z</dcterms:modified>
</cp:coreProperties>
</file>