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06"/>
  <workbookPr checkCompatibility="1" autoCompressPictures="0"/>
  <bookViews>
    <workbookView xWindow="1500" yWindow="0" windowWidth="25600" windowHeight="15860" tabRatio="919"/>
  </bookViews>
  <sheets>
    <sheet name="Introduction" sheetId="1" r:id="rId1"/>
    <sheet name="Essentials for digital speciali" sheetId="2" r:id="rId2"/>
    <sheet name="Agile Delivery" sheetId="3" r:id="rId3"/>
    <sheet name="Commercial and Procurement" sheetId="4" r:id="rId4"/>
    <sheet name="Digital Leadership" sheetId="5" r:id="rId5"/>
    <sheet name="Service Management" sheetId="6" r:id="rId6"/>
    <sheet name="Product Management" sheetId="7" r:id="rId7"/>
    <sheet name="User Research" sheetId="8" r:id="rId8"/>
    <sheet name="Agile Business Analysis" sheetId="9" r:id="rId9"/>
    <sheet name="Design" sheetId="10" r:id="rId10"/>
    <sheet name="Content Design" sheetId="11" r:id="rId11"/>
    <sheet name="Performance Analysis" sheetId="12" r:id="rId12"/>
    <sheet name="Data" sheetId="13" r:id="rId13"/>
    <sheet name="Technical Architecture" sheetId="14" r:id="rId14"/>
    <sheet name="Cyber Security" sheetId="15" r:id="rId15"/>
    <sheet name="Development" sheetId="16" r:id="rId16"/>
    <sheet name="Operations Engineering" sheetId="17" r:id="rId17"/>
    <sheet name="Operations Management" sheetId="18" r:id="rId18"/>
    <sheet name="Quality Assurance and Testing" sheetId="19" r:id="rId19"/>
  </sheet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F9" i="14" l="1"/>
  <c r="F11" i="5"/>
  <c r="F10" i="7"/>
  <c r="F12" i="7"/>
  <c r="F9" i="5"/>
  <c r="F8" i="5"/>
  <c r="F7" i="5"/>
  <c r="F6" i="10"/>
  <c r="B1" i="4"/>
  <c r="D24" i="15"/>
  <c r="D20" i="15"/>
  <c r="F12" i="15"/>
  <c r="F8" i="15"/>
  <c r="A29" i="19"/>
  <c r="D26" i="19"/>
  <c r="D20" i="19"/>
  <c r="D18" i="19"/>
  <c r="D16" i="19"/>
  <c r="D15" i="19"/>
  <c r="D13" i="19"/>
  <c r="D11" i="19"/>
  <c r="D7" i="19"/>
  <c r="D6" i="19"/>
  <c r="B1" i="19"/>
  <c r="A19" i="18"/>
  <c r="D15" i="18"/>
  <c r="F8" i="18"/>
  <c r="D8" i="18"/>
  <c r="F7" i="18"/>
  <c r="B1" i="18"/>
  <c r="A27" i="17"/>
  <c r="D24" i="17"/>
  <c r="D21" i="17"/>
  <c r="D19" i="17"/>
  <c r="D14" i="17"/>
  <c r="D12" i="17"/>
  <c r="F10" i="17"/>
  <c r="F9" i="17"/>
  <c r="F8" i="17"/>
  <c r="D8" i="17"/>
  <c r="F7" i="17"/>
  <c r="B1" i="17"/>
  <c r="A33" i="16"/>
  <c r="D31" i="16"/>
  <c r="D29" i="16"/>
  <c r="D26" i="16"/>
  <c r="D25" i="16"/>
  <c r="D23" i="16"/>
  <c r="D12" i="16"/>
  <c r="D10" i="16"/>
  <c r="F6" i="16"/>
  <c r="D6" i="16"/>
  <c r="B1" i="16"/>
  <c r="A29" i="15"/>
  <c r="D27" i="15"/>
  <c r="D25" i="15"/>
  <c r="D23" i="15"/>
  <c r="D22" i="15"/>
  <c r="D19" i="15"/>
  <c r="F14" i="15"/>
  <c r="F13" i="15"/>
  <c r="D16" i="15"/>
  <c r="D15" i="15"/>
  <c r="D14" i="15"/>
  <c r="F11" i="15"/>
  <c r="F10" i="15"/>
  <c r="D10" i="15"/>
  <c r="F9" i="15"/>
  <c r="D8" i="15"/>
  <c r="F7" i="15"/>
  <c r="D7" i="15"/>
  <c r="D3" i="15"/>
  <c r="B1" i="15"/>
  <c r="A34" i="14"/>
  <c r="D33" i="14"/>
  <c r="D30" i="14"/>
  <c r="D25" i="14"/>
  <c r="D22" i="14"/>
  <c r="D21" i="14"/>
  <c r="D20" i="14"/>
  <c r="D9" i="14"/>
  <c r="F8" i="14"/>
  <c r="D8" i="14"/>
  <c r="F7" i="14"/>
  <c r="D7" i="14"/>
  <c r="B1" i="14"/>
  <c r="A27" i="13"/>
  <c r="D24" i="13"/>
  <c r="D21" i="13"/>
  <c r="F10" i="13"/>
  <c r="F9" i="13"/>
  <c r="F8" i="13"/>
  <c r="F7" i="13"/>
  <c r="D7" i="13"/>
  <c r="F6" i="13"/>
  <c r="D6" i="13"/>
  <c r="B1" i="13"/>
  <c r="A32" i="12"/>
  <c r="D30" i="12"/>
  <c r="D24" i="12"/>
  <c r="F14" i="12"/>
  <c r="D20" i="12"/>
  <c r="D19" i="12"/>
  <c r="D18" i="12"/>
  <c r="F7" i="12"/>
  <c r="D17" i="12"/>
  <c r="D16" i="12"/>
  <c r="F15" i="12"/>
  <c r="D15" i="12"/>
  <c r="F13" i="12"/>
  <c r="F12" i="12"/>
  <c r="F11" i="12"/>
  <c r="F10" i="12"/>
  <c r="F9" i="12"/>
  <c r="F8" i="12"/>
  <c r="D7" i="12"/>
  <c r="F6" i="12"/>
  <c r="D6" i="12"/>
  <c r="B1" i="12"/>
  <c r="A29" i="11"/>
  <c r="D28" i="11"/>
  <c r="D26" i="11"/>
  <c r="D25" i="11"/>
  <c r="D24" i="11"/>
  <c r="D20" i="11"/>
  <c r="D19" i="11"/>
  <c r="D18" i="11"/>
  <c r="D17" i="11"/>
  <c r="F11" i="11"/>
  <c r="F10" i="11"/>
  <c r="F9" i="11"/>
  <c r="D11" i="11"/>
  <c r="F8" i="11"/>
  <c r="D10" i="11"/>
  <c r="F7" i="11"/>
  <c r="D9" i="11"/>
  <c r="F6" i="11"/>
  <c r="D6" i="11"/>
  <c r="B1" i="11"/>
  <c r="A21" i="10"/>
  <c r="D20" i="10"/>
  <c r="D18" i="10"/>
  <c r="D17" i="10"/>
  <c r="D15" i="10"/>
  <c r="D14" i="10"/>
  <c r="D13" i="10"/>
  <c r="D8" i="10"/>
  <c r="D7" i="10"/>
  <c r="D6" i="10"/>
  <c r="B1" i="10"/>
  <c r="A19" i="9"/>
  <c r="D18" i="9"/>
  <c r="D16" i="9"/>
  <c r="D15" i="9"/>
  <c r="D8" i="9"/>
  <c r="F7" i="9"/>
  <c r="B1" i="9"/>
  <c r="A25" i="8"/>
  <c r="D21" i="8"/>
  <c r="D20" i="8"/>
  <c r="D19" i="8"/>
  <c r="D15" i="8"/>
  <c r="F13" i="8"/>
  <c r="F12" i="8"/>
  <c r="F11" i="8"/>
  <c r="F10" i="8"/>
  <c r="F9" i="8"/>
  <c r="F8" i="8"/>
  <c r="D8" i="8"/>
  <c r="F7" i="8"/>
  <c r="D7" i="8"/>
  <c r="B1" i="8"/>
  <c r="A23" i="7"/>
  <c r="D22" i="7"/>
  <c r="D15" i="7"/>
  <c r="F11" i="7"/>
  <c r="D11" i="7"/>
  <c r="F9" i="7"/>
  <c r="F8" i="7"/>
  <c r="F7" i="7"/>
  <c r="D7" i="7"/>
  <c r="B1" i="7"/>
  <c r="A21" i="6"/>
  <c r="D20" i="6"/>
  <c r="F11" i="6"/>
  <c r="D16" i="6"/>
  <c r="D14" i="6"/>
  <c r="D13" i="6"/>
  <c r="D12" i="6"/>
  <c r="F10" i="6"/>
  <c r="D10" i="6"/>
  <c r="F9" i="6"/>
  <c r="D9" i="6"/>
  <c r="F8" i="6"/>
  <c r="D8" i="6"/>
  <c r="F7" i="6"/>
  <c r="B1" i="6"/>
  <c r="A34" i="5"/>
  <c r="D33" i="5"/>
  <c r="D32" i="5"/>
  <c r="D30" i="5"/>
  <c r="D29" i="5"/>
  <c r="D24" i="5"/>
  <c r="D20" i="5"/>
  <c r="D12" i="5"/>
  <c r="D10" i="5"/>
  <c r="D9" i="5"/>
  <c r="F6" i="5"/>
  <c r="B1" i="5"/>
  <c r="A21" i="4"/>
  <c r="D19" i="4"/>
  <c r="F13" i="4"/>
  <c r="F12" i="4"/>
  <c r="F11" i="4"/>
  <c r="F10" i="4"/>
  <c r="D11" i="4"/>
  <c r="F9" i="4"/>
  <c r="D10" i="4"/>
  <c r="F8" i="4"/>
  <c r="D8" i="4"/>
  <c r="F7" i="4"/>
  <c r="A34" i="3"/>
  <c r="D29" i="3"/>
  <c r="D17" i="3"/>
  <c r="D15" i="3"/>
  <c r="D14" i="3"/>
  <c r="D13" i="3"/>
  <c r="F10" i="3"/>
  <c r="D12" i="3"/>
  <c r="F9" i="3"/>
  <c r="D10" i="3"/>
  <c r="D9" i="3"/>
  <c r="F8" i="3"/>
  <c r="F7" i="3"/>
  <c r="D3" i="3"/>
  <c r="B1" i="3"/>
  <c r="A41" i="2"/>
  <c r="D40" i="2"/>
  <c r="D38" i="2"/>
  <c r="D36" i="2"/>
  <c r="D34" i="2"/>
  <c r="D33" i="2"/>
  <c r="D32" i="2"/>
  <c r="D29" i="2"/>
  <c r="D28" i="2"/>
  <c r="D26" i="2"/>
  <c r="D25" i="2"/>
  <c r="D24" i="2"/>
  <c r="D23" i="2"/>
  <c r="D22" i="2"/>
  <c r="D21" i="2"/>
  <c r="D20" i="2"/>
  <c r="D19" i="2"/>
  <c r="D18" i="2"/>
  <c r="D17" i="2"/>
  <c r="F9" i="2"/>
  <c r="D15" i="2"/>
  <c r="D14" i="2"/>
  <c r="D13" i="2"/>
  <c r="D12" i="2"/>
  <c r="D11" i="2"/>
  <c r="F8" i="2"/>
  <c r="D9" i="2"/>
  <c r="D8" i="2"/>
  <c r="D7" i="2"/>
  <c r="F6" i="2"/>
  <c r="D6" i="2"/>
  <c r="A15" i="1"/>
</calcChain>
</file>

<file path=xl/sharedStrings.xml><?xml version="1.0" encoding="utf-8"?>
<sst xmlns="http://schemas.openxmlformats.org/spreadsheetml/2006/main" count="1520" uniqueCount="1478">
  <si>
    <t>Skills Group:</t>
  </si>
  <si>
    <t>Design</t>
  </si>
  <si>
    <t>Digital Leadership</t>
  </si>
  <si>
    <t>Development</t>
  </si>
  <si>
    <t>Agile Delivery</t>
  </si>
  <si>
    <t>Agile Business Analysis</t>
  </si>
  <si>
    <t>Cyber Security and Information Assurance</t>
  </si>
  <si>
    <t>Service Management</t>
  </si>
  <si>
    <t>Data</t>
  </si>
  <si>
    <t>Description:</t>
  </si>
  <si>
    <t>These are skills that we would expect everyone working in digital and technology across government to have, regardless of their role or function. For the most part, there should be awareness; knowing what something is, understanding why it's important, and being able to have an informed discussion with others about it.</t>
  </si>
  <si>
    <t>Skills group:</t>
  </si>
  <si>
    <t>Skills group:</t>
  </si>
  <si>
    <t>Description:</t>
  </si>
  <si>
    <t>Description:</t>
  </si>
  <si>
    <t>Commercial awareness is about procuring or commissioning and managing services from third parties. It's about securing the best value for money, getting to market fast to support products, and understanding relevant procurement frameworks to be able to give broad guidance to buyers. (For further introduction, click Skills Group title hyperlink above)</t>
  </si>
  <si>
    <t>Agile delivery is about creating fast iterations of services based on the feedback of real users. It means regularly releasing small pieces of functionality, constant communication between team members, and creating transparency across the team about progress and activity by using walls or online tools. (For further introduction, click Skills Group title hyperlink above)</t>
  </si>
  <si>
    <t>Typical roles:</t>
  </si>
  <si>
    <t>All roles within Digital &amp; Technology</t>
  </si>
  <si>
    <t>Helpful tip!</t>
  </si>
  <si>
    <t>Commercial awareness, along with a holistic understanding of how commissioning can support digital, technology and agile working, is essential to ensuring simpler, clearer and faster delivery.</t>
  </si>
  <si>
    <t>Typical roles:</t>
  </si>
  <si>
    <t>Roles that might draw skills from this area include: Supplier and Contract Managers, Buyers, Commissioners, Technical Architects, Service Managers, senior leadership roles</t>
  </si>
  <si>
    <t>Skills</t>
  </si>
  <si>
    <t>Skills</t>
  </si>
  <si>
    <t>Helpful tip!</t>
  </si>
  <si>
    <t>Typical roles:</t>
  </si>
  <si>
    <t>Roles that might draw skills from this area include: Developers, Delivery Managers, Project Managers, Agile BAs</t>
  </si>
  <si>
    <t>Skills</t>
  </si>
  <si>
    <t>Skill title</t>
  </si>
  <si>
    <t>Skill description</t>
  </si>
  <si>
    <t>Code</t>
  </si>
  <si>
    <t>Name</t>
  </si>
  <si>
    <t>Description</t>
  </si>
  <si>
    <t>Name</t>
  </si>
  <si>
    <t>Description</t>
  </si>
  <si>
    <t>Agile Delivery - Project Management</t>
  </si>
  <si>
    <t>Be familiar with structured programme and project management environments, such as 'waterfall' methods, but be able to retain 'agility' even in a non-agile environment. When applicable, be able to apply the underpinning philosophy and principles of agile in a project situation.</t>
  </si>
  <si>
    <t>AGI.1.1</t>
  </si>
  <si>
    <t>Skill title</t>
  </si>
  <si>
    <t>Skill description</t>
  </si>
  <si>
    <t>Code</t>
  </si>
  <si>
    <t>Name</t>
  </si>
  <si>
    <t>Description</t>
  </si>
  <si>
    <t>Name</t>
  </si>
  <si>
    <t>Description</t>
  </si>
  <si>
    <t>Understand the government's digital and technology transformation agenda and why the government is changing the way it does digital and technology projects.</t>
  </si>
  <si>
    <t>Some common features of the agile development methods used at GDS.</t>
  </si>
  <si>
    <t>Remove blockers that hinder delivery, manage risks and dependencies within and between projects and teams.</t>
  </si>
  <si>
    <t>AGI.1.2</t>
  </si>
  <si>
    <t>Overview of some features of agile.</t>
  </si>
  <si>
    <t>Agile Delivery - Planning</t>
  </si>
  <si>
    <t>Skill title</t>
  </si>
  <si>
    <t>Skill description</t>
  </si>
  <si>
    <t>Work with the Product Manager to define the roadmap for any given product, breaking it down into iterations, and helping to translate it into user stories.</t>
  </si>
  <si>
    <t>Code</t>
  </si>
  <si>
    <t>Name</t>
  </si>
  <si>
    <t>AGI.2.1</t>
  </si>
  <si>
    <t>Description</t>
  </si>
  <si>
    <t>Name</t>
  </si>
  <si>
    <t>Description</t>
  </si>
  <si>
    <t>Have a broad understanding of the technical aspects of the product or service and be able to express the user needs in terms of outcomes and product/service vision.</t>
  </si>
  <si>
    <t>COM.1.1</t>
  </si>
  <si>
    <t>Guide to writing user stories.</t>
  </si>
  <si>
    <t>Sets out how GOV.UK product roadmap was built and is maintained. Looks at what works and what doesn't.</t>
  </si>
  <si>
    <t>Using open internet tools to develop your digital skills and productivity</t>
  </si>
  <si>
    <t>Be aware of what has happened so far with digital and technology transformation, including the launch of GOV.UK and adoption of the department 'exemplar' transformations. Recognise what this means for departments and agencies.</t>
  </si>
  <si>
    <t>Access services from a range of relevant frameworks, for example using the Digital Marketplace, to enable multi-vendor contracting, supporting 'framework first' principles. Be aware of the expanding range of digital and technology procurement frameworks and act as an IT service broker to match your organisation with the services it needs.</t>
  </si>
  <si>
    <t>COM.2.1</t>
  </si>
  <si>
    <t>Regularly updated information on the 25 exemplar services.</t>
  </si>
  <si>
    <t>One-day workshop for people delivering services in government.</t>
  </si>
  <si>
    <t>Follow wider digital trends in the industry and how they may impact future government services, for example, the significance of big data, open source tools and Open Document Formats (ODF).</t>
  </si>
  <si>
    <t>Agile Delivery - Agile Tools and Techniques</t>
  </si>
  <si>
    <t>Deliver projects and products using the appropriate mix of agile project management methodologies.</t>
  </si>
  <si>
    <t>AGI.3.1</t>
  </si>
  <si>
    <t>Portal to find and compare cloud-based services (eg web hosting or site analytics) for a public sector organisation.</t>
  </si>
  <si>
    <t>Principles for adopting ODF in your organisation and the challenges involved.</t>
  </si>
  <si>
    <t>A selection of resources for people who want to learn more about agile.</t>
  </si>
  <si>
    <t>Use a wide range of agile frameworks, methodologies and tools and understand when to apply them, such as:
- Scrum
- Kanban
- Extreme programming
- Retrospectives
- Standups
- Iteration Reviews
- Iteration Planning
- Roadmap Planning
- Agile Workshops
- Agile and Lean tracking tools</t>
  </si>
  <si>
    <t>Free online courses on digital business and delivery.</t>
  </si>
  <si>
    <t>Understand the stages through which services are created - from discovery, through to live - and understand how those services can be maintained over time until they are retired.</t>
  </si>
  <si>
    <t>Blog looking at commercial skills.</t>
  </si>
  <si>
    <t>AGI.3.2</t>
  </si>
  <si>
    <t>Some common features of the agile development methods used at GDS.</t>
  </si>
  <si>
    <t>Understand what we mean by 'digital take-up' and the techniques that can be used to increase it.</t>
  </si>
  <si>
    <t>Guide to using the digital marketplace.</t>
  </si>
  <si>
    <t>An outline of how each government department is carrying out action 8 of the Government Digital Strategy to increase digital take-up.</t>
  </si>
  <si>
    <t>Understand what we mean by 'digital inclusion' and 'assisted digital' and how we can help all the population use digital services in the future.</t>
  </si>
  <si>
    <t>An open collection of communication tools used in design processes.</t>
  </si>
  <si>
    <t>The Digital Inclusion Strategy sets out how government and partners from the public, private and voluntary sectors will increase digital inclusion.</t>
  </si>
  <si>
    <t>Brief introduction to scrum on 'Agile Learning Labs'.</t>
  </si>
  <si>
    <t>A GDS video introduction to digital inclusion.</t>
  </si>
  <si>
    <t>Introduction to running retrospectives, with links to further resources.</t>
  </si>
  <si>
    <t>Agile Delivery - Quality</t>
  </si>
  <si>
    <t>Ensure quality is met by including the right people in the team during the 'alpha', 'beta' and 'live' phases and by ensuring each member of the team is responsible for defining and maintaining quality.</t>
  </si>
  <si>
    <t>AGI.4.1</t>
  </si>
  <si>
    <t>A GDS video introduction to assisted digital.</t>
  </si>
  <si>
    <t>Understand the shift from traditional methods of delivery in government to more agile methods.</t>
  </si>
  <si>
    <t>A brief overview of agile and how to do it.</t>
  </si>
  <si>
    <t>Understand that agile is a mindset (much wider than a set of tools and techniques) at the heart of which sits the concept that business people and developers must work closely together throughout the project.</t>
  </si>
  <si>
    <t>Collection of links to Civil Service Learning courses to improve commercial skills.</t>
  </si>
  <si>
    <t>The competencies in this framework have been structured around the four stages of a strategic communication planning process: Impact, Insight, Ideas, Implementation.</t>
  </si>
  <si>
    <t>Be familiar with the principles in the Agile Manifesto and how they apply to products and services.</t>
  </si>
  <si>
    <t>Guidelines on how to define, measure and maintain quality.</t>
  </si>
  <si>
    <t>Agile Delivery - Project Tracking</t>
  </si>
  <si>
    <t>Use agile tools and techniques (such as burndown charts, lead times, delivery rate) to track progress against delivery, current items in backlog, risks, issues and blockers in order to communicate project status to the team and stakeholders.</t>
  </si>
  <si>
    <t>AGI.5.1</t>
  </si>
  <si>
    <t>Agile Delivery - Continuous improvement</t>
  </si>
  <si>
    <t>Understand and focus the team on delivering value early and often, iterating and continuously improving workflows where necessary.</t>
  </si>
  <si>
    <t>AGI.6.1</t>
  </si>
  <si>
    <t>Sets out the twelve principles underlying agile methodology.</t>
  </si>
  <si>
    <t>Recognise that when working in an agile environment, teams need to keep focused on early and frequent delivery of outcomes that satisfy the business need.</t>
  </si>
  <si>
    <t>Understand all relevant policy around procurement and commercial management in order to achieve the fastest, most appropriate routes to market.</t>
  </si>
  <si>
    <t>A description of the common features of agile projects.</t>
  </si>
  <si>
    <t>COM.3.1</t>
  </si>
  <si>
    <t>Work in multidisciplinary teams, and be willing to support work that isn't part of your core role. Develop a shared understanding of each other's strengths and weaknesses to enable collaborative working.</t>
  </si>
  <si>
    <t>Guidance on building and working with a successful multidisciplinary team.</t>
  </si>
  <si>
    <t>Have a strong understanding of how the design process must start with identifying and thinking about real user needs. Be familiar with how to determine user needs and measure how successfully they are met.</t>
  </si>
  <si>
    <t>Drive continuous, demonstrable improvements in the team and what is delivered, based on data derived from actual delivery, such as:
- burn down and burn up charts
- reducing bottlenecks
- understanding velocity and delivery rates
- cumulative flow diagrams
- process control charts
- work in progress limits
- measures against project goals
- outputs from retrospectives</t>
  </si>
  <si>
    <t>Collection of guidance on user-centred design.</t>
  </si>
  <si>
    <t>AGI.6.2</t>
  </si>
  <si>
    <t>Agile Delivery - Product backlogs</t>
  </si>
  <si>
    <t>Understand the concept of product backlogs, and be able to assist the team in prioritising and refining user stories in the product backlog.</t>
  </si>
  <si>
    <t>AGI.7.1</t>
  </si>
  <si>
    <t>Understand the value of user research and how it can best be used to understand user needs. Doing user research continuously helps teams to:
- concentrate on real user needs
- design products and services which are prioritised based on user needs
- iterate products and services in response to user feedback</t>
  </si>
  <si>
    <t>Agile Delivery - Budget Management</t>
  </si>
  <si>
    <t>Estimate iteratively and scope budgets with input from team members, stakeholders and delivery data and present it in an understandable format.</t>
  </si>
  <si>
    <t>AGI.8.1</t>
  </si>
  <si>
    <t>Agile Delivery - Focus on value</t>
  </si>
  <si>
    <t>AGI.9.1</t>
  </si>
  <si>
    <t>Agile Delivery - Decision making</t>
  </si>
  <si>
    <t>Bring people and views together to inform decision making.</t>
  </si>
  <si>
    <t>AGI.10.1</t>
  </si>
  <si>
    <t>An introduction to user research techniques.</t>
  </si>
  <si>
    <t>Guidance on best practice for procurement for public sector organisations.</t>
  </si>
  <si>
    <t>Weigh up risks against benefits and priorities to deliver.</t>
  </si>
  <si>
    <t>AGI.10.2</t>
  </si>
  <si>
    <t>Write user stories that detail user needs.</t>
  </si>
  <si>
    <t>Agile Delivery - Communication</t>
  </si>
  <si>
    <t>Guidance on navigating the spending controls process.</t>
  </si>
  <si>
    <t>Be familiar with relevant frameworks, and follow the terms and process of each framework.</t>
  </si>
  <si>
    <t>Communicate effectively and clearly even when under pressure and duress.</t>
  </si>
  <si>
    <t>AGI.11.1</t>
  </si>
  <si>
    <t>Guidance on how to write a useful user story.</t>
  </si>
  <si>
    <t>Understand the GDS design principles and how they should underpin the creation of all products, services and digital interactions.</t>
  </si>
  <si>
    <t>COM.3.2</t>
  </si>
  <si>
    <t>A list of GDS design principles and examples of how they've been used so far.</t>
  </si>
  <si>
    <t>Understand the 'Digital by Default' Service Standard and how it acts as a benchmark for the quality of government services.</t>
  </si>
  <si>
    <t>The Digital by Default Service Standard is a set of criteria for digital teams building government services to meet.</t>
  </si>
  <si>
    <t>Understand that effective commercial management, including procurement where necessary, is important in delivering high quality services that improve continuously.</t>
  </si>
  <si>
    <t>Blog on the importance of commercial skills in the civil service.</t>
  </si>
  <si>
    <t>Be aware of internal government procurement rules and EU procurement regulations. Understand the importance of following a robust supplier selection and evaluation process to minimise the risk of delivery delays.</t>
  </si>
  <si>
    <t>Scottish Government guidance giving overview of EU public procurement rules.</t>
  </si>
  <si>
    <t>Consider the impacts of moving from large, long-term vendor contracts to multiple small and medium-sized enterprise (SME) vendors, as this is a big part of the government's transformation.</t>
  </si>
  <si>
    <t>Be aware of government procurement processes and frameworks available such as G-Cloud, Digital Services Framework and the Digital Marketplace.</t>
  </si>
  <si>
    <t>Government approved cloud services for technology projects.</t>
  </si>
  <si>
    <t>Guidance on how to get approval and funding for a service.</t>
  </si>
  <si>
    <t>Advise on the best and fastest way to purchase or commission and understand if it is viable and right in order to meet the user and business needs.</t>
  </si>
  <si>
    <t>COM.3.3</t>
  </si>
  <si>
    <t>Initiate and facilitate open communication between team members and stakeholders, creating a safe environment of transparency and openness.</t>
  </si>
  <si>
    <t>Understand open standards and open source technologies and the part they play in driving digital transformation and avoiding third party vendor 'lock-in'.</t>
  </si>
  <si>
    <t>AGI.11.2</t>
  </si>
  <si>
    <t>Information about the open standards chosen for use in government technology.</t>
  </si>
  <si>
    <t>Be aware of core security principles and be able to identify the security features that may need to be built into your service.</t>
  </si>
  <si>
    <t>Know who the security experts are within your organisation and how to contact them for consultation.</t>
  </si>
  <si>
    <t>Understand the implication of the overall Government Security Classification (GSC) approach and ensure that systems implementation take account of the GSC principles.</t>
  </si>
  <si>
    <t>Advice on how people outside government can help build a service.</t>
  </si>
  <si>
    <t>Know obligations under EU procurement regulations and internal government rules. Ensure compliance with all relevant regulations.</t>
  </si>
  <si>
    <t>COM.4.1</t>
  </si>
  <si>
    <t>The Government Security Classification Policy and accompanying guidance.</t>
  </si>
  <si>
    <t>Understand key principles of identity verification and how to employ the appropriate measures to assure a user's identity when they use government services.</t>
  </si>
  <si>
    <t>Agile Delivery - Stakeholder Management</t>
  </si>
  <si>
    <t>Blogs and updates on the Digital Marketplace.</t>
  </si>
  <si>
    <t>Understand and apply relevant government standards and policies in the course of digital and technology procurement or commissioning, such as the Open Contracting Data Standard and Cyber Essentials Scheme.</t>
  </si>
  <si>
    <t>COM.4.2</t>
  </si>
  <si>
    <t>Provide advice and guidance to support 'make or buy' decision making. Engage with suppliers and product owners to ensure that procured technology and digital services follow government recommendations, such as using open standards and open data wherever possible and moving away from proprietary products and systems.</t>
  </si>
  <si>
    <t>COM.5.1</t>
  </si>
  <si>
    <t>Engage confidently with stakeholders and communicate project information in a clear way, including when communicating difficult messages.</t>
  </si>
  <si>
    <t>AGI.12.1</t>
  </si>
  <si>
    <t>Agile Delivery - Facilitation</t>
  </si>
  <si>
    <t>Recognise how procurement can support rapid, iterative development so that it does not become a blocker. Work closely with delivery teams from the outset of a project, ensuring that the right approaches are chosen.</t>
  </si>
  <si>
    <t>COM.6.1</t>
  </si>
  <si>
    <t>Facilitate meetings and workshops with people from all levels of seniority, without bias.</t>
  </si>
  <si>
    <t>AGI.13.1</t>
  </si>
  <si>
    <t>Agile Delivery - Agile Coaching</t>
  </si>
  <si>
    <t>Understand 'design &amp; build' through to 'support &amp; maintain' for digital services.  Manage the end-to-end lifecycle of contracts:  from Requests for Information (RFI) and Requests for Proposal (RFP), through selection, mini-competition and tendering processes, to maintaining the contract once it is in force.</t>
  </si>
  <si>
    <t>COM.7.1</t>
  </si>
  <si>
    <t>Communicate, promote and coach the use of agile and lean methodologies to the team and relevant/interested stakeholders.</t>
  </si>
  <si>
    <t>AGI.14.1</t>
  </si>
  <si>
    <t>Understand how governance can support rather than impede service delivery, and follow appropriate governance procedures.</t>
  </si>
  <si>
    <t>COM.8.1</t>
  </si>
  <si>
    <t>Information and guidance for governing a digital service.</t>
  </si>
  <si>
    <t>Understand, choose and follow the relevant investment and spend approval processes, both for your department and across government, such as Cabinet Office, Treasury and internal controls.</t>
  </si>
  <si>
    <t>COM.8.2</t>
  </si>
  <si>
    <t>Agile Delivery - Team Management</t>
  </si>
  <si>
    <t>Blog giving the latest updates about the Identity Assurance Programme.</t>
  </si>
  <si>
    <t>Manage people and agile delivery to develop high-performing, self-motivated and collaborative teams.</t>
  </si>
  <si>
    <t>AGI.15.1</t>
  </si>
  <si>
    <t>Be aware of the GOV.UK Verify programme and understand how it can be utilised to meet the identity assurance needs of users, services and departments.</t>
  </si>
  <si>
    <t>Guidelines on building a multidisciplinary team.</t>
  </si>
  <si>
    <t>Matrix-manage multidisciplinary teams, offering leadership and support where needed.</t>
  </si>
  <si>
    <t>AGI.15.2</t>
  </si>
  <si>
    <t>Lead the collaborative planning process, prioritising work that needs to be done against the capacity and capability of the team.</t>
  </si>
  <si>
    <t>AGI.15.3</t>
  </si>
  <si>
    <t>Guidance for government digital service providers that need to use the GOV.UK Verify service.</t>
  </si>
  <si>
    <t>Monitor the media activities of your department and GDS through online channels and social media. As a minimum you should track the names of your department and any associated ministers or high-profile staff members.</t>
  </si>
  <si>
    <t>Agile Delivery - Team Leadership</t>
  </si>
  <si>
    <t>Maintain a clear sense of direction and purpose for the team based on the project vision.</t>
  </si>
  <si>
    <t>AGI.16.1</t>
  </si>
  <si>
    <t>Maintain a positive team mood and focus in difficult and challenging circumstances.</t>
  </si>
  <si>
    <t>AGI.16.2</t>
  </si>
  <si>
    <t>A GDS guide to best practice when using social media This should be used as a resource by anyone managing social media for UK government.</t>
  </si>
  <si>
    <t>Video showing an example of user engagement via social media.</t>
  </si>
  <si>
    <t>Be engaged in online communities relevant to your field of work in order to support your work and improve your skills.</t>
  </si>
  <si>
    <t>Be aware of social media guidance for civil servants and remember three key things when engaging in social media as a civil servant:
 - Learn the rules of each social media space before engaging
 - Abide by the Civil Service Code and ask for advice if you are not sure
 - Remember an official account belongs to the Department not the individual</t>
  </si>
  <si>
    <t>Guidance for civil servants on use of social media</t>
  </si>
  <si>
    <t>Communicate technical and agile concepts to non-technical people.</t>
  </si>
  <si>
    <t>How to describe data centre concepts in a simple manner.</t>
  </si>
  <si>
    <t>The GCS website outlines what is expected of government communicators, provides the tools and training on offer to build successful careers and deliver an exceptional public service and links to further information and advice.</t>
  </si>
  <si>
    <t>Skills group:</t>
  </si>
  <si>
    <t>Description:</t>
  </si>
  <si>
    <t>Typical roles:</t>
  </si>
  <si>
    <t>Roles that might draw skills from this area include: Chief Technology Officers, Chief Digital Officers, Digital Leaders, Service Managers, Project, Programme and Delivery Managers, other SCSs involved in Digital transformation</t>
  </si>
  <si>
    <t>Skills</t>
  </si>
  <si>
    <t>Skills group:</t>
  </si>
  <si>
    <t>Skill title</t>
  </si>
  <si>
    <t>Skill description</t>
  </si>
  <si>
    <t>Code</t>
  </si>
  <si>
    <t>Name</t>
  </si>
  <si>
    <t>Description</t>
  </si>
  <si>
    <t>Name</t>
  </si>
  <si>
    <t>Description</t>
  </si>
  <si>
    <t>Digital Leadership - Business alignment</t>
  </si>
  <si>
    <t>Identify cultural, strategic and tactical business issues, and align digital and technology strategies with business goals for the organisation.</t>
  </si>
  <si>
    <t>DL.1.1</t>
  </si>
  <si>
    <t>DL.1.2</t>
  </si>
  <si>
    <t>Description:</t>
  </si>
  <si>
    <t>Service management is working to develop and deliver an effective user focused digital service. It requires strong leadership, relationship management and digital skills.</t>
  </si>
  <si>
    <t>Helpful tip!</t>
  </si>
  <si>
    <t>Skills group:</t>
  </si>
  <si>
    <t>HMRC’s People Impact Assessment (PIA) tool tackles the challenge of ensuring that people are at the heart of change – it gives consideration to individuals’ professional and personal lives and provides a simple, clear, and proven process to deliver change successfully.</t>
  </si>
  <si>
    <t>Description:</t>
  </si>
  <si>
    <t>Owning the vision, on-going success and continuous improvement of one or more digital products and/or platforms.  (For further introduction, click Skills Group title hyperlink above)</t>
  </si>
  <si>
    <t>Helpful tip!</t>
  </si>
  <si>
    <t>Note that Product Managers need to work particularly closely with Service Managers and Delivery Managers.</t>
  </si>
  <si>
    <t>Typical roles:</t>
  </si>
  <si>
    <t>Roles that might draw skills from this area include: Service Manager, Product Manager, Delivery Manager</t>
  </si>
  <si>
    <t>Typical roles:</t>
  </si>
  <si>
    <t>Skills</t>
  </si>
  <si>
    <t>Roles that might draw skills from this area include: Service Manager, Product Manager, Delivery Manager</t>
  </si>
  <si>
    <t>Skill title</t>
  </si>
  <si>
    <t>Skill description</t>
  </si>
  <si>
    <t>Code</t>
  </si>
  <si>
    <t>Name</t>
  </si>
  <si>
    <t>Description</t>
  </si>
  <si>
    <t>Name</t>
  </si>
  <si>
    <t>Description</t>
  </si>
  <si>
    <t>Product Management - User needs</t>
  </si>
  <si>
    <t>Act as 'voice of the user', ensuring user needs remain central to decision-making.</t>
  </si>
  <si>
    <t>PRM.1.1</t>
  </si>
  <si>
    <t>DL.1.3</t>
  </si>
  <si>
    <t>Advice on the importance of the user need in service design. Any thinking about a service must start with the question: what is the user need?</t>
  </si>
  <si>
    <t>Gather and communicate user needs based on an understanding of diverse audience groups.</t>
  </si>
  <si>
    <t>PRM.1.2</t>
  </si>
  <si>
    <t>Skills</t>
  </si>
  <si>
    <t>Skill title</t>
  </si>
  <si>
    <t>Interpret user research in order to make the correct product decisions, distinguishing between user needs and user wants. Recognise that users may not always be able to articulate their needs.</t>
  </si>
  <si>
    <t>Skill description</t>
  </si>
  <si>
    <t>PRM.1.3</t>
  </si>
  <si>
    <t>Code</t>
  </si>
  <si>
    <t>Name</t>
  </si>
  <si>
    <t>Digital Leadership - Transformation</t>
  </si>
  <si>
    <t>Description</t>
  </si>
  <si>
    <t>Name</t>
  </si>
  <si>
    <t>Description</t>
  </si>
  <si>
    <t>Service Management - Relationship management</t>
  </si>
  <si>
    <t>Lead change in the structure and organisation of digital and technology functions in departments by moving to new Operating Models. Insourcing across government, as well as the digital transformation agenda, means that the shape of digital and technology functions will need to change in order to meet user needs, deliver value for money and improve services.</t>
  </si>
  <si>
    <t>DL.2.1</t>
  </si>
  <si>
    <t>Build good working relationships with internal and external stakeholders, such as other departments, suppliers, and senior leaders. Represent the service positively to stakeholders to gain support and buy-in. Provide strong digital leadership. (see Digital Leadership tab for more details)</t>
  </si>
  <si>
    <t>SM.1.1</t>
  </si>
  <si>
    <t>Blog looking at product management as the intersection between business, technology and user experience.</t>
  </si>
  <si>
    <t>Understand the changes in user habits, preferences and behaviours across various platforms and their implications for successful delivery of services.</t>
  </si>
  <si>
    <t>PRM.1.4</t>
  </si>
  <si>
    <t>Why is this a priority learning area for civil servants?
What does good look like?
How can I develop my ability to lead and manage change?</t>
  </si>
  <si>
    <t>An online course covering product develoment for digital newcomers.</t>
  </si>
  <si>
    <t>Product Management - Discovery</t>
  </si>
  <si>
    <t>Analyse the existing market landscape with an innovative mindset. Identify opportunities and generate ideas for improvements or new products to meet user needs, especially in a discovery phase.</t>
  </si>
  <si>
    <t>PRM.2.1</t>
  </si>
  <si>
    <t>Outline of discovery phase.</t>
  </si>
  <si>
    <t>Brief overview of guidance available for CTOs.</t>
  </si>
  <si>
    <t>ProductTank provides an opportunity for Product Managers in London to meet up, exchange ideas and experiences about Product Design, Development and Management etc.</t>
  </si>
  <si>
    <t>Lead business mind-set change, enabling departments to deliver better services by changing their culture and approach to delivery.  For example, in a rapidly changing technology and digital environment, delivering value early and often to the end user is emphasised.  To successfully drive business change, leaders must be able to inspire and persuade, encouraging all to be part of the journey and embrace change.</t>
  </si>
  <si>
    <t>DL.2.2</t>
  </si>
  <si>
    <t>Service Management - User needs</t>
  </si>
  <si>
    <t>Be familiar with the full spectrum of user insight sources, and how and when to apply them, so that service features and prioritisation are genuinely user-centred at all times</t>
  </si>
  <si>
    <t>SM.2.1</t>
  </si>
  <si>
    <t>Advice on creating cultural and behavioural change to support digital transformation.</t>
  </si>
  <si>
    <t>Product Management - Product strategy</t>
  </si>
  <si>
    <t>Guidance on defining user needs.</t>
  </si>
  <si>
    <t>Define a compelling product strategy and vision contributing to a Digital by Default delivery of government services.</t>
  </si>
  <si>
    <t>PRM.3.1</t>
  </si>
  <si>
    <t>Guidance on organisational design for delivering successful change through technology.</t>
  </si>
  <si>
    <t>Drive the digital transformation within your departments and organisations. Understanding the shifts (behavioural, operational, social) that the digital transformation is causing and translate these fundamental shifts into business impacts at the policy, organisation and individual level.</t>
  </si>
  <si>
    <t>DL.2.3</t>
  </si>
  <si>
    <t>These 3 days contain specialist modules to help service managers succeed and improve in particular areas of the Digital by Default Service Standard.</t>
  </si>
  <si>
    <t>Service Management - Service design</t>
  </si>
  <si>
    <t>A wide range of learning opportunities (e-learning, workshops and resources) to help boost your management skills and plan your future development.</t>
  </si>
  <si>
    <t>Oversee the design of digital services. Kick off the design process, for example through 'inception' meetings and a Discovery phase to identify user needs. Ensure continued service design effort throughout the service lifecycle.</t>
  </si>
  <si>
    <t>SM.3.1</t>
  </si>
  <si>
    <t>Drive and sponsor implementation of open formats for office productivity and integrated tools. Understand the user needs and benefits that implementing open formats will bring. Understand how to achieve a level playing field for open source and proprietary software and the opportunities this provides.</t>
  </si>
  <si>
    <t>DL.2.4</t>
  </si>
  <si>
    <t>Ensure individual product strategy and associated project activity are aligned with the overall department's strategic objectives.</t>
  </si>
  <si>
    <t>PRM.3.2</t>
  </si>
  <si>
    <t>Principles for adopting ODF in your organisation and the challenges involved.</t>
  </si>
  <si>
    <t>Basic guidance on service design.</t>
  </si>
  <si>
    <t>Resources and guides service managers need to deliver great services for GOV.UK</t>
  </si>
  <si>
    <t>Be responsible for the entire product lifecycle and continue to own the product post-launch.This includes not only performance analysis of the product but also building ongoing product roadmaps and planning iterations.</t>
  </si>
  <si>
    <t>Service Management - Meeting the Digital by Default Service Standard</t>
  </si>
  <si>
    <t>Digital Leadership - Strategic planning</t>
  </si>
  <si>
    <t>PRM.3.3</t>
  </si>
  <si>
    <t>Understand how services will be assessed against the Digital by Default Service Standard, and identify development needs to ensure the service meets the standard.</t>
  </si>
  <si>
    <t>SM.4.1</t>
  </si>
  <si>
    <t>Product Management - Planning</t>
  </si>
  <si>
    <t>Take ownership of roadmaps, working closely with Delivery Managers. Use product descriptions and iterated delivery plans to assign priorities and make informed decisions.</t>
  </si>
  <si>
    <t>PRM.4.1</t>
  </si>
  <si>
    <t>An outline of the standards that a digital service should meet.</t>
  </si>
  <si>
    <t>Sets out how GOV.UK product roadmap was built and is maintained. Looks at what works and what doesn't.</t>
  </si>
  <si>
    <t>A wide range of learning opportunities (e-learning, workshops and resources) to help boost your management skills and plan your future development.</t>
  </si>
  <si>
    <t>Create and lead strategic plans, roadmaps and blueprints, and find ways to move from strategy development to implementation. In the current transformation environment, these plans need to be responsive to user needs.</t>
  </si>
  <si>
    <t>DL.3.1</t>
  </si>
  <si>
    <t>Product Management - Use of data</t>
  </si>
  <si>
    <t>Service Management - Digital and technology literacy</t>
  </si>
  <si>
    <t>Guide the delivery and iteration of products and services through effective analysis of qualitative and quantitative user data. Consider all types of data, including offline data such as from a call centre.</t>
  </si>
  <si>
    <t>PRM.5.1</t>
  </si>
  <si>
    <t>Build in feedback loops from the beginning of the project to inform prioritisation and iterations. Decisions should be based on data, for example user metrics, and an understanding of the data and evidence available should be used to communicate those decisions.</t>
  </si>
  <si>
    <t>PRM.5.2</t>
  </si>
  <si>
    <t>Product Management - Stakeholder engagement and communication</t>
  </si>
  <si>
    <t>Have the digital and technical literacy to engage with technical staff and suppliers to define the best system and platform configurations to achieve business and user objectives.</t>
  </si>
  <si>
    <t>Define and get user buy-in for product definition and delivery approach. Communicate both definition and delivery approach effectively to all internal and external stakeholders.</t>
  </si>
  <si>
    <t>SM.5.1</t>
  </si>
  <si>
    <t>PRM.6.1</t>
  </si>
  <si>
    <t>Service Management - Governance</t>
  </si>
  <si>
    <t>Bring together views and input from a wide range of contributors, such as senior stakeholders, developers and user researchers. Share the vision for the product, solve problems during the build and promote collaboration.</t>
  </si>
  <si>
    <t>Digital Leadership - Commercial awareness</t>
  </si>
  <si>
    <t>PRM.6.2</t>
  </si>
  <si>
    <t>Understand all relevant policy around procurement and commercial management in order to achieve the fastest, most appropriate routes to market and procure services from the relevant frameworks by using the Digital Marketplace.  (Refer to Commercial Management Skills Group for more detail)</t>
  </si>
  <si>
    <t>Be actively involved across partner and user communities to promote the department’s principles and foster a collaborative approach to solution delivery and engagement.</t>
  </si>
  <si>
    <t>DL.4.1</t>
  </si>
  <si>
    <t>PRM.6.3</t>
  </si>
  <si>
    <t>Manage the interdependencies of multiple contracts and the associated risks, especially given the preference towards using shorter, 2 year contracts across many Small Medium Enterprises rather than contracts with large vendors.</t>
  </si>
  <si>
    <t>Plan product communication during launch and thereafter at key points during the product lifecycle.</t>
  </si>
  <si>
    <t>DL.4.2</t>
  </si>
  <si>
    <t>PRM.7.1</t>
  </si>
  <si>
    <t>Digital Leadership - Understand digi/tech environment</t>
  </si>
  <si>
    <t>Understand how traditional and agile governance methods can be used to inform decision-making and enable the team to deliver.</t>
  </si>
  <si>
    <t>SM.6.1</t>
  </si>
  <si>
    <t>Ensure post-launch communications are targeted to the right sectors and contain key messages which are easily understood. Identify and segment customer sectors to understand their different needs so that communications can be targeted appropriately. Note that communications continue long after product launch.</t>
  </si>
  <si>
    <t>PRM.7.2</t>
  </si>
  <si>
    <t>6 principles developed by GDS for governing service delivery.</t>
  </si>
  <si>
    <t>The GCS website outlines what is expected of government communicators, provides the tools and training on offer to build successful careers and deliver an exceptional public service and links to further information and advice.</t>
  </si>
  <si>
    <t>Service Management - Multidisciplinary team</t>
  </si>
  <si>
    <t>Have a strong understanding of the end-to-end technology environment in your department, and how it can support (or needs to change to support) the 'Digital by Default' strategy and digital transformation across government.</t>
  </si>
  <si>
    <t>DL.5.1</t>
  </si>
  <si>
    <t>Ensure the team are supported to carry out their work effectively. Build multidisciplinary team capability and develop talent.</t>
  </si>
  <si>
    <t>SM.7.1</t>
  </si>
  <si>
    <t>Work comfortably with a range of digital and technology services and solutions, and have an understanding of how these solutions can be combined to meet user needs, especially in an environment of insourcing and a tower-based approach to technology and digital services.</t>
  </si>
  <si>
    <t>DL.5.2</t>
  </si>
  <si>
    <t>Understand how to combine systems and services to provide an overall solution and meet user needs. Know your systems and services within the internal and external market place and use this knowledge to implement solutions.</t>
  </si>
  <si>
    <t>DL.5.3</t>
  </si>
  <si>
    <t>Monitor the evolving technical landscape and wider digital trends in the industry, such as disruptive innovation, and how they may impact government services or departmental goals.</t>
  </si>
  <si>
    <t>DL.5.4</t>
  </si>
  <si>
    <t>Guidance on putting together the right team to deliver a successful service.</t>
  </si>
  <si>
    <t>Digital Leadership - Agile &amp; multidisciplinary teams</t>
  </si>
  <si>
    <t>Sponsor an environment of agile working and multidisciplinary teams.  Capitalise on the advantages these approaches bring, support collaboration and encourage experimentation and innovation. (Refer to Agile Delivery skills group for more detail.)</t>
  </si>
  <si>
    <t>DL.6.1</t>
  </si>
  <si>
    <t>Work with communications professionals to market the service appropriately through the right channels and encourage maximum take-up. Understand the media landscape and how to target messages to suit the audience.</t>
  </si>
  <si>
    <t>SM.8.1</t>
  </si>
  <si>
    <t>Overview of agile, with links to further resources.</t>
  </si>
  <si>
    <t>Guidance on talking about services with users and colleagues.</t>
  </si>
  <si>
    <t>Service Management - Assisted digital and digital inclusion</t>
  </si>
  <si>
    <t>Consider barriers to adoption of your service and how these can be overcome to ensure maximum take-up.</t>
  </si>
  <si>
    <t>SM.9.1</t>
  </si>
  <si>
    <t>Digital Leadership - Stakeholder management</t>
  </si>
  <si>
    <t>Communicate with both internal and external stakeholders and understand Business Relationship Management. Insourcing and the new tower-based service model means there will be a greater diversity of external stakeholders to manage, such as suppliers, and the relationship with them will need to be closer, more transparent and open in order to create effective services.</t>
  </si>
  <si>
    <t>DL.7.1</t>
  </si>
  <si>
    <t>Ensure the service includes good assisted digital support. Understand what this looks like and how to achieve it.</t>
  </si>
  <si>
    <t>SM.9.2</t>
  </si>
  <si>
    <t>How to provide assisted digital support for customers using your service.</t>
  </si>
  <si>
    <t>Digital Leadership - Risk management</t>
  </si>
  <si>
    <t>Understand and manage strategic risks arising from insourcing activities, shifts towards smaller, shorter government procurement contracts, and the digital transformation agenda.</t>
  </si>
  <si>
    <t>Service Management - Continuous improvement based on data</t>
  </si>
  <si>
    <t>DL.8.1</t>
  </si>
  <si>
    <t>Analyse and act upon user data to design and continually improve services to effectively meet user needs.</t>
  </si>
  <si>
    <t>SM.10.1</t>
  </si>
  <si>
    <t>Advise on the risks associated with cyber security and information assurance and develop strategies to mitigate them.</t>
  </si>
  <si>
    <t>DL.8.2</t>
  </si>
  <si>
    <t>Digital Leadership - Governance</t>
  </si>
  <si>
    <t>Develop the right governance structures that support delivery. In more agile organisations, teams require a supportive culture and a safe environment in order to successfully deliver.  (Refer to Agile Delivery Skills Group for more detail)</t>
  </si>
  <si>
    <t>DL.9.1</t>
  </si>
  <si>
    <t>Guidance to help with efficient planning and approval of spending proposals for agile digital and IT projects.</t>
  </si>
  <si>
    <t>Service Management - Commercial</t>
  </si>
  <si>
    <t>Be familiar with different procurement and commissioning frameworks, encourage new ideas and innovative commercial routes to ensure that government gets the best deal possible.</t>
  </si>
  <si>
    <t>SM.11.1</t>
  </si>
  <si>
    <t>Understand and follow the relevant investment and spend approval processes, both for your department and across government. Produce a business case to secure funding for your service, following appropriate government guidelines.</t>
  </si>
  <si>
    <t>SM.11.2</t>
  </si>
  <si>
    <t>Service Management - Community</t>
  </si>
  <si>
    <t>Information and guidance for governing a digital service.</t>
  </si>
  <si>
    <t>Understand the service as part of the wider context of the digital transformation agenda. Use the Service Manager community to build networks, share knowledge and foster support across government for digital services.</t>
  </si>
  <si>
    <t>SM.12.1</t>
  </si>
  <si>
    <t>Digital Leadership - Skills Transformation</t>
  </si>
  <si>
    <t>Ensure skill gap analyses take place to identify skills needed as a result of, and to enable the digital transformation. For example, identifying skills gaps as a result of new department operating models and insourcing activities of formerly large outsourced IT contracts.</t>
  </si>
  <si>
    <t>DL.10.1</t>
  </si>
  <si>
    <t>Encourage the implementation of learning interventions that deliver training at pace in a constantly changing technology and digital environment. These should take advantage of formal, informal and social learning utilising digital channels.</t>
  </si>
  <si>
    <t>DL.10.2</t>
  </si>
  <si>
    <t>Digital Leadership - Budget &amp; resource planning</t>
  </si>
  <si>
    <t>Determine the appropriate type of funding, for example, resource or capital spending, and be able to plan, manage and scrutinise budgets to ensure value for money.</t>
  </si>
  <si>
    <t>DL.11.1</t>
  </si>
  <si>
    <t>Handbook for people developing communities of practice in government.</t>
  </si>
  <si>
    <t>Determine the right resource model for the management and improvement of digital services.  Consider the key elements of:
1.  What capabilities will be in-house, what will be contingent labour and what will be bought as a service from suppliers
2.  What the mix of suppliers will look like
3.  How suppliers will be used
4.  How people will be deployed
5.  How we can avoid lock-in or dependency on certain suppliers
6.  What the plan is to deliver these supplier changes</t>
  </si>
  <si>
    <t>DL.11.2</t>
  </si>
  <si>
    <t>Digital Leadership - Digital take-up, digital inclusion and assisted digital</t>
  </si>
  <si>
    <t>Use research and user data to create strategic plans in order to increase digital take-up to achieve agreed targets, profiling and monitoring progress over time and adapting to a changing digital landscape.</t>
  </si>
  <si>
    <t>DL.12.1</t>
  </si>
  <si>
    <t>Skills group:</t>
  </si>
  <si>
    <t>Guidance on moving users to digital by default services.</t>
  </si>
  <si>
    <t>As part of the digital take-up plan, identify and plan for digital inclusion activities, to increase user skills sufficiently to enable independent use of digital services where possible; and plans to retire or downscale traditional contact channels.</t>
  </si>
  <si>
    <t>DL.12.2</t>
  </si>
  <si>
    <t>Description:</t>
  </si>
  <si>
    <t>User research is about understanding users and their needs. It can be categorised into two broad themes: product research and strategic research. Research continues throughout the design, build and operation of a service. (For further introduction, click Skills Group title hyperlink above)</t>
  </si>
  <si>
    <t>Helpful tip!</t>
  </si>
  <si>
    <t>Role of User Researcher is always in close collaboration with other areas such as Design, Development, Business Analysis, Performance Analysis and Product Managment.</t>
  </si>
  <si>
    <t>Typical roles:</t>
  </si>
  <si>
    <t>The Digital Inclusion Strategy sets out how government and partners from the public, private and voluntary sectors will increase digital inclusion.</t>
  </si>
  <si>
    <t>Roles that might draw skills from this area include: User Researchers, Business Analysts, Performance Analysts</t>
  </si>
  <si>
    <t>Use research and user data to create strategic plans for the provision of good quality assisted digital support for those unable to use government digital services independently (these should include digital inclusion support where possible to reduce assisted digital provision over time), using agreed cross-government procurement processes.</t>
  </si>
  <si>
    <t>DL.12.3</t>
  </si>
  <si>
    <t>Digital Leadership - Social media channel management</t>
  </si>
  <si>
    <t>Undertake ongoing social media channel monitoring and management (such as content creation and regular posting) in line with Government and departmental social media policy.  Utilise tools for channel management that perform real-time tracking, organising and engagement.  Also be aware of key communication competencies found in the Government Communication Professional Competency Framework as they relate to digital.</t>
  </si>
  <si>
    <t>DL.13.1</t>
  </si>
  <si>
    <t>Skills</t>
  </si>
  <si>
    <t>Skill title</t>
  </si>
  <si>
    <t>Skill description</t>
  </si>
  <si>
    <t>Outlines how GDS use social media, including best practice for different channels, what GDS have learned and future plans. Designed as a resource for anyone managing social media for UK government.</t>
  </si>
  <si>
    <t>Code</t>
  </si>
  <si>
    <t>Name</t>
  </si>
  <si>
    <t>Description</t>
  </si>
  <si>
    <t>Name</t>
  </si>
  <si>
    <t>Description</t>
  </si>
  <si>
    <t>User Research - User-centred design</t>
  </si>
  <si>
    <t>Understand why user-centred design is important and how user research contributes to it.</t>
  </si>
  <si>
    <t>URE.1.1</t>
  </si>
  <si>
    <t>Article on one civil service director's use of social media.</t>
  </si>
  <si>
    <t>An overview of principles underlying user-centred design.</t>
  </si>
  <si>
    <t>GDS hackpad containing learning resources for user research.</t>
  </si>
  <si>
    <t>User Research - User research techniques</t>
  </si>
  <si>
    <t>Know which techniques are appropriate to generate specific kinds of insights into user behaviour and needs, so that research activities are focused on delivering value to the end user.</t>
  </si>
  <si>
    <t>URE.2.1</t>
  </si>
  <si>
    <t>Guidance provides a broad overview of the methods and techniques available to conduct user research.</t>
  </si>
  <si>
    <t>The U.S. governments guide to usability covering basics, research techniques, virtual design and resources.</t>
  </si>
  <si>
    <t>User Research - User journey mapping</t>
  </si>
  <si>
    <t>Conduct user journey mapping exercises and use them as a tool to support user-centred design decision making.</t>
  </si>
  <si>
    <t>URE.3.1</t>
  </si>
  <si>
    <t>A community providing online courses, literature and research publications on interaction design.</t>
  </si>
  <si>
    <t>User Research - Critiquing design work</t>
  </si>
  <si>
    <t>Work closely with designers and design teams to help form design responses to identified research findings, ensuring design remains focused on user needs.</t>
  </si>
  <si>
    <t>URE.4.1</t>
  </si>
  <si>
    <t>A tool to share user research links with other government colleagues.</t>
  </si>
  <si>
    <t>User Research - Planning research</t>
  </si>
  <si>
    <t>Plan out research activities including the schedule of activities, methods, and procurement of resources required.</t>
  </si>
  <si>
    <t>URE.5.1</t>
  </si>
  <si>
    <t>UXPA has resources. publications and events for UX professionals.</t>
  </si>
  <si>
    <t>User Research - Sourcing and recruitment</t>
  </si>
  <si>
    <t>Source and procure participants and facilities in order to conduct user research activities. In particular, write effective screeners to give to procured suppliers, in order to source participants.</t>
  </si>
  <si>
    <t>URE.6.1</t>
  </si>
  <si>
    <t>Information on what user researchers do and what to look for.</t>
  </si>
  <si>
    <t>User Research - Persona creation</t>
  </si>
  <si>
    <t>Create data-driven user personas and use them as a tool to support user-centred design decision making.</t>
  </si>
  <si>
    <t>URE.7.1</t>
  </si>
  <si>
    <t>An overview of good user research tools available online.</t>
  </si>
  <si>
    <t>User Research - Representing the user</t>
  </si>
  <si>
    <t>Use evidence drawn from data and research analysis to represent the user in product and design discussions.</t>
  </si>
  <si>
    <t>URE.8.1</t>
  </si>
  <si>
    <t>User Research - Leading analysis sessions</t>
  </si>
  <si>
    <t>Moderate either 1-to-1 sessions or focus groups, guide discussions and build rapport.  Communicate back the findings effectively.</t>
  </si>
  <si>
    <t>URE.9.1</t>
  </si>
  <si>
    <t>Skills group:</t>
  </si>
  <si>
    <t>Tips and techniques for good user research facilitation.</t>
  </si>
  <si>
    <t>Help the development team, service managers and product owners to work through the findings and create actions to address user needs.</t>
  </si>
  <si>
    <t>URE.9.2</t>
  </si>
  <si>
    <t>Skills group:</t>
  </si>
  <si>
    <t>User Research - Research techniques</t>
  </si>
  <si>
    <t>Utilise a range of user research techniques confidently, both qualitative and quantitative. You should be able to set up and conduct research and experiments using methods such as:
- eye-tracking
- card sorting
- survey design
- participatory design sessions
- focus groups
- unmoderated sessions
- remote sessions
- lab-based user testing
- A/B testings</t>
  </si>
  <si>
    <t>URE.10.1</t>
  </si>
  <si>
    <t>Capture research data throughout sessions, to ensure the recorded outcome is an accurate reflection of the session's content.</t>
  </si>
  <si>
    <t>URE.10.2</t>
  </si>
  <si>
    <t>User Research - Sampling</t>
  </si>
  <si>
    <t>Have an understanding of sampling and how it affects the research process. Know who to interview to get a representative view of users at large, and also know how many people to speak to so that you can talk knowledgeably about user needs.</t>
  </si>
  <si>
    <t>URE.11.1</t>
  </si>
  <si>
    <t>Description:</t>
  </si>
  <si>
    <t>Agile Business Analysis involves understanding user needs, breaking those needs out into constituent parts, analysing multiple solutions and supporting the communication and delivery of a solution to meet the user needs. Analytical thinking, problem-solving and communication skills are core to effective business analysis.</t>
  </si>
  <si>
    <t>Helpful tip!</t>
  </si>
  <si>
    <t>Guidance on how to draw an effective selection of users.</t>
  </si>
  <si>
    <t>This skills group outlines the core business analysis skills but note, skills from other groups are relevant and useful such as User Research, Performance Analysis and Design. "Agile Business Analysis" reflects that the skills required to be a Business Analyst in a digital, agile environment are sometimes different from the skills traditionally associated with Business Analysis.</t>
  </si>
  <si>
    <t>User Research - Performance analysis</t>
  </si>
  <si>
    <t>Typical roles:</t>
  </si>
  <si>
    <t>Work with performance analysis data, and combine it with user research insights to better support delivery of products and maintaining high service standards after delivery.</t>
  </si>
  <si>
    <t>Description:</t>
  </si>
  <si>
    <t>Roles that might draw skills from this area include: Business Analyst, User Researcher, Performance Analyst, Designer, Developer.</t>
  </si>
  <si>
    <t>URE.12.1</t>
  </si>
  <si>
    <t>Skills</t>
  </si>
  <si>
    <t>Design is about how users interact with services and how the services look. It spans everything from colours, to typography, to accessibility. Interaction, graphic and user experience (UX) are key design disciplines which may require some different skill sets. (For further introduction, click Skills Group title hyperlink above)</t>
  </si>
  <si>
    <t>Typical roles:</t>
  </si>
  <si>
    <t>Roles that might draw skills from this area include: Interaction Designers, User Experience (UX) Designers, Graphic Designers, Visual Designers, Developers</t>
  </si>
  <si>
    <t>Skill title</t>
  </si>
  <si>
    <t>Skill description</t>
  </si>
  <si>
    <t>Code</t>
  </si>
  <si>
    <t>How to use data and user research to maintain a high standard of service.</t>
  </si>
  <si>
    <t>Name</t>
  </si>
  <si>
    <t>Description</t>
  </si>
  <si>
    <t>User Research - Accessibility</t>
  </si>
  <si>
    <t>Skills</t>
  </si>
  <si>
    <t>Name</t>
  </si>
  <si>
    <t>Identify user needs of users with accessibility requirements, and employ appropriate user research techniques to ensure these needs are reflected and met.</t>
  </si>
  <si>
    <t>Description</t>
  </si>
  <si>
    <t>URE.13.1</t>
  </si>
  <si>
    <t>Deconstruct user needs and problem statements into constituent parts for analysis and reconstruction. Separate out what is critical, analyse component parts from all sides and 'reassemble' in order to lead to viable solutions.</t>
  </si>
  <si>
    <t>Skill title</t>
  </si>
  <si>
    <t>BA.1.1</t>
  </si>
  <si>
    <t>Skill description</t>
  </si>
  <si>
    <t>Code</t>
  </si>
  <si>
    <t>Name</t>
  </si>
  <si>
    <t>Description</t>
  </si>
  <si>
    <t>Name</t>
  </si>
  <si>
    <t>Guide to researching assisted digital users.</t>
  </si>
  <si>
    <t>Description</t>
  </si>
  <si>
    <t>Design - Design disciplines</t>
  </si>
  <si>
    <t>Provide advice to design teams on how to improve services so they are accessible to everyone.</t>
  </si>
  <si>
    <t>Understand the particular focus of different design disciplines, for example, interaction, graphic and user experience (UX).</t>
  </si>
  <si>
    <t>URE.13.2</t>
  </si>
  <si>
    <t>DES.1.1</t>
  </si>
  <si>
    <t>User Research - Privacy and ethics</t>
  </si>
  <si>
    <t>Understand the confidentiality involved when interviewing, videoing, or collecting user data generally, and how data should be handled.</t>
  </si>
  <si>
    <t>URE.14.1</t>
  </si>
  <si>
    <t>User Research - Video editing</t>
  </si>
  <si>
    <t>Use video editing software, for example to show developers and stakeholders how users interact with a product.</t>
  </si>
  <si>
    <t>URE.15.1</t>
  </si>
  <si>
    <t>A wiki for people working on GOV.UK services to discuss GOV.UK design patterns and share ideas and experiences. Contributions from other designers welcome.</t>
  </si>
  <si>
    <t>Overview of agile.</t>
  </si>
  <si>
    <t>Skills group:</t>
  </si>
  <si>
    <t>External blog on user experience design, including beginners' guide.</t>
  </si>
  <si>
    <t>Design - User journey mapping</t>
  </si>
  <si>
    <t>Plot and explain the end-to-end user journey of a service, including multiple online and offline touch points a user might interact with.</t>
  </si>
  <si>
    <t>DES.2.1</t>
  </si>
  <si>
    <t>Description:</t>
  </si>
  <si>
    <t>Listen to user needs and ask probing questions until the real need is drawn out and understood through root cause analysis. Evaluate multiple options before helping the team to settle on one solution.</t>
  </si>
  <si>
    <t>BA.2.1</t>
  </si>
  <si>
    <t>Content design is about making sure that the text and flow of information on sites or services meets the needs of the user as clearly, simply and quickly as possible. (For further introduction, click Skills Group title hyperlink above)</t>
  </si>
  <si>
    <t>Typical roles:</t>
  </si>
  <si>
    <t>Roles that might draw skills from this area include: Content Designers, Content Managers, Web Managers, Web Editors, Digital Publishers, Information Officers</t>
  </si>
  <si>
    <t>Resources to help designers create services for GOV.UK.</t>
  </si>
  <si>
    <t>Design - Using user research in design</t>
  </si>
  <si>
    <t>Skills</t>
  </si>
  <si>
    <t>Understand different user research practices, work collaboratively with user researchers and use the findings to produce relevant design decisions.</t>
  </si>
  <si>
    <t>DES.3.1</t>
  </si>
  <si>
    <t>Skill title</t>
  </si>
  <si>
    <t>Guidelines on defining user needs.</t>
  </si>
  <si>
    <t>Skill description</t>
  </si>
  <si>
    <t>Code</t>
  </si>
  <si>
    <t>Name</t>
  </si>
  <si>
    <t>Description</t>
  </si>
  <si>
    <t>Name</t>
  </si>
  <si>
    <t>Description</t>
  </si>
  <si>
    <t>Communicate effectively in order to facilitate working meetings, using techniques such as active listening and negotiation. Tailor communication style to suit both face-to-face and virtual settings including web meetings and conference calls.</t>
  </si>
  <si>
    <t>BA.3.1</t>
  </si>
  <si>
    <t>Content Design - Principles of content design</t>
  </si>
  <si>
    <t>Understand how the GDS design principles apply to content design.</t>
  </si>
  <si>
    <t>CDE.1.1</t>
  </si>
  <si>
    <t>Ensure that the wider impact of changes is understood by parallel workstreams.</t>
  </si>
  <si>
    <t>BA3.2</t>
  </si>
  <si>
    <t>Work with the development team to ensure they have a complete understanding of the business and user needs. Make sure end user perspectives are fully considered by the content and technical design team.</t>
  </si>
  <si>
    <t>BA.4.1</t>
  </si>
  <si>
    <t>Facilitate in the continuous review and iteration of development work to ensure the business and user needs continue to be met by the proposed solution.</t>
  </si>
  <si>
    <t>BA.4.2</t>
  </si>
  <si>
    <t>The design principles, examples of how they have been used and advice on how to apply them to future services.</t>
  </si>
  <si>
    <t>Design - Design with data</t>
  </si>
  <si>
    <t>Understand organisational and wider government strategic objectives, and ensure that solutions are aligned with key priorities. Be alert to changes in strategic direction and assess the impact of change.</t>
  </si>
  <si>
    <t>BA.5.1</t>
  </si>
  <si>
    <t>Use performance analysis and user research data to improve and refine the user experience.</t>
  </si>
  <si>
    <t>Skills group:</t>
  </si>
  <si>
    <t>DES.4.1</t>
  </si>
  <si>
    <t>Design - Interaction design</t>
  </si>
  <si>
    <t>Design and plan with stakeholders the process to be used to gather user needs and other relevant data.</t>
  </si>
  <si>
    <t>BA.6.1</t>
  </si>
  <si>
    <t>Create user interfaces, flows and sites that are fundamentally easy to understand and use.</t>
  </si>
  <si>
    <t>DES.5.1</t>
  </si>
  <si>
    <t>Perform analysis of user stories and and make amendments where necessary. Facilitate and give input into prioritisation of user stories.</t>
  </si>
  <si>
    <t>BA.7.1</t>
  </si>
  <si>
    <t>Understand how users interact with online services. Note that interaction design is often described as 'shaping digital things for people's use' and considers both format and human-computer interaction (HCI).</t>
  </si>
  <si>
    <t>DES.5.2</t>
  </si>
  <si>
    <t>Design - Sketching designs</t>
  </si>
  <si>
    <t>Sketch concepts quickly and be able to explain them to non-designers. Show ideas to users to solicit feedback early on in order to design with user needs in mind.</t>
  </si>
  <si>
    <t>Communicate the principles of good content design to others, for example always starting with user needs and writing in plain English.</t>
  </si>
  <si>
    <t>CDE.1.2</t>
  </si>
  <si>
    <t>Guidelines on writing user stories.</t>
  </si>
  <si>
    <t>Content Design - Platform and media choices</t>
  </si>
  <si>
    <t>Interpret data from a range of sources, for example user research and performance metrics. Work with designers and developers to ensure solutions are based on data.</t>
  </si>
  <si>
    <t>BA.8.1</t>
  </si>
  <si>
    <t>Consider all publishing channels (based on user needs) and determine the best platform for publishing content and services. Choose the right media, for example, words, video, or audio.</t>
  </si>
  <si>
    <t>CDE.2.1</t>
  </si>
  <si>
    <t>Guidance on using data to make service improvements.</t>
  </si>
  <si>
    <t>DES.6.1</t>
  </si>
  <si>
    <t>Create user flows, wireframes and map business processes which represent the current structure and future design of a product or service.</t>
  </si>
  <si>
    <t>BA.9.1</t>
  </si>
  <si>
    <t>Design - Platform and device agnostic digital design</t>
  </si>
  <si>
    <t>Design interfaces that are responsive as well as platform and device agnostic, so that they work on as many different end user devices as possible.</t>
  </si>
  <si>
    <t>Analyse the existing landscape with an innovative mindset. Identify opportunities and generate ideas for continuous improvement or new solutions to meet user needs.</t>
  </si>
  <si>
    <t>DES.7.1</t>
  </si>
  <si>
    <t>BA.10.1</t>
  </si>
  <si>
    <t>GDS guidance on planning, writing and managing content for GOV.UK.</t>
  </si>
  <si>
    <t>Be familiar with the GOV.UK proposition and also understand when it is more appropriate to publish content through third parties, on social media, or elsewhere rather than on GOV.UK.</t>
  </si>
  <si>
    <t>CDE.2.2</t>
  </si>
  <si>
    <t>Guidance on the browsers and devices that your service should function on as a minimum.</t>
  </si>
  <si>
    <t>Design - Prototyping interfaces in HTML</t>
  </si>
  <si>
    <t>Prototype interfaces rapidly on paper and then with a basic understanding of languages such as HTML5, CSS3. Use debugging tools such as Chrome Dev tools and Firebug to support the development and improvement of digital services.</t>
  </si>
  <si>
    <t>DES.8.1</t>
  </si>
  <si>
    <t>Designed to help people in departments and agencies who need to publish information or services for the public to use. It helps people to decide if part or all of their planned publishing should be on GOV.UK or not.</t>
  </si>
  <si>
    <t>Skills group:</t>
  </si>
  <si>
    <t>An introduction to building prototypes.</t>
  </si>
  <si>
    <t>Design - Typography</t>
  </si>
  <si>
    <t>Description:</t>
  </si>
  <si>
    <t>Have an understanding of typography and, in particular, creating a hierarchy of information.</t>
  </si>
  <si>
    <t>DES.9.1</t>
  </si>
  <si>
    <t>Digital Performance Analysis is a process of continual iteration and close measurement to see what needs improvement and to investigate ways of improving the service.  It involves generating new and useful information and translating it into actions. Data underpins almost every service we make, buy and use in government. Refer to the 'Data' skills group for more detail on data-related skills. (For further introduction, click Skills Group title hyperlink above)</t>
  </si>
  <si>
    <t>Guidance for government editors and publishers about how to create and edit documents and organisation pages.</t>
  </si>
  <si>
    <t>Content Design - Content planning and content strategies</t>
  </si>
  <si>
    <t>A guide to making your service look consistent with the rest of GOV.UK, including typography.</t>
  </si>
  <si>
    <t>Develop content plans and strategies, showing how the identified user need will be met. Have a good understanding of the creation and format of GOV.UK as a central government service.</t>
  </si>
  <si>
    <t>Description:</t>
  </si>
  <si>
    <t>CDE.3.1</t>
  </si>
  <si>
    <t>Design - Accessibility</t>
  </si>
  <si>
    <t>Develop interfaces and front-end services that are accessible by default; this includes not only the visual elements but also the code mark-up and page structure. Consider accessibility from the outset, as accessibility improves the experience for all users.</t>
  </si>
  <si>
    <t>DES.10.1</t>
  </si>
  <si>
    <t>Data underpins almost every service we make, buy and use in government. These skills are about handling, presenting, manipulating, assessing and analysing data, and about making data interoperable, meaning it is usable both across government and by the public. For more information on how data can be used to support performance analysis, refer to the 'Performance Analysis' skills group. (For further introduction, click Skills Group title hyperlink above)</t>
  </si>
  <si>
    <t>Typical roles:</t>
  </si>
  <si>
    <t>Design a service which meets appropriate accessibility standards, such as Level AA of the Web Content Accessibility Guidelines (WCAG) 2.0 as a starting point. Be familiar with assistive technologies, such as screen readers and speech recognition software, and recognise how these affect the user experience. Understand individual and organisation-wide duties under the Equalities Act 2010.</t>
  </si>
  <si>
    <t>Roles that might draw skills from this area include: Data Scientists, SIRO (Senior Information Responsible Owner) Performance Analysts, Technical Architects, Developers</t>
  </si>
  <si>
    <t>DES.10.2</t>
  </si>
  <si>
    <t>Skills</t>
  </si>
  <si>
    <t>Skill title</t>
  </si>
  <si>
    <t>Skill description</t>
  </si>
  <si>
    <t>Code</t>
  </si>
  <si>
    <t>Typical roles:</t>
  </si>
  <si>
    <t>Name</t>
  </si>
  <si>
    <t>Description</t>
  </si>
  <si>
    <t>Roles that might draw skills from this area include: Data Scientists, Performance Analysts</t>
  </si>
  <si>
    <t>Web Content Accessibility Guidelines (WCAG) 2.0 covers a wide range of recommendations for making Web content more accessible to a wider range of people with disabilities, as well as to users in general.</t>
  </si>
  <si>
    <t>Guidance on how to decide if something is suitable for GOV.UK, what the content lifecycle is and why accessibility must be planned for.</t>
  </si>
  <si>
    <t>Name</t>
  </si>
  <si>
    <t>Design - Design patterns</t>
  </si>
  <si>
    <t>Description</t>
  </si>
  <si>
    <t>Data - Open data</t>
  </si>
  <si>
    <t>Understand open data concepts and the value of making data open.</t>
  </si>
  <si>
    <t>DATA.1.1</t>
  </si>
  <si>
    <t>Create and/or follow agreed design patterns, such as styling of basic form elements and transaction pages.</t>
  </si>
  <si>
    <t>DES.11.1</t>
  </si>
  <si>
    <t>Section of the Service Design Manual setting out open data principles.</t>
  </si>
  <si>
    <t>A library of GOV.UK patterns which should be used to maintain consistency across services.</t>
  </si>
  <si>
    <t>The methods and tools used at GDS to analyse data, which can be applied across government.</t>
  </si>
  <si>
    <t>Understand the increased demands that open data will create, such as the need to maintain documentation and data, as well as increased public scrutiny.</t>
  </si>
  <si>
    <t>Design - Image editing</t>
  </si>
  <si>
    <t>DATA.1.2</t>
  </si>
  <si>
    <t>Use image editing tools to support the creation of designs, layouts and user interfaces.</t>
  </si>
  <si>
    <t>DES.12.1</t>
  </si>
  <si>
    <t>Design - Version control</t>
  </si>
  <si>
    <t>Use a version control system. In agile development, working collaboratively with the team is vital to successful delivery; being able to use a version control system is an essential part of that.</t>
  </si>
  <si>
    <t>DES.13.1</t>
  </si>
  <si>
    <t>Lightning talk events where speakers share their perspectives on agile content.</t>
  </si>
  <si>
    <t>Blog on the benefits of open data.</t>
  </si>
  <si>
    <t>How to use version control systems in projects producing code.</t>
  </si>
  <si>
    <t>How to make use of the performance information your service collects.</t>
  </si>
  <si>
    <t>Guidance on how to write and record a user need for GOV.UK.</t>
  </si>
  <si>
    <t>Data - Data governance</t>
  </si>
  <si>
    <t>Understand and advise on the appropriate data governance and personal data management policies which departments should implement. These policies should ensure that data is consistently and properly handled across services, improving data security and improving efficiency through minimising the amount of 'rework' needed across government.</t>
  </si>
  <si>
    <t>DATA.2.1</t>
  </si>
  <si>
    <t>Understand the implications of publishing content and then appropriately manage the risks of doing so.</t>
  </si>
  <si>
    <t>CDE.3.2</t>
  </si>
  <si>
    <t>Skills</t>
  </si>
  <si>
    <t>Collection of open government data sets in a searchable website.</t>
  </si>
  <si>
    <t>Tools and evidence to back up content design decisions.</t>
  </si>
  <si>
    <t>Data - Statistical and probabilistic modelling</t>
  </si>
  <si>
    <t>Understand the importance of content within the service and interaction design context. For example, writing flat pages for informational purposes is different from using content within a transaction or service to guide the user to successful completion of their goal.</t>
  </si>
  <si>
    <t>CDE.3.3</t>
  </si>
  <si>
    <t>Be proficient in quantitative methods, statistical and probabilistic modelling, using technologies such as R, Python, and SQL. Note that R is particularly prevalent with the academic community, so it is important to be able to use confidently.</t>
  </si>
  <si>
    <t>DATA.3.1</t>
  </si>
  <si>
    <t>Data - Statistical background</t>
  </si>
  <si>
    <t>Become familiar with related academic thought as a baseline for understanding data analysis, such as linear algebra, statistical learning theory, Frequentist and Bayesian approaches.</t>
  </si>
  <si>
    <t>DATA.4.1</t>
  </si>
  <si>
    <t>Collection of blogs on the subject of content design.</t>
  </si>
  <si>
    <t>Disseminate findings from statistical analysis and understand scenarios in which analysis can yield counterintuitive results.</t>
  </si>
  <si>
    <t>DATA.4.2</t>
  </si>
  <si>
    <t>Open data training courses.</t>
  </si>
  <si>
    <t>Data - Labelling and cataloguing</t>
  </si>
  <si>
    <t>Understand the use of meta-data for description and management of data, its use for collecting data, and its use in ensuring interoperability and accurate comparisons across data sets.</t>
  </si>
  <si>
    <t>DATA.5.1</t>
  </si>
  <si>
    <t>Open data training courses.</t>
  </si>
  <si>
    <t>Data - Open standards</t>
  </si>
  <si>
    <t>Understand open standards, how they are being used, and why open standards are essential to the government avoiding vendor lock-in through proprietary formats and interoperability of government systems.</t>
  </si>
  <si>
    <t>DATA.6.1</t>
  </si>
  <si>
    <t>Data - Data visualisation</t>
  </si>
  <si>
    <t>Communicate the context and value of data using data visualisation. Produce exploratory visualisations and plots using analysis tools such as R and Python. Data visualisation can help stakeholders to understand what they are looking at and why it is useful in the formation and improvement of policies and services.</t>
  </si>
  <si>
    <t>DATA.7.1</t>
  </si>
  <si>
    <t>Content Design - Turning complex information into easily understood content</t>
  </si>
  <si>
    <t>Gain in-depth knowledge of a wide range of subjects quickly in order to make informed decisions about the best way to present information to users and to choose from a variety of possible content formats.</t>
  </si>
  <si>
    <t>CDE.4.1</t>
  </si>
  <si>
    <t>Data - Building and testing hypotheses</t>
  </si>
  <si>
    <t>Turn complex subject matter into easily understood language, without losing the depth of information.</t>
  </si>
  <si>
    <t>Understand the data problem you need to solve, and implement data collection and analysis solutions to test a hypothesis. This can be useful for the support of business planning and policy by making policy decisions evidence driven.</t>
  </si>
  <si>
    <t>CDE.4.2</t>
  </si>
  <si>
    <t>DATA.8.1</t>
  </si>
  <si>
    <t>Data - Using Big Data</t>
  </si>
  <si>
    <t>Understand the concept of Big Data and tools available and understand activities such as how to scale cloud/local clusters and run map-reduce jobs.</t>
  </si>
  <si>
    <t>DATA.9.1</t>
  </si>
  <si>
    <t>Keep up to date on Big Data technologies and trends and how they impact Government data analysis. Follow emerging trends such as Big Data analytics in the cloud, machine learning and more predictive analytics, as the disciplines of Big Data and analytics are evolving quickly.</t>
  </si>
  <si>
    <t>DATA.9.2</t>
  </si>
  <si>
    <t>Data - Data visualisation for the web</t>
  </si>
  <si>
    <t>Skills group:</t>
  </si>
  <si>
    <t>Understand front-end web languages like HTML5, Javascript and SVG and some open source visualisation libraries such as d3.js, enabling the production of interactive web-based data visualisations.</t>
  </si>
  <si>
    <t>DATA.10.1</t>
  </si>
  <si>
    <t>Data - Data quality</t>
  </si>
  <si>
    <t>Research by the University of Reading assessing the content principles of GOV.UK and making recommendations for improving them.</t>
  </si>
  <si>
    <t>Assess data quality, ensuring data is usable for the questions you need to ask, and is interoperable across government.</t>
  </si>
  <si>
    <t>Present information in a way that users can understand.</t>
  </si>
  <si>
    <t>DATA.11.1</t>
  </si>
  <si>
    <t>CDE.4.3</t>
  </si>
  <si>
    <t>Data - Languages and statistical analysis softwares</t>
  </si>
  <si>
    <t>Content Design - Writing good content</t>
  </si>
  <si>
    <t>Use languages such as HTML5, JQuery, R, Python, Scala, and Java to interrogate data using statistical analysis software.</t>
  </si>
  <si>
    <t>DATA.12.1</t>
  </si>
  <si>
    <t>Data - Linking, mashing and cleansing data</t>
  </si>
  <si>
    <t>Be confident in use of linking, mashing and cleansing data processes to take advantage of linked and relational data in the analysis of non-homogenous data. In particular, dealing with missing, inconsistent, unstructured data and data errors can be time consuming and demand subtle approaches in order to maintain integrity of data.</t>
  </si>
  <si>
    <t>Skills group:</t>
  </si>
  <si>
    <t>DATA.13.1</t>
  </si>
  <si>
    <t>Description:</t>
  </si>
  <si>
    <t>Helpful tip!</t>
  </si>
  <si>
    <t>Write content in plain English to GOV.UK style with an understanding of how users read on the web.</t>
  </si>
  <si>
    <t>CDE.5.1</t>
  </si>
  <si>
    <t>Skills group:</t>
  </si>
  <si>
    <t>Typical roles:</t>
  </si>
  <si>
    <t>Roles that might draw skills from this area include: Technical Architects, Developers, Infrastructure Managers</t>
  </si>
  <si>
    <t>Description:</t>
  </si>
  <si>
    <t>Development in digital services require code to be written, adapted, maintained and supported with a relentless focus on how it will be used. Identifying new tools and techniques and removing technical bottlenecks are key to successful development and continuous service improvement. (For further introduction, click Skills Group title hyperlink above)</t>
  </si>
  <si>
    <t>Blog on the benefits of using linked data.</t>
  </si>
  <si>
    <t>Typical roles:</t>
  </si>
  <si>
    <t>Roles that might draw skills from this area include: Technical Architects, Developers</t>
  </si>
  <si>
    <t>Skills</t>
  </si>
  <si>
    <t>Description:</t>
  </si>
  <si>
    <t>Skill title</t>
  </si>
  <si>
    <t>Skill description</t>
  </si>
  <si>
    <t>Code</t>
  </si>
  <si>
    <t>Operations engineering is about the skills needed to run production systems and help the development team build software that is easy to operate, scale and secure. This involves expertise in areas such as infrastructure, configuration management, monitoring, deployment, operating systems and end-user device management. (For further introduction, click Skills Group title hyperlink above)</t>
  </si>
  <si>
    <t>Name</t>
  </si>
  <si>
    <t>Skills group:</t>
  </si>
  <si>
    <t>Skill title</t>
  </si>
  <si>
    <t>Description</t>
  </si>
  <si>
    <t>Skill description</t>
  </si>
  <si>
    <t>Code</t>
  </si>
  <si>
    <t>Helpful tip!</t>
  </si>
  <si>
    <t>Data - Stakeholder management</t>
  </si>
  <si>
    <t>Name</t>
  </si>
  <si>
    <t>Description</t>
  </si>
  <si>
    <t>Name</t>
  </si>
  <si>
    <t>Engage with external and internal stakeholders with different levels of technical knowledge to demonstrate the actionable insights from your work.</t>
  </si>
  <si>
    <t>DATA.14.1</t>
  </si>
  <si>
    <t>Name</t>
  </si>
  <si>
    <t>Typical roles:</t>
  </si>
  <si>
    <t>Description</t>
  </si>
  <si>
    <t>Description</t>
  </si>
  <si>
    <t>Roles that might draw skills from this area include: Operations Engineers, Systems Administrators, Web Operations Engineers and Technical Architects.</t>
  </si>
  <si>
    <t>Show how capturing or processing any data can be linked back to user needs and improving their experience.</t>
  </si>
  <si>
    <t>DATA.14.2</t>
  </si>
  <si>
    <t>Development - Development lifecycle</t>
  </si>
  <si>
    <t>Architecture - Architecture for digital services</t>
  </si>
  <si>
    <t>Understand the differences and synergies between front-end design and back-end development.</t>
  </si>
  <si>
    <t>DEV.1.1</t>
  </si>
  <si>
    <t>Data - Data Protection</t>
  </si>
  <si>
    <t>Have an understanding of how architecture practice should look in a digitally focused environment.</t>
  </si>
  <si>
    <t>ARC.1.1</t>
  </si>
  <si>
    <t>Skills</t>
  </si>
  <si>
    <t>Be familiar with The Data Protection Act and relevant parts of the Human Rights Act and how they must be considered in the design of data strategies.</t>
  </si>
  <si>
    <t>DATA.15.1</t>
  </si>
  <si>
    <t>Description:</t>
  </si>
  <si>
    <t>Operations Management is about managing the day-to-day operations of services; handling user requests and queries, and 'keeping the lights on'.  (For further introduction, click Skills Group title hyperlink above)</t>
  </si>
  <si>
    <t>Skill title</t>
  </si>
  <si>
    <t>Skill description</t>
  </si>
  <si>
    <t>Code</t>
  </si>
  <si>
    <t>Name</t>
  </si>
  <si>
    <t>Helpful tip!</t>
  </si>
  <si>
    <t>Description</t>
  </si>
  <si>
    <t>Operations Management is about managing the day-to-day operations of services; handling user requests and queries, and 'keeping the lights on'. (For further introduction, click Skills Group title hyperlink above)</t>
  </si>
  <si>
    <t>Name</t>
  </si>
  <si>
    <t>Skills group:</t>
  </si>
  <si>
    <t>Description</t>
  </si>
  <si>
    <t>Ops Engineering - Digital impact on Ops</t>
  </si>
  <si>
    <t>Typical roles:</t>
  </si>
  <si>
    <t>Guidance on legal obligations to protect that information under the Data Protection Act 1998.</t>
  </si>
  <si>
    <t>Roles that might draw skills from this area include: Operations Managers, (ITIL) Service Managers, Infrastructure Managers and Technical Architects.</t>
  </si>
  <si>
    <t>Section of Service Design Manual setting out key elements of successful technology architecture.</t>
  </si>
  <si>
    <t>Sets out what developers do and the skills required.</t>
  </si>
  <si>
    <t>Data - Schemas</t>
  </si>
  <si>
    <t>OPEN.1.1</t>
  </si>
  <si>
    <t>Work with database schemas that set the integrity constraints imposed on a database, for example, data collection and bulk data transfers.</t>
  </si>
  <si>
    <t>DATA.16.1</t>
  </si>
  <si>
    <t>Skills</t>
  </si>
  <si>
    <t>Data - Data Driven Service Design &amp; Iteration</t>
  </si>
  <si>
    <t>Use data to change processes and refine a digital service to better meet the needs of users.</t>
  </si>
  <si>
    <t>DATA.17.1</t>
  </si>
  <si>
    <t>How to manage software dependencies and tools that can be used.</t>
  </si>
  <si>
    <t>Skill title</t>
  </si>
  <si>
    <t>Skill description</t>
  </si>
  <si>
    <t>Development - Programming languages</t>
  </si>
  <si>
    <t>Code</t>
  </si>
  <si>
    <t>Name</t>
  </si>
  <si>
    <t>Description</t>
  </si>
  <si>
    <t>Have an aptitude for programming and be confident in at least one language for both front-end and server-side uses, such as Python, Ruby, PERL, Java, Scala or PHP.</t>
  </si>
  <si>
    <t>Description:</t>
  </si>
  <si>
    <t>DEV 2.1</t>
  </si>
  <si>
    <t>Name</t>
  </si>
  <si>
    <t>Description</t>
  </si>
  <si>
    <t>Ops Management - Digital impact on Ops</t>
  </si>
  <si>
    <t>Be confident in core concepts of major programming paradigms (such as object-oriented programming) and apply these to new and developing technologies and languages.</t>
  </si>
  <si>
    <t>Cyber Security and Information Assurance covers appropriate steps that must be taken to guarantee security when building and managing a service. It includes maintaining the confidentiality, integrity and availability of services and their information as well as protecting the whole service against threats. (For further introduction, click Skills Group title hyperlink above)</t>
  </si>
  <si>
    <t>DEV.2.2</t>
  </si>
  <si>
    <t>OPMA.1.1</t>
  </si>
  <si>
    <t>Development - Understanding of data formats and architectural styles</t>
  </si>
  <si>
    <t>Other areas of expertise:</t>
  </si>
  <si>
    <t>Article on how to set up development operations.</t>
  </si>
  <si>
    <t>For more detailed information about the Government Security Profession, refer to the following link:</t>
  </si>
  <si>
    <t>Understand and use data formats such as XML and JSON, and architectural styles such as REST.</t>
  </si>
  <si>
    <t>Article on how to set up development operations.</t>
  </si>
  <si>
    <t>DEV.3.1</t>
  </si>
  <si>
    <t>Ops Engineering - Hosting and cloud</t>
  </si>
  <si>
    <t>Undertake 'horizon scanning' and be able to identify opportunities in emerging software so technology does not stagnate.</t>
  </si>
  <si>
    <t>ARC.1.2</t>
  </si>
  <si>
    <t>Development - Continuous integration and improvement</t>
  </si>
  <si>
    <t>Understand the concept of continuous integration, and be confident in releasing code as it is ready for deployment.</t>
  </si>
  <si>
    <t>Have a strong understanding of all fundamental elements of hosting and cloud technologies, including:
- design 
- planning
- security and compliance
- integration
- provisioning
- cloud storage
- virtualisation
Consider the above in the context of the related business environment, for instance if customer facing or business-to-business (B2B).</t>
  </si>
  <si>
    <t>DEV.4.1</t>
  </si>
  <si>
    <t>OPEN.2.1</t>
  </si>
  <si>
    <t>Outlines the typical scope of infrastructure and web operations work on a large service redesign project.</t>
  </si>
  <si>
    <t>Guidelines how to decide where your service will live.</t>
  </si>
  <si>
    <t>An explanation of what horizon scanning is and how it can be used to benefit your work.</t>
  </si>
  <si>
    <t>Principles for software deployment.</t>
  </si>
  <si>
    <t>Skills required by operations engineers.</t>
  </si>
  <si>
    <t>Technology architecture section of the Government Service design manual.</t>
  </si>
  <si>
    <t>Analyse and refine code to improve performance and continually improve services to make them 'simpler, faster and clearer'. Inspect code visually for quality, both your own code or the code of others in the team.</t>
  </si>
  <si>
    <t>DEV.4.2</t>
  </si>
  <si>
    <t>Bridge understanding and be able to operate in both spaces of digital, front-end and technology, back-end.</t>
  </si>
  <si>
    <t>Have a strong understanding of cloud hosting services and the types available, in particular Platform, Infrastructure and Software As A Service (PaaS, IaaS, SaaS). Understand the government's 'Cloud First' policy, and why PaaS, IaaS, SaaS should be considered before other kinds of solutions.</t>
  </si>
  <si>
    <t>ARC.2.1</t>
  </si>
  <si>
    <t>OPEN.2.2</t>
  </si>
  <si>
    <t>Development - Progressive enhancement</t>
  </si>
  <si>
    <t>Code based upon the concept of 'progressive enhancement'. Code for the most basic functionality which works on a baseline of devices before enhancing services so that they are platform and device agnostic. Understand the features of various web browsers, and be able to create code that is both compatible with a wide variety of browsers, and be able to test that compatibility.</t>
  </si>
  <si>
    <t>DEV.5.1</t>
  </si>
  <si>
    <t>Typical roles:</t>
  </si>
  <si>
    <t>Roles that might draw skills from this area include: Technical Architects, Developers, Chief Technology Officers, Chief Digital Officers, Senior Information Risk Owners (SIRO) and Departmental Security Officers (DSO).</t>
  </si>
  <si>
    <t>Collection of guides for operating a service.</t>
  </si>
  <si>
    <t>An overview of good service intergration practice.</t>
  </si>
  <si>
    <t>Skills</t>
  </si>
  <si>
    <t>Ops Engineering - Maintaining Cloud services</t>
  </si>
  <si>
    <t>Provision, build and deploy SaaS, IaaS, and PaaS environments.</t>
  </si>
  <si>
    <t>OPEN.3.1</t>
  </si>
  <si>
    <t>Be able to integrate new digital front-end solutions with legacy back-end systems. Overall system design should consider all elements of digital front-end with back-end and internal/external system integration.</t>
  </si>
  <si>
    <t>ARC.2.2</t>
  </si>
  <si>
    <t>Design architectures with all traditional aspects of integration considered (such as universal data models and messaging) and take into account how these are impacted by digital transformation.</t>
  </si>
  <si>
    <t>ARC.2.3</t>
  </si>
  <si>
    <t>How to create pages that work regardless of browser capability.</t>
  </si>
  <si>
    <t>Build integration points/APIs so they are secure and adaptable.</t>
  </si>
  <si>
    <t>ARC.2.4</t>
  </si>
  <si>
    <t>Ensure that elements of outsourcing are in line with Government's policies on external vendors and that outsourced elements are technically integrated with overall system design. Work with external suppliers to ensure their system architecture is robust, scalable, open and secure.</t>
  </si>
  <si>
    <t>ARC.2.5</t>
  </si>
  <si>
    <t>Outlines the typical scope of infrastructure and web operations work on a large service redesign project.</t>
  </si>
  <si>
    <t>Understand how to manage the capacity of the services and how that impacts on cost.</t>
  </si>
  <si>
    <t>OPEN.3.2</t>
  </si>
  <si>
    <t>Ops Engineering - Deployment pipelines</t>
  </si>
  <si>
    <t>Development - Prototyping</t>
  </si>
  <si>
    <t>Prototype designs and layouts and be able to adapt those designs based on user research.</t>
  </si>
  <si>
    <t>Understand the end-to-end deployment pipeline. Knowing how it works and how each element works together will have implications for configuration management and the automation of the build, test and release processes.</t>
  </si>
  <si>
    <t>DEV.6.1</t>
  </si>
  <si>
    <t>OPEN.4.1</t>
  </si>
  <si>
    <t>Development - Modular coding</t>
  </si>
  <si>
    <t>Create code in multiple layers, so that it is modular and potentially re-usable, to enable more robust services to be created.</t>
  </si>
  <si>
    <t>DEV.7.1</t>
  </si>
  <si>
    <t>Skills group:</t>
  </si>
  <si>
    <t>Development - Reusing code</t>
  </si>
  <si>
    <t>Understand the advantages and risks of using third-party code related to open-source technologies.</t>
  </si>
  <si>
    <t>DEV 8.1</t>
  </si>
  <si>
    <t>Section of the Service Design Manual setting out the deployment pipeline in the context of continuous delivery.</t>
  </si>
  <si>
    <t>Know the options for reusing code, such as copying the code into your project, pulling in third party dependencies automatically using a dependency management tool, or forking the third party code into a separate repository managed by you.</t>
  </si>
  <si>
    <t>DEV 8.2</t>
  </si>
  <si>
    <t>Ops Engineering - Automated deployment</t>
  </si>
  <si>
    <t>Decrease the risks of reusing code by using dependency management tools (such as Maven or Bundler), commercial tools (such as Gemnasium or Sonatype CLM) or mailing lists (such as RedHat or CERT-UK).</t>
  </si>
  <si>
    <t>Understand the deployment process through which code goes from the version control system to production, and automate this deployment process.
Facilitate the 'little and often' principle of deployment.
Automated deployment forces you to fully understand the end-to-end deployment process. It also means that code is fully tested, and bugs are fixed so that releases become frequent, low-risk and almost boring events.</t>
  </si>
  <si>
    <t>DEV 8.3</t>
  </si>
  <si>
    <t>OPEN.5.1</t>
  </si>
  <si>
    <t>Ops Engineering - Configuration management</t>
  </si>
  <si>
    <t>Development - Developing to avoid security exploits</t>
  </si>
  <si>
    <t>Recognise the importance of maintaining consistency between development and deployment environments.</t>
  </si>
  <si>
    <t>OPEN.6.1</t>
  </si>
  <si>
    <t>Understand how security procedures and standards affect how you code, and write code which is secure.</t>
  </si>
  <si>
    <t>DEV 9.1</t>
  </si>
  <si>
    <t>Understand common security attack vectors, such as JavaScript code exploits, and programme such that these loopholes are closed.</t>
  </si>
  <si>
    <t>DEV 9.2</t>
  </si>
  <si>
    <t>Description:</t>
  </si>
  <si>
    <t>Development - Risk management</t>
  </si>
  <si>
    <t>Quality Assurance and Testing is about continuously ensuring the best quality system is built and making sure it does what the user requires. (For further introduction, click Skills Group title hyperlink above)</t>
  </si>
  <si>
    <t>Have an understanding of the risks of developing in an agile environment. Set expectations about the length of time it might take for services to become minimal viable products and manage those expectations.</t>
  </si>
  <si>
    <t>DEV.10.1</t>
  </si>
  <si>
    <t>Typical roles:</t>
  </si>
  <si>
    <t>How to manage the pieces of your software/ service so that they work together and are reusable.</t>
  </si>
  <si>
    <t>Roles that might draw skills from this area include: Tester, Test Engineer, Quality Assurance Leads, Technical Architects, Developers</t>
  </si>
  <si>
    <t>Development - Service-oriented architecture</t>
  </si>
  <si>
    <t>Have a strong understanding of service-oriented architecture and how it supports server-side web applications, as the government moves towards more interdependent services as part of the digital transformation.</t>
  </si>
  <si>
    <t>DEV.11.1</t>
  </si>
  <si>
    <t>Use the same configuration management tools for the deployment and production environments to avoid versions working in test that may not work in production.</t>
  </si>
  <si>
    <t>OPEN.6.2</t>
  </si>
  <si>
    <t>Skills</t>
  </si>
  <si>
    <t>Development - Server-based Operating Systems</t>
  </si>
  <si>
    <t>Use server-based operating systems comfortably, and maintain those application environments.  The transformation agenda means developers - not just specialist architects or operations roles - will need to have a strong understanding of the server environment they work in.</t>
  </si>
  <si>
    <t>Consider using open source configuration management tools such as CFEngine, Chef, Puppet.</t>
  </si>
  <si>
    <t>DEV.12.1</t>
  </si>
  <si>
    <t>OPEN.6.3</t>
  </si>
  <si>
    <t>Skill title</t>
  </si>
  <si>
    <t>Development - Accessibility</t>
  </si>
  <si>
    <t>Skill description</t>
  </si>
  <si>
    <t>Code</t>
  </si>
  <si>
    <t>Break down restrictive manual processes such as over-restrictive change management in order to build agile and flexible software systems.</t>
  </si>
  <si>
    <t>Name</t>
  </si>
  <si>
    <t>OPEN.6.4</t>
  </si>
  <si>
    <t>Develop services that are accessible by default; this includes not only the visual elements but also the code mark-up, format and page structure. Ensure the service is usable with assistive technologies such as screen readers, screen magnifiers and speech recognition software.</t>
  </si>
  <si>
    <t>Description</t>
  </si>
  <si>
    <t>DEV.13.1</t>
  </si>
  <si>
    <t>Ops Engineering - Transition</t>
  </si>
  <si>
    <t>Name</t>
  </si>
  <si>
    <t>Plan for the transition of services between environments and/or suppliers and act on that plan.</t>
  </si>
  <si>
    <t>OPEN.7.1</t>
  </si>
  <si>
    <t>Description</t>
  </si>
  <si>
    <t>QA and Testing - User stories</t>
  </si>
  <si>
    <t>Ops Engineering - Service integration</t>
  </si>
  <si>
    <t>Utilise user stories and clear acceptance criteria in testing strategies.</t>
  </si>
  <si>
    <t>Build an overall service integration model, and perform end-to-end service mapping.</t>
  </si>
  <si>
    <t>OPEN.8.1</t>
  </si>
  <si>
    <t>QAT.1.1</t>
  </si>
  <si>
    <t>Key skills required by an accessibility-focused developer.</t>
  </si>
  <si>
    <t>Outline of service integration and management.</t>
  </si>
  <si>
    <t>Ops Engineering - Setting up a shared sandbox</t>
  </si>
  <si>
    <t>Set up a shared sandbox testing environment as part of the deployment pipeline, ensuring that everyone working on the design, development or maintenance of a service has a clear, easily accessible place to review the latest version of the software.</t>
  </si>
  <si>
    <t>Create layouts and interfaces that meet web standards to ensure accessibility and compatibility for as many end users as possible. As a starting point, services should aim to meet Level AA of the Web Content Accessibility Guidelines (WCAG) 2.0. Understand individual and organisation-wide duties under the Equalities Act 2010.</t>
  </si>
  <si>
    <t>OPEN.9.1</t>
  </si>
  <si>
    <t>DEV.13.2</t>
  </si>
  <si>
    <t>Ops Engineering - Load testing</t>
  </si>
  <si>
    <t>Development - Using different environments</t>
  </si>
  <si>
    <t>Guidelines on how to write a useful user story.</t>
  </si>
  <si>
    <t>Assess the environmental needs of a project in terms of development needs and a live service need. For example, environments might include:
- Performance testing
- Staging and integration</t>
  </si>
  <si>
    <t>DEV.14.1</t>
  </si>
  <si>
    <t>QA and Testing - Development lifecycle from discovery to live</t>
  </si>
  <si>
    <t>Know the stages through which services are created - from discovery through to live.</t>
  </si>
  <si>
    <t>QAT.2.1</t>
  </si>
  <si>
    <t>Undertake load testing, simulating certain types of Denial of Service attacks, including Distributed Denial of Service attacks, so that you can ensure sites and applications work under realistic load (traffic) conditions.</t>
  </si>
  <si>
    <t>OPEN.10.1</t>
  </si>
  <si>
    <t>Guidelines for development environments.</t>
  </si>
  <si>
    <t>Development - Testing</t>
  </si>
  <si>
    <t>Use testing and debugging tools such as Chrome Dev tools and Firebug to support the development and improvement of digital services. Undertake performance testing to assess the stability and responsiveness of a service.</t>
  </si>
  <si>
    <t>DEV.15.1</t>
  </si>
  <si>
    <t>Information on capacity planning, load testing and performance testing.</t>
  </si>
  <si>
    <t>Ops Engineering - Commit stage</t>
  </si>
  <si>
    <t>Guide to how to test that your code does what it's supposed to do.</t>
  </si>
  <si>
    <t>Check into a version control system, understand and set up tests that can check the quality of code for compile errors and unit test failures at the commit stage. This ensures that code is ready to be released to the shared sandbox environment.</t>
  </si>
  <si>
    <t>OPEN.11.1</t>
  </si>
  <si>
    <t>Advice on how to make sure your code does what it's supposed to.</t>
  </si>
  <si>
    <t>Ops Engineering - Service capability reviews</t>
  </si>
  <si>
    <t>QAT.2.2</t>
  </si>
  <si>
    <t>Carry out service capability reviews to ensure they are meeting key performance indicators such as performance, availability, and so on.</t>
  </si>
  <si>
    <t>OPEN.12.1</t>
  </si>
  <si>
    <t>Build useful, robust, automated testing suites, and preview and staging areas, to support a continuous deployment environment.</t>
  </si>
  <si>
    <t>DEV.15.2</t>
  </si>
  <si>
    <t>QA and Testing - Defining and implementing a test strategy</t>
  </si>
  <si>
    <t>Ops Engineering - Matching user needs to devices</t>
  </si>
  <si>
    <t>Develop a test strategy tailored to the size and scope of the project.</t>
  </si>
  <si>
    <t>Development - Scaling, hosting and applications</t>
  </si>
  <si>
    <t>QAT.3.1</t>
  </si>
  <si>
    <t>Have an understanding of how to scale an application or its hosting environment to support variation in demand.</t>
  </si>
  <si>
    <t>DEV.16.1</t>
  </si>
  <si>
    <t>Articulate user needs in relation to end user devices, and have the technical understanding of a variety of products in order to match the needs of users to a range of appropriate devices.</t>
  </si>
  <si>
    <t>Transform the design of the test strategy into actual delivery and ensure that the capability to deliver the strategy is realised.</t>
  </si>
  <si>
    <t>Development - Application Programming Interfaces (APIs)</t>
  </si>
  <si>
    <t>OPEN.13.1</t>
  </si>
  <si>
    <t>QAT.3.2</t>
  </si>
  <si>
    <t>Have an understanding of Application Programming Interfaces (APIs), and the structure and components of a high-quality API, such as caching and authentication. Understand the role of good APIs in the context of open data and interoperable services.</t>
  </si>
  <si>
    <t>DEV.17.1</t>
  </si>
  <si>
    <t>QA and Testing - Testing levels</t>
  </si>
  <si>
    <t>Understand the objective of testing levels (from Unit to Acceptance) and advise the team on a cohesive testing strategy, including what to test and what is not required.</t>
  </si>
  <si>
    <t>QAT.4.1</t>
  </si>
  <si>
    <t>Section in Service Design Manual on delivering IT that meets the needs of users.</t>
  </si>
  <si>
    <t>Ops Engineering - Email and collaboration platforms</t>
  </si>
  <si>
    <t>Know the range of email and collaboration platforms available to government (such as Google Apps, Office 365 and Exchange) and the benefits/risks of each when choosing solutions.</t>
  </si>
  <si>
    <t>OPEN.14.1</t>
  </si>
  <si>
    <t>Ops Engineering - Telephony and data</t>
  </si>
  <si>
    <t>Have an understanding of changes in telephony and the market shift away from fixed lines towards WiFi and mobile technologies. This is particularly important in a context of enabling a more mobile civil service workforce.</t>
  </si>
  <si>
    <t>How the approach to testing varies when in an agile environment.</t>
  </si>
  <si>
    <t>OPEN.15.1</t>
  </si>
  <si>
    <t>QA and Testing - Continuous integration</t>
  </si>
  <si>
    <t>Guidance on using and creating Application Programming Interfaces.</t>
  </si>
  <si>
    <t>QAT.5.1</t>
  </si>
  <si>
    <t>QA and Testing - Testing</t>
  </si>
  <si>
    <t>Design and implement database schemas.</t>
  </si>
  <si>
    <t>DEV.18.1</t>
  </si>
  <si>
    <t>Build useful, robust, automated testing suites, as well as preview and staging areas, in order to support a continuous deployment environment.</t>
  </si>
  <si>
    <t>QAT.6.1</t>
  </si>
  <si>
    <t>Development - Version Control</t>
  </si>
  <si>
    <t>Set up and use a version control system and code management technologies for collaboration, review and management of projects.</t>
  </si>
  <si>
    <t>DEV.19.1</t>
  </si>
  <si>
    <t>How to identify insecurities in your service through testing.</t>
  </si>
  <si>
    <t>Develop actions based on the results of testing activity.</t>
  </si>
  <si>
    <t>QAT.6.2</t>
  </si>
  <si>
    <t>QA and Testing - Testing systems and software</t>
  </si>
  <si>
    <t>Guidelines on version control.</t>
  </si>
  <si>
    <t>Development - Open source technologies</t>
  </si>
  <si>
    <t>QAT.7.1</t>
  </si>
  <si>
    <t>Know what open source technologies are available to help develop a service, and when it is appropriate to use them.</t>
  </si>
  <si>
    <t>DEV.20.1</t>
  </si>
  <si>
    <t>Online presentation slides from Cem Kaner, who coined the phrase "exploratory testing".</t>
  </si>
  <si>
    <t>Understand how exploratory testing is specifically used in an agile environment, and how to perform unscripted testing. Develop and implement test charters to give exploratory testing sessions a mission without being prescriptive.</t>
  </si>
  <si>
    <t>QAT.7.2</t>
  </si>
  <si>
    <t>How to gather qualitative feedback from service users through lab-based techniques.</t>
  </si>
  <si>
    <t>Engage in exploratory testing of partially-completed functionality, understand what is a defect and what has not been implemented yet, and provide constructive feedback to developers.</t>
  </si>
  <si>
    <t>QAT.7.3</t>
  </si>
  <si>
    <t>QA and Testing - Accessibility</t>
  </si>
  <si>
    <t>Perform accessibility testing to make sure a product or service is easy to use for users with a range of disabilities. Be familiar with a range of assistive technologies, and use a variety of accessibility testing methods such as screening, code review and user testing.</t>
  </si>
  <si>
    <t>QAT.8.1</t>
  </si>
  <si>
    <t>Guidance on testing to see if your service is inclusive.</t>
  </si>
  <si>
    <t>QAT.8.2</t>
  </si>
  <si>
    <t>QA and Testing - Performance testing</t>
  </si>
  <si>
    <t>Carry out performance tests to ensure that the service remains stable and responsive at more than the projected volumes of traffic. Consider and test (where applicable) the software running on the site as well as the networks, proxies and caches involved in serving traffic over the internet.</t>
  </si>
  <si>
    <t>QAT.9.1</t>
  </si>
  <si>
    <t>Information on capacity planning, load testing and performance testing.</t>
  </si>
  <si>
    <t>QA and Testing - Operational acceptance testing</t>
  </si>
  <si>
    <t>Undertake operational acceptance tests, such as checking backup/restore facilities, disaster recovery procedures and the arrangements for performing maintenance tasks before releasing your software.</t>
  </si>
  <si>
    <t>QAT.10.1</t>
  </si>
  <si>
    <t>QA and Testing - Cross-browser and cross-device testing</t>
  </si>
  <si>
    <t>Test for cross-browser and cross-device compatibility, to ensure that the product is accessible to the widest possible number of users.</t>
  </si>
  <si>
    <t>QAT.11.1</t>
  </si>
  <si>
    <t>QA and Testing - Moving code to local environments for testing</t>
  </si>
  <si>
    <t>Check out' particular versions of code onto a local environment on machines and start/stop the system.</t>
  </si>
  <si>
    <t>QAT.12.1</t>
  </si>
  <si>
    <t>Have a strong understanding of system architecture at a high level, including concepts such as application servers, databases, middleware, web services.</t>
  </si>
  <si>
    <t>QAT.13.1</t>
  </si>
  <si>
    <t>QA and Testing - Reading and understanding code</t>
  </si>
  <si>
    <t>Read code at a high level, for example, find tests in a codebase and understand their intent.</t>
  </si>
  <si>
    <t>QAT.14.1</t>
  </si>
  <si>
    <t>QA and Testing - Code repositories and version control</t>
  </si>
  <si>
    <t>Have an understanding of code repositories, commit process (trunk concept) and version control.</t>
  </si>
  <si>
    <t>QAT.15.1</t>
  </si>
  <si>
    <t>ARC.3.1</t>
  </si>
  <si>
    <t>Code repository for GOV.UK</t>
  </si>
  <si>
    <t>QA and Testing - Defect lifecycle</t>
  </si>
  <si>
    <t>Manage the defect lifecycle and have the ability to advise on tests to put in place after fixes are made.</t>
  </si>
  <si>
    <t>QAT.16.1</t>
  </si>
  <si>
    <t>QA and Testing - Reporting outcomes</t>
  </si>
  <si>
    <t>Interpret the results of individual test sessions and testing more generally to provide a clear and consistent view of quality to communicate to the team and key stakeholders.</t>
  </si>
  <si>
    <t>QAT.17.1</t>
  </si>
  <si>
    <t>ARC.3.2</t>
  </si>
  <si>
    <t>Skill title</t>
  </si>
  <si>
    <t>Skill description</t>
  </si>
  <si>
    <t>Code</t>
  </si>
  <si>
    <t>Name</t>
  </si>
  <si>
    <t>ARC.3.3</t>
  </si>
  <si>
    <t>Description</t>
  </si>
  <si>
    <t>Name</t>
  </si>
  <si>
    <t>Architecture - Legacy systems</t>
  </si>
  <si>
    <t>Description</t>
  </si>
  <si>
    <t>Cyber Security and IA - Confidentiality, Integrity and Availability</t>
  </si>
  <si>
    <t>ARC.4.1</t>
  </si>
  <si>
    <t>Apply the 3 main concepts of information security (confidentiality, integrity and availability) to assessing and managing information risk. When designing or adopting security controls, these must address one or more of these concepts. Advise on the risks associated with data management and how to develop strategies to mitigate them. Set out information risks in business terms.</t>
  </si>
  <si>
    <t>CSIA.1.1</t>
  </si>
  <si>
    <t>Architecture - Standards compliance</t>
  </si>
  <si>
    <t>Understand and design systems that comply to national and public sector standards. Where appropriate, EU and international standards may also have to be considered.</t>
  </si>
  <si>
    <t>ARC.5.1</t>
  </si>
  <si>
    <t>Be aware of the government's open source standards during systems design and consider the merits of using open source technologies.</t>
  </si>
  <si>
    <t>ARC.5.2</t>
  </si>
  <si>
    <t>An introduction in to information security and its role in government.</t>
  </si>
  <si>
    <t>OPMA.2.1</t>
  </si>
  <si>
    <t>How open source fits in to government IT strategy.</t>
  </si>
  <si>
    <t>Architecture - Governance</t>
  </si>
  <si>
    <t>Design and participate in proportional governance policies.</t>
  </si>
  <si>
    <t>GCHQ-certified Master’s degrees in cyber security subjects which aim to provide a deeper understanding of cyber security concepts, principles, technologies and practices.</t>
  </si>
  <si>
    <t>ARC.6.1</t>
  </si>
  <si>
    <t>Guidelines on deciding where to host a service.</t>
  </si>
  <si>
    <t>Have a strong understanding of cloud hosting services and the types available, in particular Platform, Infrastructure and Software As A Service (PaaS, IaaS, SaaS). Understand the government's 'Cloud First' policy, and why PaaS, IaaS, SaaS should be considered before other kinds of solutions.</t>
  </si>
  <si>
    <t>OPMA.2.2</t>
  </si>
  <si>
    <t>Ops Management - Application support</t>
  </si>
  <si>
    <t>Understand the activities of Service Management  to ensure 'run and maintain' of applications after they have been deployed by Development teams.</t>
  </si>
  <si>
    <t>OPMA.3.1</t>
  </si>
  <si>
    <t>Ops Management - Access management</t>
  </si>
  <si>
    <t>Information and guidance for governing a digital service.</t>
  </si>
  <si>
    <t>Ensure that appropriate identity and access management strategies are in place in proportion to Government classifications.</t>
  </si>
  <si>
    <t>MOOC giving an overview of cyber security, including an understanding of different types of malware, including viruses and trojans, as well as concepts such as network security, cryptography, identity theft and risk management.</t>
  </si>
  <si>
    <t>OPMA.4.1</t>
  </si>
  <si>
    <t>Architecture - Hosting and cloud</t>
  </si>
  <si>
    <t>Cyber Security and IA - Government Security Classification Scheme</t>
  </si>
  <si>
    <t>Guidance on writing well for the GOV.UK audience.</t>
  </si>
  <si>
    <t>Ops Management - Configuration management</t>
  </si>
  <si>
    <t>Engage with technical staff and suppliers to define the best system and platform configurations to achieve business objectives, meet user needs and ensure configuration is always consistent, auditable and versioned.</t>
  </si>
  <si>
    <t>OPMA.5.1</t>
  </si>
  <si>
    <t>ARC.7.1</t>
  </si>
  <si>
    <t>Implement the security controls necessary in government IT systems with consideration of the the new Government Security Classification scheme. Understand that at the, 'OFFICIAL' classification tier the very best security technology from the commercial market will provide suitable defense with no need for bespoke or government-only controls, but further security should be considered for information at higher classifications.</t>
  </si>
  <si>
    <t>CSIA.2.1</t>
  </si>
  <si>
    <t>Ops Management - Incident management</t>
  </si>
  <si>
    <t>Demonstrate strong customer service skills, so that incidents are managed in a user-focussed way. In an agile environment, it is important that everyone in the team is able to confidently engage with users.</t>
  </si>
  <si>
    <t>OPMA.6.1</t>
  </si>
  <si>
    <t>Guidelines how to decide where your service will live.</t>
  </si>
  <si>
    <t>Have a strong understanding of cloud hosting services and the types available, in particular Platform, Infrastructure and Software As A Service (PaaS, IaaS, SaaS). Understand the government's 'Cloud First' policy, and why PaaS, IaaS, SaaS should be considered before other kinds of solutions.</t>
  </si>
  <si>
    <t>ARC.7.2</t>
  </si>
  <si>
    <t>The Government Security Classification Policy and accompanying guidance.</t>
  </si>
  <si>
    <t>Article on how to set up development operations.</t>
  </si>
  <si>
    <t>Architecture - Risk management</t>
  </si>
  <si>
    <t>Ops Management - Network configuration</t>
  </si>
  <si>
    <t>Understand and advise on the risks of certain architectures and data management and mitigate against them.</t>
  </si>
  <si>
    <t>Cyber Security and IA - Security policies</t>
  </si>
  <si>
    <t>ARC.8.1</t>
  </si>
  <si>
    <t>Define the configuration of networking in code, automating the process such that configuration is always consistent, auditable, and versioned.</t>
  </si>
  <si>
    <t>OPMA.7.1</t>
  </si>
  <si>
    <t>Architecture - Hosting environments</t>
  </si>
  <si>
    <t>Create security policies for an organisation or business unit. This could cover an organisation's overall approach to security or single issues such as the management of data centres, internet connectivity or remote access. Policies should be in line with the 3 main concepts of information security (confidentiality, integrity and availability) as well as appropriate legislation, government standards and governance requirements.</t>
  </si>
  <si>
    <t>Ops Management - Performance metrics</t>
  </si>
  <si>
    <t>Understand the various capabilities of different hosting environments and architectural set-ups, and make appropriate design decisions for their implementation.</t>
  </si>
  <si>
    <t>CSIA.3.1</t>
  </si>
  <si>
    <t>ARC.9.1</t>
  </si>
  <si>
    <t>Gather and report detailed performance data against key indicators and generate actionable improvements to the quality of services offered by the department.</t>
  </si>
  <si>
    <t>OPMA.8.1</t>
  </si>
  <si>
    <t>Skill title</t>
  </si>
  <si>
    <t>Information to help you decide how to host your applications and the things to consider when choosing a vendor.</t>
  </si>
  <si>
    <t>Deciding what metrics your service might want to measure or track.</t>
  </si>
  <si>
    <t>Architecture - Identity management</t>
  </si>
  <si>
    <t>Ops Management - SLAs and OLAs</t>
  </si>
  <si>
    <t>Understand, design and implement identity management policies.</t>
  </si>
  <si>
    <t>CCP has been acknowledged as HMG’s standard for cyber security professionals. These courses cover roles of Accreditor, IA Auditor, IA Architect, IT Security Officer, Security &amp; Risk Advisor, Communications Security and Penetration Tester to Practioner, Senior and Lead levels.</t>
  </si>
  <si>
    <t>ARC.10.1</t>
  </si>
  <si>
    <t>Engage in the negotiations of Service Level and Operational Level Agreements with suppliers and stakeholders to ensure they are suitable for the service being developed.</t>
  </si>
  <si>
    <t>OPMA.9.1</t>
  </si>
  <si>
    <t>Architecture - Networking</t>
  </si>
  <si>
    <t>Ops Management - Email and collaboration platforms</t>
  </si>
  <si>
    <t>Understand the building blocks of network services and infrastructure, such as ethernet and wireless solutions, and understand the implications for systems design in a digital environment.</t>
  </si>
  <si>
    <t>ARC.11.1</t>
  </si>
  <si>
    <t>Manage the email and collaboration platform in your department, including activities such as provisioning accounts, monitoring security (alongside security specialists) and capacity of systems, and understand the cost implications of using the service.</t>
  </si>
  <si>
    <t>OPMA.10.1</t>
  </si>
  <si>
    <t>Architecture -  Data management</t>
  </si>
  <si>
    <t>Ops Management - Financial planning</t>
  </si>
  <si>
    <t>Develop and implement data governance policies, defining complaints, metrics and processes accurately.</t>
  </si>
  <si>
    <t>Skill description</t>
  </si>
  <si>
    <t>Code</t>
  </si>
  <si>
    <t>ARC.12.1</t>
  </si>
  <si>
    <t>Name</t>
  </si>
  <si>
    <t>Understand the financial position of the service; plan and forecast, and recognise the impact of delivering the service on finance.</t>
  </si>
  <si>
    <t>OPMA.11.1</t>
  </si>
  <si>
    <t>Design and advise on large scale database design, for both relational and non-relational data.</t>
  </si>
  <si>
    <t>ARC.12.2</t>
  </si>
  <si>
    <t>Build architectures incorporating data protection, such as the protection of physical and virtual environments, disaster recovery and fast recovery of data.
Apply the principles of the Data Protection Act, other enforcement bodies and regulatory standards as appropriate. Refer to the 'Data' skills group for more detail.</t>
  </si>
  <si>
    <t>ARC.12.3</t>
  </si>
  <si>
    <t>Guidance on legal obligations to protect that information under the Data Protection Act 1998.</t>
  </si>
  <si>
    <t>Architecture - Capacity management</t>
  </si>
  <si>
    <t>Have an understanding of capacity management, especially when designing flexible and scalable solutions.</t>
  </si>
  <si>
    <t>Explanation of some of the content design guidance and the reasons behind the rules.</t>
  </si>
  <si>
    <t>ARC.13.1</t>
  </si>
  <si>
    <t>Design systems that meet current and future user needs and are also cost-effective.</t>
  </si>
  <si>
    <t>ARC.13.2</t>
  </si>
  <si>
    <t>Test systems and analyse the data, using it to iterate services so they continue to meet user needs.</t>
  </si>
  <si>
    <t>ARC.13.3</t>
  </si>
  <si>
    <t>Description</t>
  </si>
  <si>
    <t>Name</t>
  </si>
  <si>
    <t>Information on planning what amount of infrastructure and software is required to run a live system.</t>
  </si>
  <si>
    <t>GOV.UK style guide.</t>
  </si>
  <si>
    <t>Edit this content to ensure it remains accurate, relevant and current, while continuing to meet user needs.</t>
  </si>
  <si>
    <t>CDE.5.2</t>
  </si>
  <si>
    <t>Be familiar with the Cyber Security Guidance for Business and the policies outlined in the Cyber Essentials scheme.</t>
  </si>
  <si>
    <t>CSIA.3.2</t>
  </si>
  <si>
    <t>Guidance on how to manage and edit GOV.UK content.</t>
  </si>
  <si>
    <t>Guidance to help organisations minimise risks to their assets.</t>
  </si>
  <si>
    <t>Content Design - Stakeholder engagement and providing challenge</t>
  </si>
  <si>
    <t>Know how and when to challenge content that doesn't meet user needs.</t>
  </si>
  <si>
    <t>CDE.6.1</t>
  </si>
  <si>
    <t>Be able to communicate clearly with stakeholders at all levels, especially when challenging requests that don't meet user needs or go against content design best practice.</t>
  </si>
  <si>
    <t>CDE.6.2</t>
  </si>
  <si>
    <t>Cyber Essentials provides a set of basic technical controls for organisations to use and is the government standard for cyber-security.</t>
  </si>
  <si>
    <t>Content Design - Accessibility</t>
  </si>
  <si>
    <t>Develop content that is accessible by default, considering accessibility from the outset. Ensure that services are accessible to all users, irrespective of cognitive or physical disabilities or other issues that may make usage difficult.</t>
  </si>
  <si>
    <t>CDE.7.1</t>
  </si>
  <si>
    <t>Content Design - Using writing and editing tools</t>
  </si>
  <si>
    <t>Be confident in using Markdown and be able to source and edit images.</t>
  </si>
  <si>
    <t>CDE.8.1</t>
  </si>
  <si>
    <t>How to use Markdown to format content in Whitehall publisher.</t>
  </si>
  <si>
    <t>Be confident using content publishing tools and be able to design content for different digital channels.</t>
  </si>
  <si>
    <t>CDE.8.2</t>
  </si>
  <si>
    <t>This skills framework describes the range of competencies expected of Information Security and Information Assurance Professionals in the effective performance of their roles.</t>
  </si>
  <si>
    <t>Cyber Security and IA - Security Controls</t>
  </si>
  <si>
    <t>Employ different kinds of controls to maintain security (physical, technical and people/culture controls) and advise on their use in the development of systems and services. As we move more towards commodity technologies and cloud computing, knowledge of these controls will need to change.</t>
  </si>
  <si>
    <t>CSIA.4.1</t>
  </si>
  <si>
    <t>Guidance to help users understand how Whitehall publisher works and how you access it.</t>
  </si>
  <si>
    <t>Update on 2011 UK Government Cyber Security Strategy, setting out future plans on how the UK can improve its cyber security, focusing on increasing knowledge, resilience and stability.</t>
  </si>
  <si>
    <t>Content Design - Editing and reviewing the work of others</t>
  </si>
  <si>
    <t>Review the work of other content designers for consistency and accuracy, and take responsibility for its publication.</t>
  </si>
  <si>
    <t>Set out security policies by stating a desired security outcome that security controls can achieve in a proportionate manner.  Understand that security outcomes should be traceable to an identified risk and controls clearly traceable to a security outcome.</t>
  </si>
  <si>
    <t>CDE.9.1</t>
  </si>
  <si>
    <t>CSIA.4.2</t>
  </si>
  <si>
    <t>Put user needs in context, so that security controls avoid over-prescriptive use of technology that leads to a degraded user experience. Understand that over-prescriptive technologies cause users to suffer degraded productivity or to circumvent security controls, compromising the service.  Ensure that security is factored in at the design stage and not bolted on at the end of production.</t>
  </si>
  <si>
    <t>CSIA.4.3</t>
  </si>
  <si>
    <t>Be familiar with both ‘The 20 Critical Security Controls for Cyber Defence’ from the Centre for the Protection of National Infrastructure (CPNI). Be able to implement the basic controls that are needed to mitigate risk from common internet based threats, as outlined in the Cyber Essentials scheme. Have an awareness of when an assessment against the Cyber Essentials or Cyber Essentials+ schemes is neccessary.</t>
  </si>
  <si>
    <t>CSIA.4.4</t>
  </si>
  <si>
    <t>Information about the workflow in Whitehall publisher, and how to review documents including the '2i' process.</t>
  </si>
  <si>
    <t>Understand that, as government, when we publish information, it has the potential to influence markets and affect end users materially - it's important that our content is accurate and clearly understood.</t>
  </si>
  <si>
    <t>CDE.9.2</t>
  </si>
  <si>
    <t>These Critical Security Controls for cyber defence are a baseline of high-priority information security measures and controls that can be applied across an organisation in order to improve its cyber defence.</t>
  </si>
  <si>
    <t>Content Design - Analytics and Search Engine Optimisation</t>
  </si>
  <si>
    <t>Cyber Security and IA - Secure architecture</t>
  </si>
  <si>
    <t>Understand and interpret analytics data to improve content so that it meets user needs and is optimised for search engines.</t>
  </si>
  <si>
    <t>CDE.10.1</t>
  </si>
  <si>
    <t>Understand the design and architecture of security technology, infrastructure, and network build. Use attack prevention tools and techniques as they relate to application defences and operating system defences.</t>
  </si>
  <si>
    <t>CSIA.5.1</t>
  </si>
  <si>
    <t>CESG-approved Certification Bodies to assess Information Assurance (IA) professionals on their capability to perform IA roles across the public sector.</t>
  </si>
  <si>
    <t>Guidance on how to use tools to improve your content's search engine optimisation and get data on how users are interacting with your content.</t>
  </si>
  <si>
    <t>Description</t>
  </si>
  <si>
    <t>Performance Analysis - Managing and developing analytics architecture</t>
  </si>
  <si>
    <t>Support the product or service manager with accurate and actionable data, by managing and developing analytics instrumentation.</t>
  </si>
  <si>
    <t>PER.1.1</t>
  </si>
  <si>
    <t>GDS guidance and recommended tools for measuring performance.</t>
  </si>
  <si>
    <t>The DAA is a not-for-profit, volunteer-powered association, and offering individuals educational material, community forums and research materials related to digital analytics.</t>
  </si>
  <si>
    <t>Cyber Security and IA - Risk assessment</t>
  </si>
  <si>
    <t>Carry out effective risk assessments against threats and vulnerabilities, keeping in mind the risk appetite of the department and the costs of addressing potential issues.</t>
  </si>
  <si>
    <t>CSIA.6.1</t>
  </si>
  <si>
    <t>Participate in the development of the vision for data / analytics architecture and workflow across the service or product, including instrumentation, tagging and user management.</t>
  </si>
  <si>
    <t>PER.1.2</t>
  </si>
  <si>
    <t>A blog about the trends and insights GDS has gathered from data analysis, user research and building the Performance Platform. For analysts and policy people inside and outside government.</t>
  </si>
  <si>
    <t>Guide setting out the governing principles for developing efficiently secured digital services.</t>
  </si>
  <si>
    <t>Cyber Security and IA - Threat analysis</t>
  </si>
  <si>
    <t>Analyse the probable interest in government information from threat sources, establish their capabilities and methods, and advise on proportionate mitigations against these in a traceable manner. Understand that over-engineering security controls can lead to poor user experience, or provide illusions of security without actually mitigating the risks.</t>
  </si>
  <si>
    <t>CSIA.7.1</t>
  </si>
  <si>
    <t>Cyber Security and IA - Emerging threats</t>
  </si>
  <si>
    <t>Track emerging threats and risks. Know what to monitor in the threat landscape, such as state-sponsored attacks and 'back door' attacks via 3rd-party vendors.</t>
  </si>
  <si>
    <t>CSIA.8.1</t>
  </si>
  <si>
    <t>Cyber Security and IA - Intrusion detection and prevention</t>
  </si>
  <si>
    <t>Design, test and implement intrusion detection and prevention. Be able to run penetration tests to ensure data leak prevention. Understand that the nature of government services means they can be targets for a wide range of different threats – from financially motivated criminals and online activists up to nation states.</t>
  </si>
  <si>
    <t>CSIA.9.1</t>
  </si>
  <si>
    <t>Guidance on how to identify insecurities in your service.</t>
  </si>
  <si>
    <t>Performance Analysis - Representing the user</t>
  </si>
  <si>
    <t>Use data and research analysis to represent the user in product and design discussions.</t>
  </si>
  <si>
    <t>PER.2.1</t>
  </si>
  <si>
    <t>Free online certification and training courses.</t>
  </si>
  <si>
    <t>Performance Analysis - Understanding business processes</t>
  </si>
  <si>
    <t>Have an understanding of the business processes behind services you analyse and how changes to the technology can support and improve the process for users.</t>
  </si>
  <si>
    <t>PER.3.1</t>
  </si>
  <si>
    <t>Cyber Security and IA - Encryption</t>
  </si>
  <si>
    <t>A video introducing simple linear regression.</t>
  </si>
  <si>
    <t>Understand basic principles of asymmetric and symmetric encryption and be able to implement disk and file level encryption solutions. Understand the application of cryptography to promote security in systems such as Wireless.</t>
  </si>
  <si>
    <t>CSIA.10.1</t>
  </si>
  <si>
    <t/>
  </si>
  <si>
    <t>Know what data sources to use, who needs what data and in what format. Understand how digital data can fit in with agile business processes to drive data-based decision making in the service.</t>
  </si>
  <si>
    <t>PER.3.2</t>
  </si>
  <si>
    <t>Cyber Security - Operational management of cyber security incidents</t>
  </si>
  <si>
    <t>Know the role of an information security operations centre (ISOC) including the reporting mechanisms in place and who to report incidents to. Have an awareness of the roles of CERT-UK and GovCertUK in cyber security and follow-up actions that may be needed after reporting an incident, including possible legal action.</t>
  </si>
  <si>
    <t>CSIA.11.1</t>
  </si>
  <si>
    <t>Free online guide on how to set up and test hypotheses.</t>
  </si>
  <si>
    <t>Performance Analysis - Support development teams to capture data</t>
  </si>
  <si>
    <t>Identify data collection points and support development teams to instrument transactions and content appropriately in order to capture user journeys and completion rates.</t>
  </si>
  <si>
    <t>PER.4.1</t>
  </si>
  <si>
    <t>Website on GovCertUK, the Computer Emergency Response Team (CERT) for UK Government.</t>
  </si>
  <si>
    <t>Free networking events for web analytics professionals in London.</t>
  </si>
  <si>
    <t>Design a measurement plan, define tagging, create and validate digital analytics tags and set up custom dimensions and metrics where required.</t>
  </si>
  <si>
    <t>PER.4.2</t>
  </si>
  <si>
    <t>A list of interesting links aimed at digital analysis working on UK Government services and exemplar projects.</t>
  </si>
  <si>
    <t>Performance Analysis - Using data to understand context</t>
  </si>
  <si>
    <t>PER.5.1</t>
  </si>
  <si>
    <t>Understand user language, search engine optimisation principles, user journeys through GOV.UK content, as well as competing and misleading websites.</t>
  </si>
  <si>
    <t>PER.5.2</t>
  </si>
  <si>
    <t>Website for CERT-UK, the UK National Computer Emergency Response Team.</t>
  </si>
  <si>
    <t>Performance Analysis - Measurement</t>
  </si>
  <si>
    <t>Measure how your service is performing, so you can make sure that your service continues to meet user needs in a cost-effective and efficient way.</t>
  </si>
  <si>
    <t>PER.6.1</t>
  </si>
  <si>
    <t>Data you need to measure and monitor</t>
  </si>
  <si>
    <t>Cyber Security and IA - Audits and verifying user behaviour</t>
  </si>
  <si>
    <t>How to measure cost per transaction</t>
  </si>
  <si>
    <t>Conduct security testing and audits, establish systems to verify user behaviour to ensure policy compliance. Understand that the Civil Service Reform Plan and new classification scheme place emphasis on greater user responsibility and reducing restrictive technical controls.</t>
  </si>
  <si>
    <t>CSIA.12.1</t>
  </si>
  <si>
    <t>PER.6.2</t>
  </si>
  <si>
    <t>Cyber Security and IA - Cloud security and Cloud First</t>
  </si>
  <si>
    <t>A blog covering how government is using data to measure the performance of government services.</t>
  </si>
  <si>
    <t>Assess the security risks of implementing cloud technologies, in line with the government's Cloud Security Principles and 'Cloud First' policy. Additionally, understand that public sector organisations must now consider and fully evaluate potential cloud solutions first – before they consider any other option - so it is vital to understand the security impacts of using these services.</t>
  </si>
  <si>
    <t>CSIA.13.1</t>
  </si>
  <si>
    <t>Overview of CESG guidance on cloud security, including overview of 14 principles to analyse the security of a cloud based system.</t>
  </si>
  <si>
    <t>Think about other useful key performance indicators (KPIs), specific to your service, that will help you measure and improve its performance. Measure these in addition to the four core KPIs:
 - cost per transaction
 - user satisfaction
 - completion rate
 - digital take-up</t>
  </si>
  <si>
    <t>PER.6.3</t>
  </si>
  <si>
    <t>Review/audit third-party suppliers' adoption of the Cloud Security Principles and other Information Assurance requisites and ensure that the supplier adheres to the requirements during the duration of the service/system delivery.</t>
  </si>
  <si>
    <t>CSIA.13.2</t>
  </si>
  <si>
    <t>Cyber Security and IA - Open Standards and Open Source</t>
  </si>
  <si>
    <t>Advise on the use of open standards and open source technologies with the knowledge that the government is committed to a level playing field for open technologies. Understand and deploy security best practice when using these technologies.</t>
  </si>
  <si>
    <t>CSIA 14.1</t>
  </si>
  <si>
    <t>What and how to measure KPIs</t>
  </si>
  <si>
    <t>Note highlighting some of the key security considerations 
for the use of open source software in Government.</t>
  </si>
  <si>
    <t>A community, lessons and tests on analytics.</t>
  </si>
  <si>
    <t>Cyber Security and IA - Security of Open and Big Data</t>
  </si>
  <si>
    <t>Performance Analysis - Performance platform</t>
  </si>
  <si>
    <t>Explain the benefits and risks associated with big and open data, particularly those relating to data confidentiality and subject privacy. Understand organisational and regulatory compliance related to this.</t>
  </si>
  <si>
    <t>Create the supply of service data via a performance platform in order to allow data-driven decisions based on visualisations, alerts, dashboards and feeds. Refer to GOV.UK for examples of service and activity dashboards.</t>
  </si>
  <si>
    <t>PER.7.1</t>
  </si>
  <si>
    <t>CSIA.15.1</t>
  </si>
  <si>
    <t>Use digital analytics packages such as Google Analytics for implementation, administration and analysis: to create an account, set up data views, create dashboards, schedule reports, set up custom reports, custom alerts and manage user permissions so that the team can reliably and easily access appropriate data.</t>
  </si>
  <si>
    <t>PER.7.2</t>
  </si>
  <si>
    <t>Guide setting out 4 principles of good data presentation, including examples of how the principles have been employed at GDS.</t>
  </si>
  <si>
    <t>Refine the data output using spreadsheets, pivot tables and other tools such as Google Refine and Tableau. 
Use these tools to collect, intepret and present data for analysis, enabling user-centric design decisions. Work with digital analytics, financial and user data.</t>
  </si>
  <si>
    <t>PER.7.3</t>
  </si>
  <si>
    <t>Use digital analytics application programming interfaces (APIs) to extract and manipulate data.</t>
  </si>
  <si>
    <t>PER.7.4</t>
  </si>
  <si>
    <t>Performance Analysis - Providing business insight from analysis</t>
  </si>
  <si>
    <t>Provide insights from data. Identify and tell actionable stories and business insights from the data to stakeholders and the team, to inform user-centric design decisions.</t>
  </si>
  <si>
    <t>PER.8.1</t>
  </si>
  <si>
    <t>Free to attend, participant driven meetings on web analytics.</t>
  </si>
  <si>
    <t>Performance Analysis - Analysing data</t>
  </si>
  <si>
    <t>Analyse data collected through analytics tools such as referrals, sessions, page views, exits and bounce rates.</t>
  </si>
  <si>
    <t>PER.9.1</t>
  </si>
  <si>
    <t>A guide to tools you can use to help analyse your service.</t>
  </si>
  <si>
    <t>Create events, filters and segments, goals and funnel visualisations using relevant digital analytics tools to identify the areas where users are experiencing problems.</t>
  </si>
  <si>
    <t>PER.9.2</t>
  </si>
  <si>
    <t>Performance Analysis - User research</t>
  </si>
  <si>
    <t>Work with user research data, and combine it with performance analysis insights to better support delivery of products.</t>
  </si>
  <si>
    <t>PER.10.1</t>
  </si>
  <si>
    <t>Performance Analysis - Synthesising data</t>
  </si>
  <si>
    <t>Synthesise other data sources - for example, call centre data; and work with user researchers and data scientists to tell richer, more actionable stories based on evidence.</t>
  </si>
  <si>
    <t>PER.11.1</t>
  </si>
  <si>
    <t>Performance Analysis - Advances in analytics technologies</t>
  </si>
  <si>
    <t>Identify opportunities to enhance data collection and analysis.</t>
  </si>
  <si>
    <t>PER.12.1</t>
  </si>
  <si>
    <t>Be aware of and keep up to date with advances in digital analytics tools and data manipulation products.</t>
  </si>
  <si>
    <t>PER.12.2</t>
  </si>
  <si>
    <t>Performance Analysis - A/B and multivariate testing</t>
  </si>
  <si>
    <t>Interpret A/B and multivariate testing to enable the effects of changes to your live service to be tested and to support iterative improvements.</t>
  </si>
  <si>
    <t>PER.13.1</t>
  </si>
  <si>
    <t>An overview of how A/B and multivariate tests can be used to test the effects of changes to a live service.</t>
  </si>
  <si>
    <t>Performance Analysis - Data security and privacy</t>
  </si>
  <si>
    <t>Have an understanding of data security and privacy, including concepts such as privacy-preserving data mining, data security, data provenance.</t>
  </si>
  <si>
    <t>PER.14.1</t>
  </si>
  <si>
    <t>TechTarget</t>
  </si>
  <si>
    <t>Guidance on how to choose document formats and how to move towards Open Document Formats.</t>
  </si>
  <si>
    <t>Skill-mapped learning</t>
  </si>
  <si>
    <t>General learning</t>
  </si>
  <si>
    <t xml:space="preserve">​CESG list of approved training providers. </t>
  </si>
  <si>
    <t>The government standard for managers and IA practitioners who are responsible for identifying, assessing and treating the technical risks to Information and Communication Technology (ICT) systems and services that handle, store and process government information. Information Risk Management for Government (IS1/2) is the training advised for those in Government carrying out risk assessment.</t>
  </si>
  <si>
    <t>Development -  Database schemas</t>
  </si>
  <si>
    <t>Introduction to user research techniques.</t>
  </si>
  <si>
    <t>The GDS sets out how government will redesign its digital services to make them so straightforward and convenient that all those who can use them prefer to do so. Progress reports, departmental strategies and information on digital inclusion are also available via the link.</t>
  </si>
  <si>
    <t>Advice on running a discovery phase</t>
  </si>
  <si>
    <t>Agile BA - Deconstruct user needs</t>
  </si>
  <si>
    <t>Agile BA - Root cause analysis</t>
  </si>
  <si>
    <t>Agile BA - Communication</t>
  </si>
  <si>
    <t>Agile BA - Communicating vision</t>
  </si>
  <si>
    <t>Agile BA - Alignment with business strategy</t>
  </si>
  <si>
    <t>Agile BA - Process planning</t>
  </si>
  <si>
    <t>Agile BA -  User Stories</t>
  </si>
  <si>
    <t>Agile BA - Interpreting data</t>
  </si>
  <si>
    <t>Agile BA - Mapping business processes</t>
  </si>
  <si>
    <t>Agile BA - Innovation and Improvement</t>
  </si>
  <si>
    <t>Agile testing at the Home Office</t>
  </si>
  <si>
    <t xml:space="preserve">Blog on testing using Agile techniques </t>
  </si>
  <si>
    <t>Product Management</t>
  </si>
  <si>
    <t>Commercial and Procurement</t>
  </si>
  <si>
    <t>Digital and Technology Skills Matrix - Introduction</t>
  </si>
  <si>
    <t>User Research</t>
  </si>
  <si>
    <t>Content Design</t>
  </si>
  <si>
    <t>Performance Analysis</t>
  </si>
  <si>
    <t>Technical Architecture</t>
  </si>
  <si>
    <t>Operations Engineering</t>
  </si>
  <si>
    <t>Operations Management</t>
  </si>
  <si>
    <t>Quality Assurance and Testing</t>
  </si>
  <si>
    <t>Commercial - Best routes to market</t>
  </si>
  <si>
    <t>Commercial - Regulatory compliance</t>
  </si>
  <si>
    <t>Commercial - Open data and open standards</t>
  </si>
  <si>
    <t>Commercial - Agile and procurement</t>
  </si>
  <si>
    <t>Commercial - End-to-end contract management</t>
  </si>
  <si>
    <t>Commercial - Governance</t>
  </si>
  <si>
    <t xml:space="preserve">Commercial - Frameworks </t>
  </si>
  <si>
    <t>How to use the Digital Services Store</t>
  </si>
  <si>
    <t>Guidance on how to appoint people for digital projects and the application process to supply services through the Digital Services framework.</t>
  </si>
  <si>
    <t>Several back-end technology skills groups are closely linked. Roles in this area should consult the following skills groups to ensure complete mapping of needed skills:  Architecture, Commercial and Procurement, Operations Engineering and Operations Management.</t>
  </si>
  <si>
    <t>Several back-end technology skills groups are closely linked. Roles in this area should consult the following skills groups to ensure complete mapping of needed skills: Architecture, Commercial and Procurement, Operations Engineering and Operations Management.</t>
  </si>
  <si>
    <t>Social Media Playbook</t>
  </si>
  <si>
    <t>Improve the performance of agile teams and projects through simplification and removal of duplication wherever possible.</t>
  </si>
  <si>
    <t>Commercial - Technical understanding</t>
  </si>
  <si>
    <t>Understand a variety of architecture principles and techniques to specifically assist the decommissioning and transitioning of legacy systems. This may often require the commercial management of legacy vendor contracts. (Refer to Commercial and Procurement skills group)</t>
  </si>
  <si>
    <t>Maintain alignment between the digital agenda and the organisation's business goals and strategy to ensure both contribute jointly to overall goals.  Be aware that this requires constant iteration in an environment of rapid technology change.</t>
  </si>
  <si>
    <t>Understand how work in an individual department contributes to the cross-government strategy and a shared vision of 'Digital by Default'.</t>
  </si>
  <si>
    <t>Service Management - Media Management and Communication</t>
  </si>
  <si>
    <t>Product Management - Communication strategy</t>
  </si>
  <si>
    <t>Collate and use data to be aware of the online and offline context of the service.  Consider all types of data, including offline data such as from a call centre.</t>
  </si>
  <si>
    <t>Follow a process of continual interation and measurement in order to monitor, iterate and improve:
- Understand user needs
- Decide what to measure
- Install &amp; configure platforms
- Establish a baseline
- Aggregate data
- Analyse &amp; visualise data</t>
  </si>
  <si>
    <t>Ops Management - Understand both cloud and on-premise</t>
  </si>
  <si>
    <t>Understand how both on-premise and cloud servers work and the challenges of integrating them.</t>
  </si>
  <si>
    <t>QA and Testing - Architecture concepts</t>
  </si>
  <si>
    <t>Understand how services can be maintained and continuously improved over time until they are retired.</t>
  </si>
  <si>
    <t>Perform Quality Assurance and Testing in an environment of continuous integration practices.</t>
  </si>
  <si>
    <t>Understand exploratory testing (described as simultaneous learning, test design and test execution) and scripted testing approaches and know when to apply the best approach.</t>
  </si>
  <si>
    <t>Understand individual and organisation-wide duties under the Equality Act 2010 in relation to testing products and services.</t>
  </si>
  <si>
    <t>Our skills groups are...</t>
  </si>
  <si>
    <t>The Civil Service has a skills challenge in technology and digital. The skills we need in government now are not the same as were needed or even existed in the past. We need our people to have the right skills if we are going to be successful in completing the digital transformation.
This Digital and Technology Skills Matrix document supports departments so they have the right digital and technology skills in place. It focuses on skills that are new or impacted by the digital transformation and should be used in conjunction with existing frameworks, such as the CS Competency Framework or relevant Government Professions frameworks.
We have broken down this Digital and Technology Skills Matrix into 18 specialist skills groups. These skills groups are not aligned to roles. Each one may apply across several roles, and any one role might draw from several groups.
For example, a Developer role may need to draw skills from:
- Development
- User Research
- Design
- Quality Assurance &amp; Testing</t>
  </si>
  <si>
    <t>Note:  Refer to this link for more detailed information about the Government Project Delivery Profession.  Here you will find a general Project Delivery Competency Framework.  The GDS 'Agile Delivery' skills group focuses solely on an agile approach to project management.</t>
  </si>
  <si>
    <t>People working in Service Management will also need to draw on skills from other skills groupss, in particular Digital Leadership, Agile Delivery, Commercial and User Research. Note that Service Managers need to work particularly closely with Product Managers and Delivery Managers.</t>
  </si>
  <si>
    <t>Architecture includes both the logical design as well as its physical implementation. Logical architecture based on user-centred service design and clear user needs should always precede physical architecture. At a minimum you need to understand what capabilities are required before starting to narrow down on product choices. Individuals should be skilled in development in addition to this skills group. (For further introduction, click Skills Group title hyperlink above)</t>
  </si>
  <si>
    <t>Digital Foundation Day</t>
  </si>
  <si>
    <t>TED Talk on Digital Leadership</t>
  </si>
  <si>
    <t>An example TED video on how the need for innovation and rapid decision-making in the digital age requires less control and more empowerment of employees.</t>
  </si>
  <si>
    <t>This internal government induction programme aims to equip newly appointed service managers with the basic knowledge, network and confidence to take the lead in transforming digital services.</t>
  </si>
  <si>
    <t>An example digital analytics blog with particular focus and guidance on how to use google analytics.</t>
  </si>
  <si>
    <t>An example of an open collection of communication tools used in design processes that deal with complex skills.</t>
  </si>
  <si>
    <t>Reference on how to write good user stories.</t>
  </si>
  <si>
    <t>Version 1.0 - Publication date: 25th February 2015</t>
  </si>
  <si>
    <t>Guidelines for the approval of technology projects and spending.</t>
  </si>
  <si>
    <t>Understand how the management of multiple suppliers and integration of services provides a single business-facing technology organisation based on user needs.</t>
  </si>
  <si>
    <t>Architecture - Technical integration</t>
  </si>
  <si>
    <t>Architecture - Service integration and management</t>
  </si>
  <si>
    <t>Procure and commission what’s needed to complete end-to-end service integration by FIRST considering the following:
-  understand user needs first
-  bring in the right capability and skills
-  analyse existing applications
-  architect a disaggregated desktop using cloud infrastructure
-  consider platform options</t>
  </si>
  <si>
    <t>ARC.3.4</t>
  </si>
  <si>
    <t>Knocking down the Towers of SIAM</t>
  </si>
  <si>
    <t>Blog on government's move away from the towers of SIAM model for running IT services</t>
  </si>
  <si>
    <t>Co-ordinate and consolidate the management of individual services from service providers, providing end-to-end service management whilst ensuring that services continually meet business objectives and requirements for performance, quality and cost.</t>
  </si>
  <si>
    <t xml:space="preserve">Know when there is a role for a Service Integration and Management (SIAM) layer without placing too much responsibility with it, causing the replacement of good in-house IT capability.
</t>
  </si>
  <si>
    <t>Each tab in this document represents a different specialist skills group. On each tab is information on:
- Skill titles and descriptions
- Skill codes (for ease of noting or mapping skills)
- Learning resource links tied directly to a skill where possible (Skill-mapped Learning)
- Learning resource links tied to the skill area (General Learning)
Special note: The first four skills group tabs are transferable skills that can apply to many roles. For example, 'Essentials for digital specialists' is a set of common skills that we recommend any member of staff has, regardless of their role within a technology and digital function. Likewise, 'Digital Leadership' contains themes anyone in a leadership position should be familiar with.
Applications of the matrix for skills transformation - 
The information in this document can support departments undertaking a number of digital transformation activities such as:
- Mapping digital skills to create new Skill Profiles
- Performing Skills Assessments
- Identifying skill gaps 
- Informing individual and team development plans
- Identifying skill requirements for recruitment and selection of staff</t>
  </si>
  <si>
    <t>Understand how Operations Engineering supports front-end digital services and how digital skills in the 'Essentials for digital specialists' skills group apply to Operations. For example be familiar with: Government digital transformation agenda, user-centred design, agile delivery and open standards.</t>
  </si>
  <si>
    <t>Understand how Operations Management supports front-end digital services and how digital skills in the 'Essentials for digital specialists' skills group apply to Operations, such as being familiar with: Gov digital transformation agenda, user-centred design, agile delivery and open standards.</t>
  </si>
  <si>
    <t>Essentials for Digital Specialists</t>
  </si>
  <si>
    <t>Digital Leadership skills group focuses on business strategy and leadership skills for today's digital and technology functions. Key skill demands for our leadership as we drive digital transformation include business alignment to transformation and commercial awareness. Digital &amp; Technology Leaders need to be familiar with all the other skills groups but in-depth focus should be given to groups such as Essentials for Digital Specialists, Commercial and Procurement, and Agile Delivery. (For further introduction, click Skills Group title hyperlink above)</t>
  </si>
  <si>
    <t>Essentials - Agile delivery awareness</t>
  </si>
  <si>
    <t>Essentials - Collaborative working</t>
  </si>
  <si>
    <t>Essentials - User-centred design</t>
  </si>
  <si>
    <t>Essentials - Design principles for digital services</t>
  </si>
  <si>
    <t>Essentials - Meeting the service standard</t>
  </si>
  <si>
    <t>Essentials - Commercial skills &amp; vendor management</t>
  </si>
  <si>
    <t>Essentials - Open standards and open source technologies</t>
  </si>
  <si>
    <t>Essentials - Security</t>
  </si>
  <si>
    <t>Essentials - Identity Assurance</t>
  </si>
  <si>
    <t>Essentials - Being social media savvy</t>
  </si>
  <si>
    <t>Essentials - Communicating with non-technical people</t>
  </si>
  <si>
    <t>Essentials - Understanding the Digital transformation</t>
  </si>
  <si>
    <t>EDS.1.2</t>
  </si>
  <si>
    <t>EDS.1.3</t>
  </si>
  <si>
    <t>EDS 1.4</t>
  </si>
  <si>
    <t>EDS.1.5</t>
  </si>
  <si>
    <t>EDS.1.6</t>
  </si>
  <si>
    <t>EDS.2.1</t>
  </si>
  <si>
    <t>EDS.2.2</t>
  </si>
  <si>
    <t>EDS.2.3</t>
  </si>
  <si>
    <t>EDS.2.4</t>
  </si>
  <si>
    <t>EDS.3.1</t>
  </si>
  <si>
    <t>EDS.4.1</t>
  </si>
  <si>
    <t>EDS.4.2</t>
  </si>
  <si>
    <t>EDS.4.3</t>
  </si>
  <si>
    <t>EDS.5.1</t>
  </si>
  <si>
    <t>EDS.6.1</t>
  </si>
  <si>
    <t>EDS.7.1</t>
  </si>
  <si>
    <t>EDS.7.2</t>
  </si>
  <si>
    <t>EDS.7.3</t>
  </si>
  <si>
    <t>EDS.7.4</t>
  </si>
  <si>
    <t>EDS.8.1</t>
  </si>
  <si>
    <t>EDS.9.1</t>
  </si>
  <si>
    <t>EDS.9.2</t>
  </si>
  <si>
    <t>EDS.10.1</t>
  </si>
  <si>
    <t>EDS.10.2</t>
  </si>
  <si>
    <t>EDS.10.3</t>
  </si>
  <si>
    <t>EDS.11.1</t>
  </si>
  <si>
    <t>EDS.11.2</t>
  </si>
  <si>
    <t>EDS.11.3</t>
  </si>
  <si>
    <t>EDS.12.1</t>
  </si>
  <si>
    <t>EDS.1.1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</si>
</sst>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0.00"/>
  </numFmts>
  <fonts count="24" x14ac:knownFonts="1">
    <font>
      <sz val="10"/>
      <name val="Arial"/>
    </font>
    <font>
      <b/>
      <sz val="14"/>
      <color rgb="FFFFFFFF"/>
      <name val="Arial"/>
    </font>
    <font>
      <u/>
      <sz val="14"/>
      <color rgb="FF0000FF"/>
      <name val="Arial"/>
    </font>
    <font>
      <b/>
      <sz val="14"/>
      <name val="Arial"/>
    </font>
    <font>
      <sz val="14"/>
      <name val="Arial"/>
    </font>
    <font>
      <sz val="14"/>
      <color rgb="FF000000"/>
      <name val="Arial"/>
    </font>
    <font>
      <b/>
      <sz val="16"/>
      <color rgb="FFFFFFFF"/>
      <name val="Arial"/>
    </font>
    <font>
      <sz val="16"/>
      <name val="Arial"/>
    </font>
    <font>
      <b/>
      <sz val="16"/>
      <name val="Arial"/>
    </font>
    <font>
      <u/>
      <sz val="16"/>
      <color rgb="FF0000FF"/>
      <name val="Arial"/>
    </font>
    <font>
      <b/>
      <sz val="20"/>
      <color rgb="FFFFFFFF"/>
      <name val="Arial"/>
    </font>
    <font>
      <sz val="8"/>
      <name val="Arial"/>
    </font>
    <font>
      <u/>
      <sz val="10"/>
      <color theme="10"/>
      <name val="Arial"/>
    </font>
    <font>
      <b/>
      <sz val="20"/>
      <name val="Arial"/>
    </font>
    <font>
      <b/>
      <u/>
      <sz val="14"/>
      <color rgb="FF0000FF"/>
      <name val="Arial"/>
    </font>
    <font>
      <sz val="14"/>
      <color rgb="FF0B0C0C"/>
      <name val="Arial"/>
    </font>
    <font>
      <sz val="14"/>
      <color rgb="FF2B2828"/>
      <name val="Arial"/>
    </font>
    <font>
      <sz val="14"/>
      <color rgb="FF3B3A3C"/>
      <name val="Arial"/>
    </font>
    <font>
      <sz val="14"/>
      <color rgb="FF222222"/>
      <name val="Arial"/>
    </font>
    <font>
      <sz val="14"/>
      <color rgb="FF4C4C4C"/>
      <name val="Arial"/>
    </font>
    <font>
      <sz val="14"/>
      <color rgb="FF333333"/>
      <name val="Arial"/>
    </font>
    <font>
      <u/>
      <sz val="14"/>
      <color theme="10"/>
      <name val="Arial"/>
    </font>
    <font>
      <b/>
      <u/>
      <sz val="16"/>
      <color theme="10"/>
      <name val="Arial"/>
    </font>
    <font>
      <u/>
      <sz val="10"/>
      <color theme="11"/>
      <name val="Arial"/>
    </font>
  </fonts>
  <fills count="15">
    <fill>
      <patternFill patternType="none"/>
    </fill>
    <fill>
      <patternFill patternType="gray125"/>
    </fill>
    <fill>
      <patternFill patternType="solid">
        <fgColor rgb="FFD53880"/>
        <bgColor rgb="FFD53880"/>
      </patternFill>
    </fill>
    <fill>
      <patternFill patternType="solid">
        <fgColor rgb="FF2B8CC4"/>
        <bgColor rgb="FF2B8CC4"/>
      </patternFill>
    </fill>
    <fill>
      <patternFill patternType="solid">
        <fgColor rgb="FFD5E8F3"/>
        <bgColor rgb="FFD5E8F3"/>
      </patternFill>
    </fill>
    <fill>
      <patternFill patternType="solid">
        <fgColor rgb="FFCCCCCC"/>
        <bgColor rgb="FFCCCCCC"/>
      </patternFill>
    </fill>
    <fill>
      <patternFill patternType="solid">
        <fgColor rgb="FF912B88"/>
        <bgColor rgb="FF912B88"/>
      </patternFill>
    </fill>
    <fill>
      <patternFill patternType="solid">
        <fgColor rgb="FF38761D"/>
        <bgColor rgb="FF38761D"/>
      </patternFill>
    </fill>
    <fill>
      <patternFill patternType="solid">
        <fgColor rgb="FFFFFFFF"/>
        <bgColor rgb="FFFFFFFF"/>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tint="0.79998168889431442"/>
        <bgColor rgb="FFFFFFFF"/>
      </patternFill>
    </fill>
    <fill>
      <patternFill patternType="solid">
        <fgColor theme="0"/>
        <bgColor indexed="64"/>
      </patternFill>
    </fill>
    <fill>
      <patternFill patternType="solid">
        <fgColor theme="6" tint="0.79998168889431442"/>
        <bgColor rgb="FFFFFFFF"/>
      </patternFill>
    </fill>
  </fills>
  <borders count="70">
    <border>
      <left/>
      <right/>
      <top/>
      <bottom/>
      <diagonal/>
    </border>
    <border>
      <left/>
      <right/>
      <top/>
      <bottom/>
      <diagonal/>
    </border>
    <border>
      <left style="thin">
        <color rgb="FFD5E8F3"/>
      </left>
      <right/>
      <top style="thin">
        <color rgb="FFD5E8F3"/>
      </top>
      <bottom style="thin">
        <color rgb="FFD5E8F3"/>
      </bottom>
      <diagonal/>
    </border>
    <border>
      <left style="thin">
        <color rgb="FFD5E8F3"/>
      </left>
      <right style="thin">
        <color rgb="FFD5E8F3"/>
      </right>
      <top style="thin">
        <color rgb="FFD5E8F3"/>
      </top>
      <bottom style="thin">
        <color rgb="FFD5E8F3"/>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D5E8F3"/>
      </left>
      <right/>
      <top/>
      <bottom/>
      <diagonal/>
    </border>
    <border>
      <left style="thin">
        <color auto="1"/>
      </left>
      <right style="thin">
        <color auto="1"/>
      </right>
      <top style="thin">
        <color rgb="FF000000"/>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style="medium">
        <color auto="1"/>
      </left>
      <right/>
      <top style="medium">
        <color auto="1"/>
      </top>
      <bottom style="thin">
        <color rgb="FF000000"/>
      </bottom>
      <diagonal/>
    </border>
    <border>
      <left/>
      <right style="medium">
        <color auto="1"/>
      </right>
      <top style="medium">
        <color auto="1"/>
      </top>
      <bottom/>
      <diagonal/>
    </border>
    <border>
      <left style="medium">
        <color auto="1"/>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right style="medium">
        <color auto="1"/>
      </right>
      <top/>
      <bottom/>
      <diagonal/>
    </border>
    <border>
      <left/>
      <right style="medium">
        <color auto="1"/>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right style="medium">
        <color auto="1"/>
      </right>
      <top style="medium">
        <color auto="1"/>
      </top>
      <bottom style="thin">
        <color rgb="FF000000"/>
      </bottom>
      <diagonal/>
    </border>
    <border>
      <left style="medium">
        <color auto="1"/>
      </left>
      <right/>
      <top style="thin">
        <color rgb="FF000000"/>
      </top>
      <bottom style="thin">
        <color rgb="FF000000"/>
      </bottom>
      <diagonal/>
    </border>
    <border>
      <left/>
      <right style="medium">
        <color auto="1"/>
      </right>
      <top style="thin">
        <color rgb="FF000000"/>
      </top>
      <bottom style="thin">
        <color rgb="FF000000"/>
      </bottom>
      <diagonal/>
    </border>
    <border>
      <left style="medium">
        <color auto="1"/>
      </left>
      <right/>
      <top style="thin">
        <color rgb="FF000000"/>
      </top>
      <bottom style="medium">
        <color auto="1"/>
      </bottom>
      <diagonal/>
    </border>
    <border>
      <left/>
      <right style="medium">
        <color auto="1"/>
      </right>
      <top style="thin">
        <color rgb="FF000000"/>
      </top>
      <bottom style="medium">
        <color auto="1"/>
      </bottom>
      <diagonal/>
    </border>
    <border>
      <left/>
      <right style="thin">
        <color auto="1"/>
      </right>
      <top style="thin">
        <color auto="1"/>
      </top>
      <bottom style="thin">
        <color rgb="FF000000"/>
      </bottom>
      <diagonal/>
    </border>
    <border>
      <left style="thin">
        <color auto="1"/>
      </left>
      <right/>
      <top style="thin">
        <color rgb="FF000000"/>
      </top>
      <bottom style="thin">
        <color rgb="FF000000"/>
      </bottom>
      <diagonal/>
    </border>
    <border>
      <left style="thin">
        <color auto="1"/>
      </left>
      <right/>
      <top style="thin">
        <color rgb="FF000000"/>
      </top>
      <bottom style="thin">
        <color auto="1"/>
      </bottom>
      <diagonal/>
    </border>
    <border>
      <left/>
      <right style="thin">
        <color auto="1"/>
      </right>
      <top style="thin">
        <color rgb="FF000000"/>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top style="thin">
        <color rgb="FF000000"/>
      </top>
      <bottom/>
      <diagonal/>
    </border>
    <border>
      <left style="thin">
        <color rgb="FF000000"/>
      </left>
      <right style="thin">
        <color auto="1"/>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rgb="FF000000"/>
      </right>
      <top style="thin">
        <color rgb="FF000000"/>
      </top>
      <bottom style="thin">
        <color rgb="FF000000"/>
      </bottom>
      <diagonal/>
    </border>
    <border>
      <left style="medium">
        <color auto="1"/>
      </left>
      <right style="thin">
        <color rgb="FF000000"/>
      </right>
      <top style="thin">
        <color rgb="FF000000"/>
      </top>
      <bottom/>
      <diagonal/>
    </border>
    <border>
      <left style="thin">
        <color rgb="FF000000"/>
      </left>
      <right style="medium">
        <color auto="1"/>
      </right>
      <top style="thin">
        <color rgb="FF000000"/>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rgb="FF000000"/>
      </top>
      <bottom style="thin">
        <color auto="1"/>
      </bottom>
      <diagonal/>
    </border>
    <border>
      <left style="thin">
        <color auto="1"/>
      </left>
      <right style="thin">
        <color auto="1"/>
      </right>
      <top style="thin">
        <color auto="1"/>
      </top>
      <bottom style="thin">
        <color rgb="FFD5E8F3"/>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000000"/>
      </left>
      <right/>
      <top style="thin">
        <color auto="1"/>
      </top>
      <bottom style="thin">
        <color rgb="FF000000"/>
      </bottom>
      <diagonal/>
    </border>
    <border>
      <left/>
      <right style="thin">
        <color rgb="FF000000"/>
      </right>
      <top/>
      <bottom/>
      <diagonal/>
    </border>
    <border>
      <left/>
      <right/>
      <top style="thin">
        <color auto="1"/>
      </top>
      <bottom style="thin">
        <color auto="1"/>
      </bottom>
      <diagonal/>
    </border>
    <border>
      <left style="thin">
        <color rgb="FF000000"/>
      </left>
      <right style="medium">
        <color auto="1"/>
      </right>
      <top style="thin">
        <color auto="1"/>
      </top>
      <bottom style="medium">
        <color auto="1"/>
      </bottom>
      <diagonal/>
    </border>
    <border>
      <left style="medium">
        <color auto="1"/>
      </left>
      <right style="thin">
        <color rgb="FF000000"/>
      </right>
      <top style="medium">
        <color auto="1"/>
      </top>
      <bottom style="thin">
        <color rgb="FF000000"/>
      </bottom>
      <diagonal/>
    </border>
    <border>
      <left style="thin">
        <color rgb="FF000000"/>
      </left>
      <right style="medium">
        <color auto="1"/>
      </right>
      <top style="medium">
        <color auto="1"/>
      </top>
      <bottom style="thin">
        <color rgb="FF000000"/>
      </bottom>
      <diagonal/>
    </border>
    <border>
      <left style="thin">
        <color rgb="FF000000"/>
      </left>
      <right style="medium">
        <color auto="1"/>
      </right>
      <top style="thin">
        <color rgb="FF000000"/>
      </top>
      <bottom style="thin">
        <color auto="1"/>
      </bottom>
      <diagonal/>
    </border>
  </borders>
  <cellStyleXfs count="3">
    <xf numFmtId="0" fontId="0" fillId="0" borderId="0"/>
    <xf numFmtId="0" fontId="12" fillId="0" borderId="0" applyNumberFormat="0" applyFill="0" applyBorder="0" applyAlignment="0" applyProtection="0"/>
    <xf numFmtId="0" fontId="23" fillId="0" borderId="0" applyNumberFormat="0" applyFill="0" applyBorder="0" applyAlignment="0" applyProtection="0"/>
  </cellStyleXfs>
  <cellXfs count="334">
    <xf numFmtId="0" fontId="0" fillId="0" borderId="0" xfId="0"/>
    <xf numFmtId="0" fontId="1" fillId="3" borderId="4" xfId="0" applyFont="1" applyFill="1" applyBorder="1" applyAlignment="1">
      <alignment horizontal="center" vertical="center" wrapText="1"/>
    </xf>
    <xf numFmtId="0" fontId="1" fillId="6" borderId="5" xfId="0" applyFont="1" applyFill="1" applyBorder="1" applyAlignment="1">
      <alignment horizontal="left" vertical="center" wrapText="1"/>
    </xf>
    <xf numFmtId="0" fontId="1" fillId="6" borderId="6"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7" borderId="4" xfId="0" applyFont="1" applyFill="1" applyBorder="1" applyAlignment="1">
      <alignment horizontal="left" vertical="center" wrapText="1"/>
    </xf>
    <xf numFmtId="0" fontId="4" fillId="0" borderId="1" xfId="0" applyFont="1" applyBorder="1" applyAlignment="1">
      <alignment horizontal="left" vertical="top" wrapText="1"/>
    </xf>
    <xf numFmtId="0" fontId="4" fillId="5" borderId="1" xfId="0" applyFont="1" applyFill="1" applyBorder="1" applyAlignment="1">
      <alignment horizontal="left" vertical="top" wrapText="1"/>
    </xf>
    <xf numFmtId="0" fontId="7" fillId="0" borderId="0" xfId="0" applyFont="1"/>
    <xf numFmtId="0" fontId="3" fillId="4" borderId="4" xfId="0" applyFont="1" applyFill="1" applyBorder="1" applyAlignment="1">
      <alignment vertical="top" wrapText="1"/>
    </xf>
    <xf numFmtId="0" fontId="4" fillId="0" borderId="0" xfId="0" applyFont="1"/>
    <xf numFmtId="0" fontId="4" fillId="4" borderId="4" xfId="0" applyFont="1" applyFill="1" applyBorder="1" applyAlignment="1">
      <alignment vertical="top" wrapText="1"/>
    </xf>
    <xf numFmtId="0" fontId="4" fillId="4" borderId="4" xfId="0" applyFont="1" applyFill="1" applyBorder="1" applyAlignment="1">
      <alignment horizontal="left" vertical="top" wrapText="1"/>
    </xf>
    <xf numFmtId="0" fontId="1" fillId="7" borderId="7"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6" borderId="7" xfId="0" applyFont="1" applyFill="1" applyBorder="1" applyAlignment="1">
      <alignment horizontal="left" vertical="center" wrapText="1"/>
    </xf>
    <xf numFmtId="0" fontId="4" fillId="4" borderId="6" xfId="0" applyFont="1" applyFill="1" applyBorder="1" applyAlignment="1">
      <alignment horizontal="left" vertical="top"/>
    </xf>
    <xf numFmtId="0" fontId="4" fillId="4" borderId="10" xfId="0" applyFont="1" applyFill="1" applyBorder="1" applyAlignment="1">
      <alignment horizontal="left" vertical="top" wrapText="1"/>
    </xf>
    <xf numFmtId="0" fontId="4" fillId="4" borderId="10" xfId="0" applyFont="1" applyFill="1" applyBorder="1" applyAlignment="1">
      <alignment horizontal="left" vertical="top"/>
    </xf>
    <xf numFmtId="0" fontId="3" fillId="4" borderId="9" xfId="0" applyFont="1" applyFill="1" applyBorder="1" applyAlignment="1">
      <alignment vertical="top" wrapText="1"/>
    </xf>
    <xf numFmtId="0" fontId="4" fillId="4" borderId="9" xfId="0" applyFont="1" applyFill="1" applyBorder="1" applyAlignment="1">
      <alignment horizontal="left" vertical="top" wrapText="1"/>
    </xf>
    <xf numFmtId="0" fontId="1" fillId="7" borderId="6" xfId="0" applyFont="1" applyFill="1" applyBorder="1" applyAlignment="1">
      <alignment horizontal="left" vertical="center" wrapText="1"/>
    </xf>
    <xf numFmtId="0" fontId="4" fillId="4" borderId="6" xfId="0" applyFont="1" applyFill="1" applyBorder="1" applyAlignment="1">
      <alignment horizontal="left" vertical="top" wrapText="1"/>
    </xf>
    <xf numFmtId="0" fontId="4" fillId="5" borderId="1" xfId="0" applyFont="1" applyFill="1" applyBorder="1" applyAlignment="1">
      <alignment horizontal="left" vertical="top"/>
    </xf>
    <xf numFmtId="0" fontId="3" fillId="4" borderId="4" xfId="0" applyFont="1" applyFill="1" applyBorder="1" applyAlignment="1">
      <alignment horizontal="left" vertical="top" wrapText="1"/>
    </xf>
    <xf numFmtId="0" fontId="4" fillId="0" borderId="0" xfId="0" applyFont="1" applyAlignment="1">
      <alignment wrapText="1"/>
    </xf>
    <xf numFmtId="0" fontId="3" fillId="4" borderId="8" xfId="0" applyFont="1" applyFill="1" applyBorder="1" applyAlignment="1">
      <alignment vertical="top" wrapText="1"/>
    </xf>
    <xf numFmtId="0" fontId="4" fillId="5" borderId="1" xfId="0" applyFont="1" applyFill="1" applyBorder="1"/>
    <xf numFmtId="0" fontId="18" fillId="4" borderId="4" xfId="0" applyFont="1" applyFill="1" applyBorder="1" applyAlignment="1">
      <alignment vertical="top" wrapText="1"/>
    </xf>
    <xf numFmtId="0" fontId="5" fillId="4" borderId="4" xfId="0" applyFont="1" applyFill="1" applyBorder="1" applyAlignment="1">
      <alignment horizontal="left" vertical="top" wrapText="1"/>
    </xf>
    <xf numFmtId="0" fontId="4" fillId="4" borderId="1" xfId="0" applyFont="1" applyFill="1" applyBorder="1" applyAlignment="1">
      <alignment vertical="top" wrapText="1"/>
    </xf>
    <xf numFmtId="0" fontId="20" fillId="8" borderId="1" xfId="0" applyFont="1" applyFill="1" applyBorder="1" applyAlignment="1">
      <alignment vertical="top" wrapText="1"/>
    </xf>
    <xf numFmtId="0" fontId="4" fillId="5" borderId="1" xfId="0" applyFont="1" applyFill="1" applyBorder="1" applyAlignment="1">
      <alignment vertical="top"/>
    </xf>
    <xf numFmtId="0" fontId="4" fillId="0" borderId="0" xfId="0" applyFont="1" applyAlignment="1">
      <alignment vertical="top"/>
    </xf>
    <xf numFmtId="0" fontId="2" fillId="9" borderId="4" xfId="0" applyFont="1" applyFill="1" applyBorder="1" applyAlignment="1">
      <alignment horizontal="left" vertical="top" wrapText="1"/>
    </xf>
    <xf numFmtId="0" fontId="4" fillId="9" borderId="4" xfId="0" applyFont="1" applyFill="1" applyBorder="1" applyAlignment="1">
      <alignment horizontal="left" vertical="top" wrapText="1"/>
    </xf>
    <xf numFmtId="0" fontId="1" fillId="7" borderId="22" xfId="0" applyFont="1" applyFill="1" applyBorder="1" applyAlignment="1">
      <alignment horizontal="left" vertical="center" wrapText="1"/>
    </xf>
    <xf numFmtId="0" fontId="1" fillId="7" borderId="23" xfId="0" applyFont="1" applyFill="1" applyBorder="1" applyAlignment="1">
      <alignment horizontal="left" vertical="center" wrapText="1"/>
    </xf>
    <xf numFmtId="0" fontId="4" fillId="10" borderId="24" xfId="0" applyFont="1" applyFill="1" applyBorder="1" applyAlignment="1">
      <alignment horizontal="left" vertical="top" wrapText="1"/>
    </xf>
    <xf numFmtId="0" fontId="2" fillId="11" borderId="4" xfId="0" applyFont="1" applyFill="1" applyBorder="1" applyAlignment="1">
      <alignment horizontal="left" vertical="top" wrapText="1"/>
    </xf>
    <xf numFmtId="0" fontId="4" fillId="11" borderId="7" xfId="0" applyFont="1" applyFill="1" applyBorder="1" applyAlignment="1">
      <alignment horizontal="left" vertical="top" wrapText="1"/>
    </xf>
    <xf numFmtId="0" fontId="4" fillId="11" borderId="4" xfId="0" applyFont="1" applyFill="1" applyBorder="1" applyAlignment="1">
      <alignment horizontal="left" vertical="top" wrapText="1"/>
    </xf>
    <xf numFmtId="0" fontId="5" fillId="12" borderId="7" xfId="0" applyFont="1" applyFill="1" applyBorder="1" applyAlignment="1">
      <alignment vertical="top" wrapText="1"/>
    </xf>
    <xf numFmtId="0" fontId="1" fillId="3" borderId="4" xfId="0" applyFont="1" applyFill="1" applyBorder="1" applyAlignment="1">
      <alignment horizontal="left" vertical="top" wrapText="1"/>
    </xf>
    <xf numFmtId="0" fontId="1" fillId="3" borderId="4" xfId="0" applyFont="1" applyFill="1" applyBorder="1" applyAlignment="1">
      <alignment horizontal="left" vertical="center" wrapText="1"/>
    </xf>
    <xf numFmtId="0" fontId="4" fillId="13" borderId="1" xfId="0" applyFont="1" applyFill="1" applyBorder="1" applyAlignment="1">
      <alignment horizontal="left" vertical="center" wrapText="1"/>
    </xf>
    <xf numFmtId="0" fontId="3" fillId="13" borderId="37" xfId="0" applyFont="1" applyFill="1" applyBorder="1" applyAlignment="1">
      <alignment horizontal="left" vertical="center" wrapText="1"/>
    </xf>
    <xf numFmtId="0" fontId="3" fillId="13" borderId="38" xfId="0" applyFont="1" applyFill="1" applyBorder="1" applyAlignment="1">
      <alignment horizontal="left" vertical="center" wrapText="1"/>
    </xf>
    <xf numFmtId="0" fontId="3" fillId="13" borderId="39" xfId="0" applyFont="1" applyFill="1" applyBorder="1" applyAlignment="1">
      <alignment horizontal="left" vertical="center" wrapText="1"/>
    </xf>
    <xf numFmtId="0" fontId="4" fillId="13" borderId="40" xfId="0" applyFont="1" applyFill="1" applyBorder="1" applyAlignment="1">
      <alignment horizontal="left" vertical="center" wrapText="1"/>
    </xf>
    <xf numFmtId="0" fontId="4" fillId="13" borderId="41" xfId="0" applyFont="1" applyFill="1" applyBorder="1" applyAlignment="1">
      <alignment horizontal="left" vertical="center" wrapText="1"/>
    </xf>
    <xf numFmtId="0" fontId="4" fillId="13" borderId="42" xfId="0" applyFont="1" applyFill="1" applyBorder="1" applyAlignment="1">
      <alignment horizontal="left" vertical="center" wrapText="1"/>
    </xf>
    <xf numFmtId="0" fontId="4" fillId="13" borderId="43" xfId="0" applyFont="1" applyFill="1" applyBorder="1" applyAlignment="1">
      <alignment horizontal="left" vertical="center" wrapText="1"/>
    </xf>
    <xf numFmtId="0" fontId="4" fillId="13" borderId="44" xfId="0" applyFont="1" applyFill="1" applyBorder="1" applyAlignment="1">
      <alignment horizontal="left" vertical="center" wrapText="1"/>
    </xf>
    <xf numFmtId="0" fontId="1" fillId="3" borderId="20"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2" fillId="13" borderId="13" xfId="0" applyFont="1" applyFill="1" applyBorder="1" applyAlignment="1">
      <alignment horizontal="left" vertical="center" wrapText="1"/>
    </xf>
    <xf numFmtId="0" fontId="4" fillId="10" borderId="42" xfId="0" applyFont="1" applyFill="1" applyBorder="1" applyAlignment="1">
      <alignment horizontal="left" vertical="top" wrapText="1"/>
    </xf>
    <xf numFmtId="0" fontId="4" fillId="10" borderId="44" xfId="0" applyFont="1" applyFill="1" applyBorder="1" applyAlignment="1">
      <alignment horizontal="left" vertical="top" wrapText="1"/>
    </xf>
    <xf numFmtId="0" fontId="2" fillId="10" borderId="51" xfId="0" applyFont="1" applyFill="1" applyBorder="1" applyAlignment="1">
      <alignment horizontal="left" vertical="top" wrapText="1"/>
    </xf>
    <xf numFmtId="0" fontId="4" fillId="10" borderId="40" xfId="0" applyFont="1" applyFill="1" applyBorder="1" applyAlignment="1">
      <alignment horizontal="left" vertical="top" wrapText="1"/>
    </xf>
    <xf numFmtId="0" fontId="4" fillId="10" borderId="41" xfId="0" applyFont="1" applyFill="1" applyBorder="1" applyAlignment="1">
      <alignment horizontal="left" vertical="top" wrapText="1"/>
    </xf>
    <xf numFmtId="0" fontId="2" fillId="10" borderId="53" xfId="0" applyFont="1" applyFill="1" applyBorder="1" applyAlignment="1">
      <alignment horizontal="left" vertical="top" wrapText="1"/>
    </xf>
    <xf numFmtId="0" fontId="4" fillId="10" borderId="54" xfId="0" applyFont="1" applyFill="1" applyBorder="1" applyAlignment="1">
      <alignment horizontal="left" vertical="top" wrapText="1"/>
    </xf>
    <xf numFmtId="0" fontId="2" fillId="10" borderId="55" xfId="0" applyFont="1" applyFill="1" applyBorder="1" applyAlignment="1">
      <alignment horizontal="left" vertical="top" wrapText="1"/>
    </xf>
    <xf numFmtId="0" fontId="4" fillId="10" borderId="56" xfId="0" applyFont="1" applyFill="1" applyBorder="1" applyAlignment="1">
      <alignment horizontal="left" vertical="top" wrapText="1"/>
    </xf>
    <xf numFmtId="0" fontId="4" fillId="13" borderId="40" xfId="0" applyFont="1" applyFill="1" applyBorder="1"/>
    <xf numFmtId="0" fontId="4" fillId="13" borderId="42" xfId="0" applyFont="1" applyFill="1" applyBorder="1"/>
    <xf numFmtId="0" fontId="4" fillId="11" borderId="4" xfId="0" applyFont="1" applyFill="1" applyBorder="1"/>
    <xf numFmtId="0" fontId="2" fillId="11" borderId="4" xfId="0" applyFont="1" applyFill="1" applyBorder="1" applyAlignment="1">
      <alignment vertical="top" wrapText="1"/>
    </xf>
    <xf numFmtId="0" fontId="4" fillId="11" borderId="4" xfId="0" applyFont="1" applyFill="1" applyBorder="1" applyAlignment="1">
      <alignment vertical="top" wrapText="1"/>
    </xf>
    <xf numFmtId="0" fontId="4" fillId="11" borderId="4" xfId="0" applyFont="1" applyFill="1" applyBorder="1" applyAlignment="1"/>
    <xf numFmtId="0" fontId="4" fillId="11" borderId="4" xfId="0" applyFont="1" applyFill="1" applyBorder="1" applyAlignment="1">
      <alignment horizontal="left" vertical="top"/>
    </xf>
    <xf numFmtId="0" fontId="2" fillId="9" borderId="10" xfId="0" applyFont="1" applyFill="1" applyBorder="1" applyAlignment="1">
      <alignment vertical="top" wrapText="1"/>
    </xf>
    <xf numFmtId="0" fontId="4" fillId="9" borderId="6" xfId="0" applyFont="1" applyFill="1" applyBorder="1" applyAlignment="1">
      <alignment vertical="top" wrapText="1"/>
    </xf>
    <xf numFmtId="0" fontId="1" fillId="3" borderId="7"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6" borderId="10" xfId="0" applyFont="1" applyFill="1" applyBorder="1" applyAlignment="1">
      <alignment horizontal="left" vertical="center" wrapText="1"/>
    </xf>
    <xf numFmtId="0" fontId="4" fillId="11" borderId="4" xfId="0" applyFont="1" applyFill="1" applyBorder="1" applyAlignment="1">
      <alignment wrapText="1"/>
    </xf>
    <xf numFmtId="0" fontId="4" fillId="11" borderId="0" xfId="0" applyFont="1" applyFill="1"/>
    <xf numFmtId="0" fontId="4" fillId="11" borderId="6" xfId="0" applyFont="1" applyFill="1" applyBorder="1" applyAlignment="1">
      <alignment horizontal="left" vertical="top" wrapText="1"/>
    </xf>
    <xf numFmtId="0" fontId="4" fillId="11" borderId="6" xfId="0" applyFont="1" applyFill="1" applyBorder="1" applyAlignment="1">
      <alignment wrapText="1"/>
    </xf>
    <xf numFmtId="0" fontId="4" fillId="11" borderId="6" xfId="0" applyFont="1" applyFill="1" applyBorder="1" applyAlignment="1"/>
    <xf numFmtId="0" fontId="4" fillId="11" borderId="10" xfId="0" applyFont="1" applyFill="1" applyBorder="1" applyAlignment="1">
      <alignment wrapText="1"/>
    </xf>
    <xf numFmtId="0" fontId="4" fillId="11" borderId="10" xfId="0" applyFont="1" applyFill="1" applyBorder="1" applyAlignment="1"/>
    <xf numFmtId="0" fontId="4" fillId="11" borderId="1" xfId="0" applyFont="1" applyFill="1" applyBorder="1" applyAlignment="1">
      <alignment vertical="top" wrapText="1"/>
    </xf>
    <xf numFmtId="0" fontId="4" fillId="11" borderId="1" xfId="0" applyFont="1" applyFill="1" applyBorder="1"/>
    <xf numFmtId="0" fontId="5" fillId="11" borderId="7" xfId="0" applyFont="1" applyFill="1" applyBorder="1" applyAlignment="1">
      <alignment vertical="top" wrapText="1"/>
    </xf>
    <xf numFmtId="0" fontId="4" fillId="11" borderId="5" xfId="0" applyFont="1" applyFill="1" applyBorder="1" applyAlignment="1">
      <alignment horizontal="left" vertical="top" wrapText="1"/>
    </xf>
    <xf numFmtId="0" fontId="4" fillId="11" borderId="5" xfId="0" applyFont="1" applyFill="1" applyBorder="1" applyAlignment="1"/>
    <xf numFmtId="0" fontId="4" fillId="11" borderId="16" xfId="0" applyFont="1" applyFill="1" applyBorder="1" applyAlignment="1"/>
    <xf numFmtId="0" fontId="4" fillId="11" borderId="7" xfId="0" applyFont="1" applyFill="1" applyBorder="1" applyAlignment="1">
      <alignment vertical="top" wrapText="1"/>
    </xf>
    <xf numFmtId="0" fontId="4" fillId="9" borderId="3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9" borderId="41" xfId="0" applyFont="1" applyFill="1" applyBorder="1" applyAlignment="1">
      <alignment horizontal="left" vertical="top" wrapText="1"/>
    </xf>
    <xf numFmtId="0" fontId="4" fillId="9" borderId="40" xfId="0" applyFont="1" applyFill="1" applyBorder="1" applyAlignment="1"/>
    <xf numFmtId="0" fontId="4" fillId="9" borderId="41" xfId="0" applyFont="1" applyFill="1" applyBorder="1" applyAlignment="1"/>
    <xf numFmtId="0" fontId="4" fillId="9" borderId="42" xfId="0" applyFont="1" applyFill="1" applyBorder="1" applyAlignment="1">
      <alignment horizontal="left" vertical="top" wrapText="1"/>
    </xf>
    <xf numFmtId="0" fontId="4" fillId="9" borderId="44" xfId="0" applyFont="1" applyFill="1" applyBorder="1" applyAlignment="1">
      <alignment horizontal="left" vertical="top" wrapText="1"/>
    </xf>
    <xf numFmtId="0" fontId="1" fillId="6" borderId="16" xfId="0" applyFont="1" applyFill="1" applyBorder="1" applyAlignment="1">
      <alignment horizontal="left" vertical="center" wrapText="1"/>
    </xf>
    <xf numFmtId="0" fontId="1" fillId="7" borderId="51" xfId="0" applyFont="1" applyFill="1" applyBorder="1" applyAlignment="1">
      <alignment horizontal="left" vertical="center" wrapText="1"/>
    </xf>
    <xf numFmtId="0" fontId="1" fillId="7" borderId="52" xfId="0" applyFont="1" applyFill="1" applyBorder="1" applyAlignment="1">
      <alignment horizontal="left" vertical="center" wrapText="1"/>
    </xf>
    <xf numFmtId="0" fontId="2" fillId="9" borderId="53" xfId="0" applyFont="1" applyFill="1" applyBorder="1" applyAlignment="1">
      <alignment horizontal="left" vertical="top" wrapText="1"/>
    </xf>
    <xf numFmtId="0" fontId="4" fillId="9" borderId="54" xfId="0" applyFont="1" applyFill="1" applyBorder="1" applyAlignment="1">
      <alignment horizontal="left" vertical="top" wrapText="1"/>
    </xf>
    <xf numFmtId="0" fontId="4" fillId="14" borderId="54" xfId="0" applyFont="1" applyFill="1" applyBorder="1" applyAlignment="1">
      <alignment horizontal="left" vertical="top" wrapText="1"/>
    </xf>
    <xf numFmtId="0" fontId="4" fillId="9" borderId="56" xfId="0" applyFont="1" applyFill="1" applyBorder="1" applyAlignment="1">
      <alignment horizontal="left" vertical="top" wrapText="1"/>
    </xf>
    <xf numFmtId="0" fontId="4" fillId="13" borderId="1" xfId="0" applyFont="1" applyFill="1" applyBorder="1"/>
    <xf numFmtId="0" fontId="4" fillId="13" borderId="38" xfId="0" applyFont="1" applyFill="1" applyBorder="1"/>
    <xf numFmtId="0" fontId="4" fillId="13" borderId="39" xfId="0" applyFont="1" applyFill="1" applyBorder="1" applyAlignment="1">
      <alignment vertical="top"/>
    </xf>
    <xf numFmtId="0" fontId="4" fillId="13" borderId="40" xfId="0" applyFont="1" applyFill="1" applyBorder="1" applyAlignment="1">
      <alignment vertical="center"/>
    </xf>
    <xf numFmtId="0" fontId="4" fillId="13" borderId="41" xfId="0" applyFont="1" applyFill="1" applyBorder="1" applyAlignment="1">
      <alignment vertical="top"/>
    </xf>
    <xf numFmtId="0" fontId="4" fillId="13" borderId="42" xfId="0" applyFont="1" applyFill="1" applyBorder="1" applyAlignment="1">
      <alignment horizontal="left" vertical="top" wrapText="1"/>
    </xf>
    <xf numFmtId="0" fontId="4" fillId="13" borderId="43" xfId="0" applyFont="1" applyFill="1" applyBorder="1"/>
    <xf numFmtId="0" fontId="4" fillId="9" borderId="37" xfId="0" applyFont="1" applyFill="1" applyBorder="1"/>
    <xf numFmtId="0" fontId="4" fillId="9" borderId="40" xfId="0" applyFont="1" applyFill="1" applyBorder="1"/>
    <xf numFmtId="0" fontId="4" fillId="9" borderId="41" xfId="0" applyFont="1" applyFill="1" applyBorder="1" applyAlignment="1">
      <alignment vertical="top"/>
    </xf>
    <xf numFmtId="0" fontId="4" fillId="9" borderId="42" xfId="0" applyFont="1" applyFill="1" applyBorder="1"/>
    <xf numFmtId="0" fontId="4" fillId="9" borderId="44" xfId="0" applyFont="1" applyFill="1" applyBorder="1" applyAlignment="1">
      <alignment vertical="top"/>
    </xf>
    <xf numFmtId="0" fontId="1" fillId="7" borderId="23" xfId="0" applyFont="1" applyFill="1" applyBorder="1" applyAlignment="1">
      <alignment horizontal="left" vertical="top" wrapText="1"/>
    </xf>
    <xf numFmtId="0" fontId="2" fillId="9" borderId="22" xfId="0" applyFont="1" applyFill="1" applyBorder="1" applyAlignment="1">
      <alignment horizontal="left" vertical="top" wrapText="1"/>
    </xf>
    <xf numFmtId="0" fontId="4" fillId="9" borderId="23" xfId="0" applyFont="1" applyFill="1" applyBorder="1" applyAlignment="1">
      <alignment vertical="top" wrapText="1"/>
    </xf>
    <xf numFmtId="0" fontId="2" fillId="9" borderId="22" xfId="0" applyFont="1" applyFill="1" applyBorder="1" applyAlignment="1">
      <alignment vertical="top" wrapText="1"/>
    </xf>
    <xf numFmtId="0" fontId="4" fillId="9" borderId="23" xfId="0" applyFont="1" applyFill="1" applyBorder="1" applyAlignment="1">
      <alignment horizontal="left" vertical="top" wrapText="1"/>
    </xf>
    <xf numFmtId="0" fontId="2" fillId="9" borderId="26" xfId="0" applyFont="1" applyFill="1" applyBorder="1" applyAlignment="1">
      <alignment horizontal="left" vertical="top"/>
    </xf>
    <xf numFmtId="0" fontId="4" fillId="9" borderId="27" xfId="0" applyFont="1" applyFill="1" applyBorder="1" applyAlignment="1">
      <alignment vertical="top" wrapText="1"/>
    </xf>
    <xf numFmtId="0" fontId="4" fillId="13" borderId="37" xfId="0" applyFont="1" applyFill="1" applyBorder="1"/>
    <xf numFmtId="0" fontId="2" fillId="12" borderId="4" xfId="0" applyFont="1" applyFill="1" applyBorder="1" applyAlignment="1">
      <alignment horizontal="left" vertical="top" wrapText="1"/>
    </xf>
    <xf numFmtId="0" fontId="4" fillId="12" borderId="7" xfId="0" applyFont="1" applyFill="1" applyBorder="1" applyAlignment="1">
      <alignment horizontal="left" vertical="top" wrapText="1"/>
    </xf>
    <xf numFmtId="0" fontId="2" fillId="9" borderId="9" xfId="0" applyFont="1" applyFill="1" applyBorder="1" applyAlignment="1">
      <alignment horizontal="left" vertical="top" wrapText="1"/>
    </xf>
    <xf numFmtId="0" fontId="4" fillId="9" borderId="9" xfId="0" applyFont="1" applyFill="1" applyBorder="1" applyAlignment="1">
      <alignment horizontal="left" vertical="top" wrapText="1"/>
    </xf>
    <xf numFmtId="0" fontId="4" fillId="11" borderId="34" xfId="0" applyFont="1" applyFill="1" applyBorder="1"/>
    <xf numFmtId="0" fontId="4" fillId="14" borderId="23" xfId="0" applyFont="1" applyFill="1" applyBorder="1" applyAlignment="1">
      <alignment wrapText="1"/>
    </xf>
    <xf numFmtId="0" fontId="2" fillId="9" borderId="26" xfId="0" applyFont="1" applyFill="1" applyBorder="1" applyAlignment="1">
      <alignment horizontal="left" vertical="top" wrapText="1"/>
    </xf>
    <xf numFmtId="0" fontId="4" fillId="9" borderId="27" xfId="0" applyFont="1" applyFill="1" applyBorder="1" applyAlignment="1">
      <alignment horizontal="left" vertical="top" wrapText="1"/>
    </xf>
    <xf numFmtId="0" fontId="4" fillId="9" borderId="24" xfId="0" applyFont="1" applyFill="1" applyBorder="1" applyAlignment="1">
      <alignment vertical="top" wrapText="1"/>
    </xf>
    <xf numFmtId="0" fontId="4" fillId="9" borderId="39" xfId="0" applyFont="1" applyFill="1" applyBorder="1"/>
    <xf numFmtId="0" fontId="4" fillId="9" borderId="41" xfId="0" applyFont="1" applyFill="1" applyBorder="1"/>
    <xf numFmtId="0" fontId="4" fillId="9" borderId="44" xfId="0" applyFont="1" applyFill="1" applyBorder="1"/>
    <xf numFmtId="0" fontId="4" fillId="13" borderId="39" xfId="0" applyFont="1" applyFill="1" applyBorder="1"/>
    <xf numFmtId="0" fontId="4" fillId="13" borderId="41" xfId="0" applyFont="1" applyFill="1" applyBorder="1"/>
    <xf numFmtId="0" fontId="4" fillId="13" borderId="44" xfId="0" applyFont="1" applyFill="1" applyBorder="1"/>
    <xf numFmtId="0" fontId="2" fillId="11" borderId="4" xfId="0" applyFont="1" applyFill="1" applyBorder="1" applyAlignment="1">
      <alignment vertical="top"/>
    </xf>
    <xf numFmtId="0" fontId="4" fillId="11" borderId="7" xfId="0" applyFont="1" applyFill="1" applyBorder="1"/>
    <xf numFmtId="0" fontId="2" fillId="9" borderId="26" xfId="0" applyFont="1" applyFill="1" applyBorder="1" applyAlignment="1">
      <alignment vertical="top"/>
    </xf>
    <xf numFmtId="0" fontId="16" fillId="14" borderId="25" xfId="0" applyFont="1" applyFill="1" applyBorder="1" applyAlignment="1">
      <alignment vertical="top"/>
    </xf>
    <xf numFmtId="0" fontId="17" fillId="12" borderId="4" xfId="0" applyFont="1" applyFill="1" applyBorder="1" applyAlignment="1">
      <alignment vertical="top" wrapText="1"/>
    </xf>
    <xf numFmtId="0" fontId="5" fillId="12" borderId="1" xfId="0" applyFont="1" applyFill="1" applyBorder="1" applyAlignment="1">
      <alignment vertical="top"/>
    </xf>
    <xf numFmtId="0" fontId="4" fillId="4" borderId="50" xfId="0" applyFont="1" applyFill="1" applyBorder="1" applyAlignment="1">
      <alignment horizontal="left" vertical="top" wrapText="1"/>
    </xf>
    <xf numFmtId="0" fontId="2" fillId="11" borderId="10" xfId="0" applyFont="1" applyFill="1" applyBorder="1" applyAlignment="1">
      <alignment vertical="top"/>
    </xf>
    <xf numFmtId="0" fontId="2" fillId="11" borderId="10" xfId="0" applyFont="1" applyFill="1" applyBorder="1" applyAlignment="1">
      <alignment vertical="top" wrapText="1"/>
    </xf>
    <xf numFmtId="0" fontId="2" fillId="11" borderId="6" xfId="0" applyFont="1" applyFill="1" applyBorder="1" applyAlignment="1">
      <alignment horizontal="left" vertical="top"/>
    </xf>
    <xf numFmtId="0" fontId="4" fillId="11" borderId="16" xfId="0" applyFont="1" applyFill="1" applyBorder="1" applyAlignment="1">
      <alignment horizontal="left" vertical="top" wrapText="1"/>
    </xf>
    <xf numFmtId="0" fontId="4" fillId="11" borderId="16" xfId="0" applyFont="1" applyFill="1" applyBorder="1" applyAlignment="1">
      <alignment vertical="top" wrapText="1"/>
    </xf>
    <xf numFmtId="0" fontId="4" fillId="9" borderId="42" xfId="0" applyFont="1" applyFill="1" applyBorder="1" applyAlignment="1"/>
    <xf numFmtId="0" fontId="4" fillId="9" borderId="44" xfId="0" applyFont="1" applyFill="1" applyBorder="1" applyAlignment="1"/>
    <xf numFmtId="0" fontId="15" fillId="12" borderId="1" xfId="0" applyFont="1" applyFill="1" applyBorder="1" applyAlignment="1">
      <alignment vertical="top" wrapText="1"/>
    </xf>
    <xf numFmtId="0" fontId="19" fillId="14" borderId="41" xfId="0" applyFont="1" applyFill="1" applyBorder="1" applyAlignment="1">
      <alignment wrapText="1"/>
    </xf>
    <xf numFmtId="0" fontId="15" fillId="12" borderId="7" xfId="0" applyFont="1" applyFill="1" applyBorder="1" applyAlignment="1">
      <alignment vertical="top" wrapText="1"/>
    </xf>
    <xf numFmtId="0" fontId="19" fillId="14" borderId="54" xfId="0" applyFont="1" applyFill="1" applyBorder="1" applyAlignment="1">
      <alignment vertical="top" wrapText="1"/>
    </xf>
    <xf numFmtId="0" fontId="5" fillId="14" borderId="24" xfId="0" applyFont="1" applyFill="1" applyBorder="1" applyAlignment="1">
      <alignment wrapText="1"/>
    </xf>
    <xf numFmtId="0" fontId="2" fillId="9" borderId="51" xfId="0" applyFont="1" applyFill="1" applyBorder="1" applyAlignment="1">
      <alignment horizontal="left" vertical="top" wrapText="1"/>
    </xf>
    <xf numFmtId="0" fontId="4" fillId="9" borderId="52" xfId="0" applyFont="1" applyFill="1" applyBorder="1" applyAlignment="1">
      <alignment horizontal="left" vertical="top" wrapText="1"/>
    </xf>
    <xf numFmtId="0" fontId="2" fillId="11" borderId="4" xfId="0" applyFont="1" applyFill="1" applyBorder="1" applyAlignment="1">
      <alignment horizontal="left" vertical="top"/>
    </xf>
    <xf numFmtId="0" fontId="5" fillId="12" borderId="1" xfId="0" applyFont="1" applyFill="1" applyBorder="1" applyAlignment="1">
      <alignment vertical="top" wrapText="1"/>
    </xf>
    <xf numFmtId="0" fontId="4" fillId="14" borderId="23" xfId="0" applyFont="1" applyFill="1" applyBorder="1" applyAlignment="1">
      <alignment horizontal="left" vertical="top" wrapText="1"/>
    </xf>
    <xf numFmtId="0" fontId="21" fillId="9" borderId="4" xfId="1" applyFont="1" applyFill="1" applyBorder="1" applyAlignment="1">
      <alignment horizontal="left" vertical="top" wrapText="1"/>
    </xf>
    <xf numFmtId="0" fontId="21" fillId="9" borderId="26" xfId="1" applyFont="1" applyFill="1" applyBorder="1" applyAlignment="1">
      <alignment horizontal="left" vertical="top" wrapText="1"/>
    </xf>
    <xf numFmtId="0" fontId="21" fillId="11" borderId="4" xfId="1" applyFont="1" applyFill="1" applyBorder="1" applyAlignment="1">
      <alignment horizontal="left" vertical="top" wrapText="1"/>
    </xf>
    <xf numFmtId="0" fontId="2" fillId="11" borderId="1" xfId="0" applyFont="1" applyFill="1" applyBorder="1" applyAlignment="1">
      <alignment vertical="top"/>
    </xf>
    <xf numFmtId="0" fontId="4" fillId="11" borderId="48" xfId="0" applyFont="1" applyFill="1" applyBorder="1" applyAlignment="1">
      <alignment vertical="top" wrapText="1"/>
    </xf>
    <xf numFmtId="0" fontId="8" fillId="4" borderId="3" xfId="0" applyFont="1" applyFill="1" applyBorder="1" applyAlignment="1">
      <alignment vertical="top" wrapText="1"/>
    </xf>
    <xf numFmtId="0" fontId="8" fillId="4" borderId="2" xfId="0" applyFont="1" applyFill="1" applyBorder="1" applyAlignment="1">
      <alignment vertical="top" wrapText="1"/>
    </xf>
    <xf numFmtId="0" fontId="8" fillId="4" borderId="3" xfId="0" applyFont="1" applyFill="1" applyBorder="1" applyAlignment="1">
      <alignment vertical="top"/>
    </xf>
    <xf numFmtId="0" fontId="4" fillId="0" borderId="0" xfId="0" applyFont="1"/>
    <xf numFmtId="0" fontId="4" fillId="0" borderId="13" xfId="0" applyFont="1" applyBorder="1"/>
    <xf numFmtId="0" fontId="3" fillId="4" borderId="1" xfId="0" applyFont="1" applyFill="1" applyBorder="1" applyAlignment="1">
      <alignment vertical="top" wrapText="1"/>
    </xf>
    <xf numFmtId="0" fontId="3" fillId="4" borderId="13" xfId="0" applyFont="1" applyFill="1" applyBorder="1" applyAlignment="1">
      <alignment vertical="top" wrapText="1"/>
    </xf>
    <xf numFmtId="0" fontId="1" fillId="3" borderId="13" xfId="0" applyFont="1" applyFill="1" applyBorder="1" applyAlignment="1">
      <alignment horizontal="center" vertical="center" wrapText="1"/>
    </xf>
    <xf numFmtId="0" fontId="1" fillId="6" borderId="13" xfId="0" applyFont="1" applyFill="1" applyBorder="1" applyAlignment="1">
      <alignment horizontal="left" vertical="center" wrapText="1"/>
    </xf>
    <xf numFmtId="0" fontId="1" fillId="7" borderId="13" xfId="0" applyFont="1" applyFill="1" applyBorder="1" applyAlignment="1">
      <alignment horizontal="left" vertical="center" wrapText="1"/>
    </xf>
    <xf numFmtId="0" fontId="4" fillId="4" borderId="13" xfId="0" applyFont="1" applyFill="1" applyBorder="1" applyAlignment="1">
      <alignment vertical="top" wrapText="1"/>
    </xf>
    <xf numFmtId="0" fontId="4" fillId="4" borderId="13" xfId="0" applyFont="1" applyFill="1" applyBorder="1" applyAlignment="1">
      <alignment horizontal="left" vertical="top" wrapText="1"/>
    </xf>
    <xf numFmtId="0" fontId="4" fillId="5" borderId="13" xfId="0" applyFont="1" applyFill="1" applyBorder="1" applyAlignment="1">
      <alignment horizontal="left" vertical="top" wrapText="1"/>
    </xf>
    <xf numFmtId="0" fontId="20" fillId="5" borderId="13" xfId="0" applyFont="1" applyFill="1" applyBorder="1" applyAlignment="1">
      <alignment vertical="top" wrapText="1"/>
    </xf>
    <xf numFmtId="0" fontId="3" fillId="0" borderId="13" xfId="0" applyFont="1" applyBorder="1" applyAlignment="1">
      <alignment horizontal="center" vertical="center" wrapText="1"/>
    </xf>
    <xf numFmtId="0" fontId="2" fillId="0" borderId="13" xfId="0" applyFont="1" applyBorder="1" applyAlignment="1">
      <alignment horizontal="left" vertical="center" wrapText="1"/>
    </xf>
    <xf numFmtId="0" fontId="1" fillId="3" borderId="13" xfId="0" applyFont="1" applyFill="1" applyBorder="1" applyAlignment="1">
      <alignment horizontal="left" vertical="center" wrapText="1"/>
    </xf>
    <xf numFmtId="0" fontId="2" fillId="11" borderId="13" xfId="0" applyFont="1" applyFill="1" applyBorder="1" applyAlignment="1">
      <alignment horizontal="left" vertical="top" wrapText="1"/>
    </xf>
    <xf numFmtId="0" fontId="4" fillId="11" borderId="13" xfId="0" applyFont="1" applyFill="1" applyBorder="1" applyAlignment="1">
      <alignment horizontal="left" vertical="top" wrapText="1"/>
    </xf>
    <xf numFmtId="0" fontId="4" fillId="11" borderId="13" xfId="0" applyFont="1" applyFill="1" applyBorder="1"/>
    <xf numFmtId="164" fontId="4" fillId="11" borderId="13" xfId="0" applyNumberFormat="1" applyFont="1" applyFill="1" applyBorder="1" applyAlignment="1">
      <alignment horizontal="left" vertical="top" wrapText="1"/>
    </xf>
    <xf numFmtId="0" fontId="18" fillId="12" borderId="13" xfId="0" applyFont="1" applyFill="1" applyBorder="1" applyAlignment="1">
      <alignment wrapText="1"/>
    </xf>
    <xf numFmtId="0" fontId="20" fillId="12" borderId="13" xfId="0" applyFont="1" applyFill="1" applyBorder="1" applyAlignment="1">
      <alignment vertical="top" wrapText="1"/>
    </xf>
    <xf numFmtId="0" fontId="2" fillId="9" borderId="13" xfId="0" applyFont="1" applyFill="1" applyBorder="1" applyAlignment="1">
      <alignment horizontal="left" vertical="top" wrapText="1"/>
    </xf>
    <xf numFmtId="0" fontId="4" fillId="9" borderId="13" xfId="0" applyFont="1" applyFill="1" applyBorder="1" applyAlignment="1">
      <alignment horizontal="left" vertical="top" wrapText="1"/>
    </xf>
    <xf numFmtId="0" fontId="18" fillId="14" borderId="13" xfId="0" applyFont="1" applyFill="1" applyBorder="1" applyAlignment="1">
      <alignment vertical="top" wrapText="1"/>
    </xf>
    <xf numFmtId="0" fontId="15" fillId="14" borderId="13" xfId="0" applyFont="1" applyFill="1" applyBorder="1" applyAlignment="1">
      <alignment vertical="top" wrapText="1"/>
    </xf>
    <xf numFmtId="0" fontId="21" fillId="11" borderId="13" xfId="1" applyFont="1" applyFill="1" applyBorder="1" applyAlignment="1">
      <alignment horizontal="left" vertical="top" wrapText="1"/>
    </xf>
    <xf numFmtId="0" fontId="21" fillId="10" borderId="53" xfId="1" applyFont="1" applyFill="1" applyBorder="1" applyAlignment="1">
      <alignment horizontal="left" vertical="top" wrapText="1"/>
    </xf>
    <xf numFmtId="0" fontId="21" fillId="9" borderId="55" xfId="1" applyFont="1" applyFill="1" applyBorder="1" applyAlignment="1">
      <alignment horizontal="left" vertical="top" wrapText="1"/>
    </xf>
    <xf numFmtId="0" fontId="4" fillId="9" borderId="66" xfId="0" applyFont="1" applyFill="1" applyBorder="1" applyAlignment="1">
      <alignment horizontal="left" vertical="top" wrapText="1"/>
    </xf>
    <xf numFmtId="0" fontId="1" fillId="7" borderId="9" xfId="0" applyFont="1" applyFill="1" applyBorder="1" applyAlignment="1">
      <alignment horizontal="left" vertical="center" wrapText="1"/>
    </xf>
    <xf numFmtId="0" fontId="2" fillId="9" borderId="67" xfId="0" applyFont="1" applyFill="1" applyBorder="1" applyAlignment="1">
      <alignment horizontal="left" vertical="top" wrapText="1"/>
    </xf>
    <xf numFmtId="0" fontId="4" fillId="9" borderId="68" xfId="0" applyFont="1" applyFill="1" applyBorder="1" applyAlignment="1">
      <alignment vertical="top" wrapText="1"/>
    </xf>
    <xf numFmtId="0" fontId="2" fillId="14" borderId="22" xfId="0" applyFont="1" applyFill="1" applyBorder="1" applyAlignment="1">
      <alignment horizontal="left" vertical="top" wrapText="1"/>
    </xf>
    <xf numFmtId="0" fontId="4" fillId="9" borderId="23" xfId="0" applyFont="1" applyFill="1" applyBorder="1" applyAlignment="1"/>
    <xf numFmtId="0" fontId="4" fillId="9" borderId="69" xfId="0" applyFont="1" applyFill="1" applyBorder="1" applyAlignment="1">
      <alignment horizontal="left" vertical="top" wrapText="1"/>
    </xf>
    <xf numFmtId="0" fontId="4" fillId="0" borderId="0" xfId="0" applyFont="1"/>
    <xf numFmtId="0" fontId="21" fillId="9" borderId="22" xfId="1" applyFont="1" applyFill="1" applyBorder="1" applyAlignment="1">
      <alignment horizontal="left" vertical="top" wrapText="1"/>
    </xf>
    <xf numFmtId="0" fontId="4" fillId="9" borderId="49" xfId="0" applyFont="1" applyFill="1" applyBorder="1" applyAlignment="1">
      <alignment horizontal="left" vertical="top" wrapText="1"/>
    </xf>
    <xf numFmtId="0" fontId="4" fillId="9" borderId="68" xfId="0" applyFont="1" applyFill="1" applyBorder="1" applyAlignment="1">
      <alignment horizontal="left" vertical="top" wrapText="1"/>
    </xf>
    <xf numFmtId="0" fontId="6" fillId="2" borderId="1" xfId="0" applyFont="1" applyFill="1" applyBorder="1" applyAlignment="1">
      <alignment horizontal="left" vertical="center" wrapText="1"/>
    </xf>
    <xf numFmtId="0" fontId="8" fillId="0" borderId="0" xfId="0" applyFont="1"/>
    <xf numFmtId="0" fontId="9" fillId="5" borderId="3" xfId="0" applyFont="1" applyFill="1" applyBorder="1" applyAlignment="1">
      <alignment vertical="top"/>
    </xf>
    <xf numFmtId="0" fontId="7" fillId="0" borderId="0" xfId="0" applyFont="1"/>
    <xf numFmtId="0" fontId="6" fillId="3" borderId="1" xfId="0" applyFont="1" applyFill="1" applyBorder="1" applyAlignment="1">
      <alignment vertical="center" wrapText="1"/>
    </xf>
    <xf numFmtId="0" fontId="8" fillId="4" borderId="11" xfId="0" applyFont="1" applyFill="1" applyBorder="1" applyAlignment="1">
      <alignment vertical="top" wrapText="1"/>
    </xf>
    <xf numFmtId="0" fontId="8" fillId="0" borderId="1" xfId="0" applyFont="1" applyBorder="1" applyAlignment="1"/>
    <xf numFmtId="0" fontId="8" fillId="4" borderId="2" xfId="0" applyFont="1" applyFill="1" applyBorder="1" applyAlignment="1">
      <alignment vertical="top" wrapText="1"/>
    </xf>
    <xf numFmtId="0" fontId="10" fillId="3" borderId="1" xfId="0" applyFont="1" applyFill="1" applyBorder="1" applyAlignment="1">
      <alignment vertical="center" wrapText="1"/>
    </xf>
    <xf numFmtId="0" fontId="13" fillId="0" borderId="0" xfId="0" applyFont="1"/>
    <xf numFmtId="0" fontId="3" fillId="4" borderId="4" xfId="0" applyFont="1" applyFill="1" applyBorder="1" applyAlignment="1">
      <alignment vertical="top" wrapText="1"/>
    </xf>
    <xf numFmtId="0" fontId="4" fillId="0" borderId="0" xfId="0" applyFont="1"/>
    <xf numFmtId="0" fontId="9" fillId="5" borderId="2" xfId="0" applyFont="1" applyFill="1" applyBorder="1" applyAlignment="1">
      <alignment vertical="top"/>
    </xf>
    <xf numFmtId="0" fontId="4" fillId="4" borderId="14" xfId="0" applyFont="1" applyFill="1" applyBorder="1" applyAlignment="1">
      <alignment vertical="top" wrapText="1"/>
    </xf>
    <xf numFmtId="0" fontId="4" fillId="0" borderId="49" xfId="0" applyFont="1" applyBorder="1"/>
    <xf numFmtId="0" fontId="4" fillId="4" borderId="14" xfId="0" applyFont="1" applyFill="1" applyBorder="1" applyAlignment="1">
      <alignment horizontal="left" vertical="top" wrapText="1"/>
    </xf>
    <xf numFmtId="0" fontId="4" fillId="4" borderId="12" xfId="0" applyFont="1" applyFill="1" applyBorder="1" applyAlignment="1">
      <alignment horizontal="left" vertical="top" wrapText="1"/>
    </xf>
    <xf numFmtId="0" fontId="4" fillId="0" borderId="14" xfId="0" applyFont="1" applyBorder="1"/>
    <xf numFmtId="0" fontId="3" fillId="4" borderId="7" xfId="0" applyFont="1" applyFill="1" applyBorder="1" applyAlignment="1">
      <alignment vertical="top" wrapText="1"/>
    </xf>
    <xf numFmtId="0" fontId="4" fillId="0" borderId="1" xfId="0" applyFont="1" applyBorder="1"/>
    <xf numFmtId="0" fontId="3" fillId="0" borderId="20"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1" fillId="7" borderId="20" xfId="0" applyFont="1" applyFill="1" applyBorder="1" applyAlignment="1">
      <alignment horizontal="left" vertical="center" wrapText="1"/>
    </xf>
    <xf numFmtId="0" fontId="4" fillId="0" borderId="21" xfId="0" applyFont="1" applyBorder="1"/>
    <xf numFmtId="0" fontId="4" fillId="4" borderId="12" xfId="0" applyFont="1" applyFill="1" applyBorder="1" applyAlignment="1">
      <alignment vertical="top" wrapText="1"/>
    </xf>
    <xf numFmtId="0" fontId="4" fillId="0" borderId="13" xfId="0" applyFont="1" applyBorder="1"/>
    <xf numFmtId="0" fontId="3" fillId="4" borderId="15" xfId="0" applyFont="1" applyFill="1" applyBorder="1" applyAlignment="1">
      <alignment vertical="top" wrapText="1"/>
    </xf>
    <xf numFmtId="0" fontId="3" fillId="4" borderId="1" xfId="0" applyFont="1" applyFill="1" applyBorder="1" applyAlignment="1">
      <alignment vertical="top" wrapText="1"/>
    </xf>
    <xf numFmtId="0" fontId="3" fillId="4" borderId="16" xfId="0" applyFont="1" applyFill="1" applyBorder="1" applyAlignment="1">
      <alignment vertical="top" wrapText="1"/>
    </xf>
    <xf numFmtId="0" fontId="4" fillId="4" borderId="9" xfId="0" applyFont="1" applyFill="1" applyBorder="1" applyAlignment="1">
      <alignment vertical="top" wrapText="1"/>
    </xf>
    <xf numFmtId="0" fontId="4" fillId="4" borderId="8" xfId="0" applyFont="1" applyFill="1" applyBorder="1" applyAlignment="1">
      <alignment vertical="top" wrapText="1"/>
    </xf>
    <xf numFmtId="0" fontId="1" fillId="6" borderId="5" xfId="0" applyFont="1" applyFill="1" applyBorder="1" applyAlignment="1">
      <alignment horizontal="left" vertical="center" wrapText="1"/>
    </xf>
    <xf numFmtId="0" fontId="1" fillId="3" borderId="7"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6" xfId="0" applyFont="1" applyFill="1" applyBorder="1" applyAlignment="1">
      <alignment horizontal="left" vertical="top" wrapText="1"/>
    </xf>
    <xf numFmtId="0" fontId="4" fillId="4" borderId="6" xfId="0" applyFont="1" applyFill="1" applyBorder="1" applyAlignment="1">
      <alignment vertical="top"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4" borderId="6" xfId="0" applyFont="1" applyFill="1" applyBorder="1" applyAlignment="1">
      <alignment horizontal="left" vertical="top"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0" fontId="6" fillId="3" borderId="19"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3" fillId="0" borderId="46" xfId="0" applyFont="1" applyBorder="1" applyAlignment="1">
      <alignment horizontal="left" vertical="center" wrapText="1"/>
    </xf>
    <xf numFmtId="0" fontId="3" fillId="0" borderId="35" xfId="0" applyFont="1" applyBorder="1" applyAlignment="1">
      <alignment horizontal="left" vertical="center" wrapText="1"/>
    </xf>
    <xf numFmtId="0" fontId="3" fillId="4" borderId="9" xfId="0" applyFont="1" applyFill="1" applyBorder="1" applyAlignment="1">
      <alignment vertical="top" wrapText="1"/>
    </xf>
    <xf numFmtId="0" fontId="3" fillId="4" borderId="12" xfId="0" applyFont="1" applyFill="1" applyBorder="1" applyAlignment="1">
      <alignment vertical="top" wrapText="1"/>
    </xf>
    <xf numFmtId="0" fontId="3" fillId="4" borderId="14" xfId="0" applyFont="1" applyFill="1" applyBorder="1" applyAlignment="1">
      <alignment vertical="top" wrapText="1"/>
    </xf>
    <xf numFmtId="0" fontId="4" fillId="4" borderId="61" xfId="0" applyFont="1" applyFill="1" applyBorder="1" applyAlignment="1">
      <alignment horizontal="left" vertical="top" wrapText="1"/>
    </xf>
    <xf numFmtId="0" fontId="4" fillId="4" borderId="1" xfId="0" applyFont="1" applyFill="1" applyBorder="1" applyAlignment="1">
      <alignment horizontal="left" vertical="top" wrapText="1"/>
    </xf>
    <xf numFmtId="0" fontId="22" fillId="0" borderId="7" xfId="1" applyFont="1" applyBorder="1" applyAlignment="1">
      <alignment horizontal="left" vertical="center" wrapText="1"/>
    </xf>
    <xf numFmtId="0" fontId="22" fillId="0" borderId="5" xfId="1" applyFont="1" applyBorder="1" applyAlignment="1">
      <alignment horizontal="left" vertical="center" wrapText="1"/>
    </xf>
    <xf numFmtId="0" fontId="14" fillId="0" borderId="13" xfId="0" applyFont="1" applyBorder="1" applyAlignment="1">
      <alignment horizontal="left" vertical="center" wrapText="1"/>
    </xf>
    <xf numFmtId="0" fontId="14" fillId="0" borderId="48" xfId="0" applyFont="1" applyBorder="1" applyAlignment="1">
      <alignment horizontal="left" vertical="center" wrapText="1"/>
    </xf>
    <xf numFmtId="0" fontId="3" fillId="0" borderId="13" xfId="0" applyFont="1" applyBorder="1" applyAlignment="1">
      <alignment horizontal="left" vertical="center" wrapText="1"/>
    </xf>
    <xf numFmtId="0" fontId="3" fillId="0" borderId="48" xfId="0" applyFont="1" applyBorder="1" applyAlignment="1">
      <alignment horizontal="left" vertical="center" wrapText="1"/>
    </xf>
    <xf numFmtId="0" fontId="4" fillId="0" borderId="13" xfId="0" applyFont="1" applyBorder="1" applyAlignment="1">
      <alignment horizontal="left" vertical="center" wrapText="1"/>
    </xf>
    <xf numFmtId="0" fontId="3" fillId="4" borderId="57" xfId="0" applyFont="1" applyFill="1" applyBorder="1" applyAlignment="1">
      <alignment vertical="top" wrapText="1"/>
    </xf>
    <xf numFmtId="0" fontId="4" fillId="0" borderId="61" xfId="0" applyFont="1" applyBorder="1"/>
    <xf numFmtId="0" fontId="1" fillId="3" borderId="19"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4" fillId="0" borderId="60" xfId="0" applyFont="1" applyBorder="1"/>
    <xf numFmtId="0" fontId="4" fillId="4" borderId="59" xfId="0" applyFont="1" applyFill="1" applyBorder="1" applyAlignment="1">
      <alignment horizontal="left" vertical="top" wrapText="1"/>
    </xf>
    <xf numFmtId="0" fontId="4" fillId="0" borderId="58" xfId="0" applyFont="1" applyBorder="1"/>
    <xf numFmtId="0" fontId="3" fillId="0" borderId="47" xfId="0" applyFont="1" applyBorder="1" applyAlignment="1">
      <alignment horizontal="left" vertical="center" wrapText="1"/>
    </xf>
    <xf numFmtId="0" fontId="15" fillId="8" borderId="47" xfId="0" applyFont="1" applyFill="1" applyBorder="1" applyAlignment="1">
      <alignment vertical="center" wrapText="1"/>
    </xf>
    <xf numFmtId="0" fontId="15" fillId="8" borderId="48" xfId="0" applyFont="1" applyFill="1" applyBorder="1" applyAlignment="1">
      <alignment vertical="center" wrapText="1"/>
    </xf>
    <xf numFmtId="0" fontId="4" fillId="8" borderId="63" xfId="0" applyFont="1" applyFill="1" applyBorder="1" applyAlignment="1">
      <alignment horizontal="left" vertical="center"/>
    </xf>
    <xf numFmtId="0" fontId="4" fillId="8" borderId="33" xfId="0" applyFont="1" applyFill="1" applyBorder="1" applyAlignment="1">
      <alignment horizontal="left" vertical="center"/>
    </xf>
    <xf numFmtId="0" fontId="14" fillId="0" borderId="47" xfId="0" applyFont="1" applyBorder="1" applyAlignment="1">
      <alignment horizontal="left" vertical="center" wrapText="1"/>
    </xf>
    <xf numFmtId="0" fontId="14" fillId="0" borderId="46" xfId="0" applyFont="1" applyBorder="1" applyAlignment="1">
      <alignment horizontal="left" vertical="center" wrapText="1"/>
    </xf>
    <xf numFmtId="0" fontId="14" fillId="0" borderId="35" xfId="0" applyFont="1" applyBorder="1" applyAlignment="1">
      <alignment horizontal="left" vertical="center" wrapText="1"/>
    </xf>
    <xf numFmtId="0" fontId="4" fillId="9" borderId="45" xfId="0" applyFont="1" applyFill="1" applyBorder="1" applyAlignment="1">
      <alignment horizontal="center" vertical="top" wrapText="1"/>
    </xf>
    <xf numFmtId="0" fontId="4" fillId="9" borderId="17" xfId="0" applyFont="1" applyFill="1" applyBorder="1" applyAlignment="1">
      <alignment horizontal="center" vertical="top" wrapText="1"/>
    </xf>
    <xf numFmtId="0" fontId="4" fillId="9" borderId="18" xfId="0" applyFont="1" applyFill="1" applyBorder="1" applyAlignment="1">
      <alignment horizontal="center" vertical="top" wrapText="1"/>
    </xf>
    <xf numFmtId="0" fontId="4" fillId="9" borderId="64" xfId="0" applyFont="1" applyFill="1" applyBorder="1" applyAlignment="1">
      <alignment horizontal="center" vertical="top" wrapText="1"/>
    </xf>
    <xf numFmtId="0" fontId="4" fillId="9" borderId="19" xfId="0" applyFont="1" applyFill="1" applyBorder="1" applyAlignment="1">
      <alignment horizontal="center" vertical="top" wrapText="1"/>
    </xf>
    <xf numFmtId="0" fontId="4" fillId="9" borderId="10" xfId="0" applyFont="1" applyFill="1" applyBorder="1" applyAlignment="1">
      <alignment horizontal="center" vertical="top" wrapText="1"/>
    </xf>
    <xf numFmtId="0" fontId="1" fillId="7" borderId="7" xfId="0" applyFont="1" applyFill="1" applyBorder="1" applyAlignment="1">
      <alignment horizontal="left" vertical="center" wrapText="1"/>
    </xf>
    <xf numFmtId="0" fontId="1" fillId="7" borderId="19" xfId="0" applyFont="1" applyFill="1" applyBorder="1" applyAlignment="1">
      <alignment horizontal="left" vertical="center" wrapText="1"/>
    </xf>
    <xf numFmtId="0" fontId="3" fillId="4" borderId="13" xfId="0" applyFont="1" applyFill="1" applyBorder="1" applyAlignment="1">
      <alignment vertical="top" wrapText="1"/>
    </xf>
    <xf numFmtId="0" fontId="4" fillId="4" borderId="12" xfId="0" applyFont="1" applyFill="1" applyBorder="1" applyAlignment="1">
      <alignment horizontal="left" vertical="top"/>
    </xf>
    <xf numFmtId="0" fontId="4" fillId="4" borderId="36" xfId="0" applyFont="1" applyFill="1" applyBorder="1" applyAlignment="1">
      <alignment horizontal="left" vertical="top" wrapText="1"/>
    </xf>
    <xf numFmtId="0" fontId="4" fillId="0" borderId="62" xfId="0" applyFont="1" applyBorder="1"/>
    <xf numFmtId="0" fontId="3" fillId="4" borderId="4" xfId="0" applyFont="1" applyFill="1" applyBorder="1" applyAlignment="1">
      <alignment horizontal="left" vertical="top" wrapText="1"/>
    </xf>
    <xf numFmtId="0" fontId="3" fillId="4" borderId="17" xfId="0" applyFont="1" applyFill="1" applyBorder="1" applyAlignment="1">
      <alignment vertical="top" wrapText="1"/>
    </xf>
    <xf numFmtId="0" fontId="3" fillId="4" borderId="64" xfId="0" applyFont="1" applyFill="1" applyBorder="1" applyAlignment="1">
      <alignment vertical="top" wrapText="1"/>
    </xf>
    <xf numFmtId="0" fontId="3" fillId="4" borderId="10" xfId="0" applyFont="1" applyFill="1" applyBorder="1" applyAlignment="1">
      <alignment vertical="top" wrapText="1"/>
    </xf>
    <xf numFmtId="0" fontId="4" fillId="0" borderId="48" xfId="0" applyFont="1" applyBorder="1"/>
    <xf numFmtId="0" fontId="1" fillId="7" borderId="13" xfId="0" applyFont="1" applyFill="1" applyBorder="1" applyAlignment="1">
      <alignment horizontal="left" vertical="center" wrapText="1"/>
    </xf>
    <xf numFmtId="0" fontId="1" fillId="6" borderId="13" xfId="0" applyFont="1" applyFill="1" applyBorder="1" applyAlignment="1">
      <alignment horizontal="left" vertical="center" wrapText="1"/>
    </xf>
    <xf numFmtId="0" fontId="3" fillId="0" borderId="65" xfId="0" applyFont="1" applyBorder="1" applyAlignment="1">
      <alignment horizontal="left" vertical="center" wrapText="1"/>
    </xf>
    <xf numFmtId="0" fontId="4" fillId="0" borderId="62" xfId="0" applyFont="1" applyBorder="1" applyAlignment="1">
      <alignment horizontal="left"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2" fillId="5" borderId="13" xfId="0" applyFont="1" applyFill="1" applyBorder="1" applyAlignment="1">
      <alignment vertical="top"/>
    </xf>
    <xf numFmtId="0" fontId="4" fillId="4" borderId="13" xfId="0" applyFont="1" applyFill="1" applyBorder="1" applyAlignment="1">
      <alignment horizontal="left" vertical="top" wrapText="1"/>
    </xf>
    <xf numFmtId="0" fontId="4" fillId="9" borderId="37" xfId="0" applyFont="1" applyFill="1" applyBorder="1" applyAlignment="1">
      <alignment horizontal="center" vertical="top" wrapText="1"/>
    </xf>
    <xf numFmtId="0" fontId="4" fillId="9" borderId="39" xfId="0" applyFont="1" applyFill="1" applyBorder="1" applyAlignment="1">
      <alignment horizontal="center" vertical="top" wrapText="1"/>
    </xf>
    <xf numFmtId="0" fontId="4" fillId="9" borderId="40" xfId="0" applyFont="1" applyFill="1" applyBorder="1" applyAlignment="1">
      <alignment horizontal="center" vertical="top" wrapText="1"/>
    </xf>
    <xf numFmtId="0" fontId="4" fillId="9" borderId="41" xfId="0" applyFont="1" applyFill="1" applyBorder="1" applyAlignment="1">
      <alignment horizontal="center" vertical="top" wrapText="1"/>
    </xf>
    <xf numFmtId="0" fontId="4" fillId="9" borderId="42" xfId="0" applyFont="1" applyFill="1" applyBorder="1" applyAlignment="1">
      <alignment horizontal="center" vertical="top" wrapText="1"/>
    </xf>
    <xf numFmtId="0" fontId="4" fillId="9" borderId="44" xfId="0" applyFont="1" applyFill="1" applyBorder="1" applyAlignment="1">
      <alignment horizontal="center" vertical="top" wrapText="1"/>
    </xf>
    <xf numFmtId="0" fontId="1" fillId="3" borderId="48" xfId="0" applyFont="1" applyFill="1" applyBorder="1" applyAlignment="1">
      <alignment horizontal="left" vertical="center" wrapText="1"/>
    </xf>
    <xf numFmtId="0" fontId="1" fillId="3" borderId="65" xfId="0" applyFont="1" applyFill="1" applyBorder="1" applyAlignment="1">
      <alignment horizontal="left" vertical="center" wrapText="1"/>
    </xf>
    <xf numFmtId="0" fontId="1" fillId="3" borderId="62" xfId="0" applyFont="1" applyFill="1" applyBorder="1" applyAlignment="1">
      <alignment horizontal="left" vertical="center" wrapText="1"/>
    </xf>
    <xf numFmtId="0" fontId="4" fillId="4" borderId="13" xfId="0" applyFont="1" applyFill="1" applyBorder="1" applyAlignment="1">
      <alignment vertical="top" wrapText="1"/>
    </xf>
    <xf numFmtId="0" fontId="3" fillId="4" borderId="59" xfId="0" applyFont="1" applyFill="1" applyBorder="1" applyAlignment="1">
      <alignment vertical="top" wrapText="1"/>
    </xf>
  </cellXfs>
  <cellStyles count="3">
    <cellStyle name="Followed Hyperlink" xfId="2" builtinId="9" hidden="1"/>
    <cellStyle name="Hyperlink" xfId="1" builtinId="8"/>
    <cellStyle name="Normal" xfId="0" builtinId="0"/>
  </cellStyles>
  <dxfs count="3">
    <dxf>
      <font>
        <color rgb="FFFFFFFF"/>
      </font>
      <fill>
        <patternFill patternType="solid">
          <fgColor rgb="FF2B8CC4"/>
          <bgColor rgb="FF2B8CC4"/>
        </patternFill>
      </fill>
      <border>
        <left/>
        <right/>
        <top/>
        <bottom/>
      </border>
    </dxf>
    <dxf>
      <font>
        <color rgb="FFFFFFFF"/>
      </font>
      <fill>
        <patternFill patternType="solid">
          <fgColor rgb="FFF47738"/>
          <bgColor rgb="FFF47738"/>
        </patternFill>
      </fill>
      <border>
        <left/>
        <right/>
        <top/>
        <bottom/>
      </border>
    </dxf>
    <dxf>
      <font>
        <color rgb="FFFFFFFF"/>
      </font>
      <fill>
        <patternFill patternType="solid">
          <fgColor rgb="FFD53880"/>
          <bgColor rgb="FFD53880"/>
        </patternFill>
      </fill>
      <border>
        <left/>
        <right/>
        <top/>
        <bottom/>
      </border>
    </dxf>
  </dxfs>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theme" Target="theme/theme1.xml"/><Relationship Id="rId21" Type="http://schemas.openxmlformats.org/officeDocument/2006/relationships/styles" Target="styles.xml"/><Relationship Id="rId22" Type="http://schemas.openxmlformats.org/officeDocument/2006/relationships/sharedStrings" Target="sharedStrings.xml"/><Relationship Id="rId23"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9093200</xdr:colOff>
      <xdr:row>8</xdr:row>
      <xdr:rowOff>203200</xdr:rowOff>
    </xdr:from>
    <xdr:to>
      <xdr:col>3</xdr:col>
      <xdr:colOff>12700</xdr:colOff>
      <xdr:row>14</xdr:row>
      <xdr:rowOff>12700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4782800" y="11379200"/>
          <a:ext cx="1549400" cy="1549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1549400</xdr:colOff>
      <xdr:row>1</xdr:row>
      <xdr:rowOff>977900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2077700" y="0"/>
          <a:ext cx="1549400" cy="1549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1549400</xdr:colOff>
      <xdr:row>2</xdr:row>
      <xdr:rowOff>393700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1798300" y="0"/>
          <a:ext cx="1549400" cy="1549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1549400</xdr:colOff>
      <xdr:row>1</xdr:row>
      <xdr:rowOff>1066800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2801600" y="0"/>
          <a:ext cx="1549400" cy="1549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1549400</xdr:colOff>
      <xdr:row>2</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13131800" y="0"/>
          <a:ext cx="1549400" cy="1549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1549400</xdr:colOff>
      <xdr:row>1</xdr:row>
      <xdr:rowOff>1104900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1963400" y="0"/>
          <a:ext cx="1549400" cy="1549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1549400</xdr:colOff>
      <xdr:row>2</xdr:row>
      <xdr:rowOff>317500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2865100" y="0"/>
          <a:ext cx="1549400" cy="1549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1549400</xdr:colOff>
      <xdr:row>2</xdr:row>
      <xdr:rowOff>101600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1645900" y="0"/>
          <a:ext cx="1549400" cy="1549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1549400</xdr:colOff>
      <xdr:row>2</xdr:row>
      <xdr:rowOff>50800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2611100" y="0"/>
          <a:ext cx="1549400" cy="1549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1549400</xdr:colOff>
      <xdr:row>2</xdr:row>
      <xdr:rowOff>419100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2331700" y="0"/>
          <a:ext cx="1549400" cy="1549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1549400</xdr:colOff>
      <xdr:row>2</xdr:row>
      <xdr:rowOff>330200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1430000" y="0"/>
          <a:ext cx="1549400" cy="1549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1549400</xdr:colOff>
      <xdr:row>2</xdr:row>
      <xdr:rowOff>190500</xdr:rowOff>
    </xdr:to>
    <xdr:pic>
      <xdr:nvPicPr>
        <xdr:cNvPr id="3" name="Picture 2"/>
        <xdr:cNvPicPr>
          <a:picLocks noChangeAspect="1"/>
        </xdr:cNvPicPr>
      </xdr:nvPicPr>
      <xdr:blipFill>
        <a:blip xmlns:r="http://schemas.openxmlformats.org/officeDocument/2006/relationships" r:embed="rId1"/>
        <a:stretch>
          <a:fillRect/>
        </a:stretch>
      </xdr:blipFill>
      <xdr:spPr>
        <a:xfrm>
          <a:off x="10998200" y="0"/>
          <a:ext cx="1549400" cy="1549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1549400</xdr:colOff>
      <xdr:row>2</xdr:row>
      <xdr:rowOff>25400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1417300" y="0"/>
          <a:ext cx="1549400" cy="1549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0</xdr:row>
      <xdr:rowOff>12700</xdr:rowOff>
    </xdr:from>
    <xdr:to>
      <xdr:col>3</xdr:col>
      <xdr:colOff>1549400</xdr:colOff>
      <xdr:row>2</xdr:row>
      <xdr:rowOff>203200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1417300" y="12700"/>
          <a:ext cx="1549400" cy="1549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1549400</xdr:colOff>
      <xdr:row>1</xdr:row>
      <xdr:rowOff>1079500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1722100" y="0"/>
          <a:ext cx="1549400" cy="1549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1549400</xdr:colOff>
      <xdr:row>2</xdr:row>
      <xdr:rowOff>381000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1645900" y="0"/>
          <a:ext cx="1549400" cy="1549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1549400</xdr:colOff>
      <xdr:row>2</xdr:row>
      <xdr:rowOff>444500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1442700" y="0"/>
          <a:ext cx="1549400" cy="1549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1549400</xdr:colOff>
      <xdr:row>2</xdr:row>
      <xdr:rowOff>38100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2115800" y="0"/>
          <a:ext cx="1549400" cy="1549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1549400</xdr:colOff>
      <xdr:row>1</xdr:row>
      <xdr:rowOff>1104900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3055600" y="0"/>
          <a:ext cx="1549400" cy="1549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nationalarchives.gov.uk/doc/open-government-licence/version/3/"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1" Type="http://schemas.openxmlformats.org/officeDocument/2006/relationships/hyperlink" Target="https://www.gov.uk/service-manual/making-software/version-control.html" TargetMode="External"/><Relationship Id="rId12" Type="http://schemas.openxmlformats.org/officeDocument/2006/relationships/hyperlink" Target="https://www.nationalarchives.gov.uk/doc/open-government-licence/version/3/" TargetMode="External"/><Relationship Id="rId13" Type="http://schemas.openxmlformats.org/officeDocument/2006/relationships/drawing" Target="../drawings/drawing10.xml"/><Relationship Id="rId1" Type="http://schemas.openxmlformats.org/officeDocument/2006/relationships/hyperlink" Target="https://www.gov.uk/service-manual/the-team/designer" TargetMode="External"/><Relationship Id="rId2" Type="http://schemas.openxmlformats.org/officeDocument/2006/relationships/hyperlink" Target="https://designpatterns.hackpad.com/" TargetMode="External"/><Relationship Id="rId3" Type="http://schemas.openxmlformats.org/officeDocument/2006/relationships/hyperlink" Target="http://theuxreview.co.uk/" TargetMode="External"/><Relationship Id="rId4" Type="http://schemas.openxmlformats.org/officeDocument/2006/relationships/hyperlink" Target="https://www.gov.uk/service-manual/designers" TargetMode="External"/><Relationship Id="rId5" Type="http://schemas.openxmlformats.org/officeDocument/2006/relationships/hyperlink" Target="https://www.gov.uk/service-manual/user-centred-design/user-research/index.html" TargetMode="External"/><Relationship Id="rId6" Type="http://schemas.openxmlformats.org/officeDocument/2006/relationships/hyperlink" Target="https://www.gov.uk/service-manual/user-centred-design/browsers-and-devices.html" TargetMode="External"/><Relationship Id="rId7" Type="http://schemas.openxmlformats.org/officeDocument/2006/relationships/hyperlink" Target="https://www.gov.uk/service-manual/user-centred-design/working-with-prototypes.html" TargetMode="External"/><Relationship Id="rId8" Type="http://schemas.openxmlformats.org/officeDocument/2006/relationships/hyperlink" Target="https://www.gov.uk/service-manual/user-centred-design/resources/elements/index.html" TargetMode="External"/><Relationship Id="rId9" Type="http://schemas.openxmlformats.org/officeDocument/2006/relationships/hyperlink" Target="http://www.w3.org/TR/2008/REC-WCAG20-20081211/" TargetMode="External"/><Relationship Id="rId10" Type="http://schemas.openxmlformats.org/officeDocument/2006/relationships/hyperlink" Target="https://www.gov.uk/service-manual/user-centred-design/resources/patterns/index.html" TargetMode="External"/></Relationships>
</file>

<file path=xl/worksheets/_rels/sheet11.xml.rels><?xml version="1.0" encoding="UTF-8" standalone="yes"?>
<Relationships xmlns="http://schemas.openxmlformats.org/package/2006/relationships"><Relationship Id="rId9" Type="http://schemas.openxmlformats.org/officeDocument/2006/relationships/hyperlink" Target="https://www.gov.uk/guidance/content-design/research-and-evidence" TargetMode="External"/><Relationship Id="rId20" Type="http://schemas.openxmlformats.org/officeDocument/2006/relationships/hyperlink" Target="https://www.nationalarchives.gov.uk/doc/open-government-licence/version/3/" TargetMode="External"/><Relationship Id="rId21" Type="http://schemas.openxmlformats.org/officeDocument/2006/relationships/drawing" Target="../drawings/drawing11.xml"/><Relationship Id="rId10" Type="http://schemas.openxmlformats.org/officeDocument/2006/relationships/hyperlink" Target="https://gds.blog.gov.uk/2014/06/13/13-interesting-things-about-how-we-do-content-design/" TargetMode="External"/><Relationship Id="rId11" Type="http://schemas.openxmlformats.org/officeDocument/2006/relationships/hyperlink" Target="https://www.gov.uk/government/publications/govuk-content-principles-conventions-and-research-background" TargetMode="External"/><Relationship Id="rId12" Type="http://schemas.openxmlformats.org/officeDocument/2006/relationships/hyperlink" Target="https://www.gov.uk/guidance/content-design/writing-for-gov-uk" TargetMode="External"/><Relationship Id="rId13" Type="http://schemas.openxmlformats.org/officeDocument/2006/relationships/hyperlink" Target="https://www.gov.uk/service-manual/user-centred-design/how-users-read.html" TargetMode="External"/><Relationship Id="rId14" Type="http://schemas.openxmlformats.org/officeDocument/2006/relationships/hyperlink" Target="https://www.gov.uk/guidance/style-guide" TargetMode="External"/><Relationship Id="rId15" Type="http://schemas.openxmlformats.org/officeDocument/2006/relationships/hyperlink" Target="https://www.gov.uk/guidance/content-design/content-maintenance" TargetMode="External"/><Relationship Id="rId16" Type="http://schemas.openxmlformats.org/officeDocument/2006/relationships/hyperlink" Target="https://www.gov.uk/guidance/how-to-publish-on-gov-uk/markdown" TargetMode="External"/><Relationship Id="rId17" Type="http://schemas.openxmlformats.org/officeDocument/2006/relationships/hyperlink" Target="https://www.gov.uk/guidance/how-to-publish-on-gov-uk/introduction-and-access-to-whitehall-publisher" TargetMode="External"/><Relationship Id="rId18" Type="http://schemas.openxmlformats.org/officeDocument/2006/relationships/hyperlink" Target="https://www.gov.uk/guidance/how-to-publish-on-gov-uk/reviewing-and-approving-content" TargetMode="External"/><Relationship Id="rId19" Type="http://schemas.openxmlformats.org/officeDocument/2006/relationships/hyperlink" Target="https://www.gov.uk/guidance/content-design/data-and-analytics" TargetMode="External"/><Relationship Id="rId1" Type="http://schemas.openxmlformats.org/officeDocument/2006/relationships/hyperlink" Target="https://www.gov.uk/service-manual/the-team/content-designer.html" TargetMode="External"/><Relationship Id="rId2" Type="http://schemas.openxmlformats.org/officeDocument/2006/relationships/hyperlink" Target="https://www.gov.uk/design-principles" TargetMode="External"/><Relationship Id="rId3" Type="http://schemas.openxmlformats.org/officeDocument/2006/relationships/hyperlink" Target="https://www.gov.uk/guidance/content-design" TargetMode="External"/><Relationship Id="rId4" Type="http://schemas.openxmlformats.org/officeDocument/2006/relationships/hyperlink" Target="https://www.gov.uk/government/publications/govuk-proposition" TargetMode="External"/><Relationship Id="rId5" Type="http://schemas.openxmlformats.org/officeDocument/2006/relationships/hyperlink" Target="https://www.gov.uk/guidance/how-to-publish-on-gov-uk" TargetMode="External"/><Relationship Id="rId6" Type="http://schemas.openxmlformats.org/officeDocument/2006/relationships/hyperlink" Target="https://www.gov.uk/guidance/content-design/planning-content" TargetMode="External"/><Relationship Id="rId7" Type="http://schemas.openxmlformats.org/officeDocument/2006/relationships/hyperlink" Target="http://www.meetup.com/content-strategy-london/" TargetMode="External"/><Relationship Id="rId8" Type="http://schemas.openxmlformats.org/officeDocument/2006/relationships/hyperlink" Target="https://www.gov.uk/guidance/content-design/user-needs" TargetMode="External"/></Relationships>
</file>

<file path=xl/worksheets/_rels/sheet12.xml.rels><?xml version="1.0" encoding="UTF-8" standalone="yes"?>
<Relationships xmlns="http://schemas.openxmlformats.org/package/2006/relationships"><Relationship Id="rId9" Type="http://schemas.openxmlformats.org/officeDocument/2006/relationships/hyperlink" Target="http://linkydink.io/groups/digital-analytics-for-uk-government-services" TargetMode="External"/><Relationship Id="rId20" Type="http://schemas.openxmlformats.org/officeDocument/2006/relationships/hyperlink" Target="https://www.gov.uk/service-manual/making-software/analytics-tools.html" TargetMode="External"/><Relationship Id="rId21" Type="http://schemas.openxmlformats.org/officeDocument/2006/relationships/hyperlink" Target="https://gds.blog.gov.uk/2014/05/09/using-ab-testing-to-make-things-better/" TargetMode="External"/><Relationship Id="rId22" Type="http://schemas.openxmlformats.org/officeDocument/2006/relationships/hyperlink" Target="https://www.nationalarchives.gov.uk/doc/open-government-licence/version/3/" TargetMode="External"/><Relationship Id="rId23" Type="http://schemas.openxmlformats.org/officeDocument/2006/relationships/drawing" Target="../drawings/drawing12.xml"/><Relationship Id="rId10" Type="http://schemas.openxmlformats.org/officeDocument/2006/relationships/hyperlink" Target="http://cutroni.com/" TargetMode="External"/><Relationship Id="rId11" Type="http://schemas.openxmlformats.org/officeDocument/2006/relationships/hyperlink" Target="https://www.gov.uk/service-manual/measurement/index.html" TargetMode="External"/><Relationship Id="rId12" Type="http://schemas.openxmlformats.org/officeDocument/2006/relationships/hyperlink" Target="https://www.gov.uk/service-manual/measurement/cost-per-transaction.html" TargetMode="External"/><Relationship Id="rId13" Type="http://schemas.openxmlformats.org/officeDocument/2006/relationships/hyperlink" Target="https://gds.blog.gov.uk/category/measurement-analytics/" TargetMode="External"/><Relationship Id="rId14" Type="http://schemas.openxmlformats.org/officeDocument/2006/relationships/hyperlink" Target="https://www.gov.uk/service-manual/measurement/other-kpis.html" TargetMode="External"/><Relationship Id="rId15" Type="http://schemas.openxmlformats.org/officeDocument/2006/relationships/hyperlink" Target="https://analyticsacademy.withgoogle.com/explorer" TargetMode="External"/><Relationship Id="rId16" Type="http://schemas.openxmlformats.org/officeDocument/2006/relationships/hyperlink" Target="https://www.gov.uk/performance" TargetMode="External"/><Relationship Id="rId17" Type="http://schemas.openxmlformats.org/officeDocument/2006/relationships/hyperlink" Target="https://www.gov.uk/service-manual/measurement/performance-platform.html" TargetMode="External"/><Relationship Id="rId18" Type="http://schemas.openxmlformats.org/officeDocument/2006/relationships/hyperlink" Target="https://www.gov.uk/service-manual/user-centred-design/data-visualisation.html" TargetMode="External"/><Relationship Id="rId19" Type="http://schemas.openxmlformats.org/officeDocument/2006/relationships/hyperlink" Target="http://www.measurecamp.org/" TargetMode="External"/><Relationship Id="rId1" Type="http://schemas.openxmlformats.org/officeDocument/2006/relationships/hyperlink" Target="https://www.gov.uk/service-manual/the-team/recruitment/performance-analyst-jd" TargetMode="External"/><Relationship Id="rId2" Type="http://schemas.openxmlformats.org/officeDocument/2006/relationships/hyperlink" Target="https://www.gov.uk/service-manual/performance-analysts" TargetMode="External"/><Relationship Id="rId3" Type="http://schemas.openxmlformats.org/officeDocument/2006/relationships/hyperlink" Target="http://www.digitalanalyticsassociation.org/" TargetMode="External"/><Relationship Id="rId4" Type="http://schemas.openxmlformats.org/officeDocument/2006/relationships/hyperlink" Target="https://gdsdata.blog.gov.uk/" TargetMode="External"/><Relationship Id="rId5" Type="http://schemas.openxmlformats.org/officeDocument/2006/relationships/hyperlink" Target="http://www.google.com/intl/en/analytics/learn/setupchecklist.html" TargetMode="External"/><Relationship Id="rId6" Type="http://schemas.openxmlformats.org/officeDocument/2006/relationships/hyperlink" Target="https://www.youtube.com/watch?v=ZkjP5RJLQF4" TargetMode="External"/><Relationship Id="rId7" Type="http://schemas.openxmlformats.org/officeDocument/2006/relationships/hyperlink" Target="http://www.stats.gla.ac.uk/steps/glossary/hypothesis_testing.html" TargetMode="External"/><Relationship Id="rId8" Type="http://schemas.openxmlformats.org/officeDocument/2006/relationships/hyperlink" Target="https://www.linkedin.com/groups/Web-Analytics-Wednesday-WAW-London-36182/about" TargetMode="External"/></Relationships>
</file>

<file path=xl/worksheets/_rels/sheet13.xml.rels><?xml version="1.0" encoding="UTF-8" standalone="yes"?>
<Relationships xmlns="http://schemas.openxmlformats.org/package/2006/relationships"><Relationship Id="rId11" Type="http://schemas.openxmlformats.org/officeDocument/2006/relationships/hyperlink" Target="https://www.nationalarchives.gov.uk/doc/open-government-licence/version/3/" TargetMode="External"/><Relationship Id="rId12" Type="http://schemas.openxmlformats.org/officeDocument/2006/relationships/drawing" Target="../drawings/drawing13.xml"/><Relationship Id="rId1" Type="http://schemas.openxmlformats.org/officeDocument/2006/relationships/hyperlink" Target="https://www.gov.uk/service-manual/measurement/using-data.html" TargetMode="External"/><Relationship Id="rId2" Type="http://schemas.openxmlformats.org/officeDocument/2006/relationships/hyperlink" Target="https://www.gov.uk/service-manual/technology/open-data.html" TargetMode="External"/><Relationship Id="rId3" Type="http://schemas.openxmlformats.org/officeDocument/2006/relationships/hyperlink" Target="https://gds.blog.gov.uk/2013/06/24/using-data-to-make-government-better/" TargetMode="External"/><Relationship Id="rId4" Type="http://schemas.openxmlformats.org/officeDocument/2006/relationships/hyperlink" Target="https://quarterly.blog.gov.uk/2014/01/30/open-data/" TargetMode="External"/><Relationship Id="rId5" Type="http://schemas.openxmlformats.org/officeDocument/2006/relationships/hyperlink" Target="https://www.gov.uk/service-manual/measurement/using-data.html" TargetMode="External"/><Relationship Id="rId6" Type="http://schemas.openxmlformats.org/officeDocument/2006/relationships/hyperlink" Target="http://data.gov.uk/" TargetMode="External"/><Relationship Id="rId7" Type="http://schemas.openxmlformats.org/officeDocument/2006/relationships/hyperlink" Target="http://theodi.org/courses" TargetMode="External"/><Relationship Id="rId8" Type="http://schemas.openxmlformats.org/officeDocument/2006/relationships/hyperlink" Target="https://okfn.org/training/" TargetMode="External"/><Relationship Id="rId9" Type="http://schemas.openxmlformats.org/officeDocument/2006/relationships/hyperlink" Target="https://quarterly.blog.gov.uk/2014/10/15/joining-the-dots/" TargetMode="External"/><Relationship Id="rId10" Type="http://schemas.openxmlformats.org/officeDocument/2006/relationships/hyperlink" Target="http://ico.org.uk/for_organisations/data_protection?hidecookiesbanner=true" TargetMode="External"/></Relationships>
</file>

<file path=xl/worksheets/_rels/sheet14.xml.rels><?xml version="1.0" encoding="UTF-8" standalone="yes"?>
<Relationships xmlns="http://schemas.openxmlformats.org/package/2006/relationships"><Relationship Id="rId11" Type="http://schemas.openxmlformats.org/officeDocument/2006/relationships/hyperlink" Target="http://ico.org.uk/for_organisations/data_protection?hidecookiesbanner=true" TargetMode="External"/><Relationship Id="rId12" Type="http://schemas.openxmlformats.org/officeDocument/2006/relationships/hyperlink" Target="https://www.gov.uk/service-manual/operations/load-and-performance-testing.html" TargetMode="External"/><Relationship Id="rId13" Type="http://schemas.openxmlformats.org/officeDocument/2006/relationships/hyperlink" Target="https://www.nationalarchives.gov.uk/doc/open-government-licence/version/3/" TargetMode="External"/><Relationship Id="rId14" Type="http://schemas.openxmlformats.org/officeDocument/2006/relationships/hyperlink" Target="https://www.gov.uk/service-manual/technology/code-of-practice" TargetMode="External"/><Relationship Id="rId15" Type="http://schemas.openxmlformats.org/officeDocument/2006/relationships/hyperlink" Target="https://governmenttechnology.blog.gov.uk/2015/02/18/knocking-down-the-towers-of-siam/" TargetMode="External"/><Relationship Id="rId16" Type="http://schemas.openxmlformats.org/officeDocument/2006/relationships/drawing" Target="../drawings/drawing14.xml"/><Relationship Id="rId1" Type="http://schemas.openxmlformats.org/officeDocument/2006/relationships/hyperlink" Target="https://www.gov.uk/service-manual/technology/architecture.html" TargetMode="External"/><Relationship Id="rId2" Type="http://schemas.openxmlformats.org/officeDocument/2006/relationships/hyperlink" Target="https://www.gov.uk/service-manual/technology/architecture.html" TargetMode="External"/><Relationship Id="rId3" Type="http://schemas.openxmlformats.org/officeDocument/2006/relationships/hyperlink" Target="http://www.computerweekly.com/feature/How-to-tame-the-new-IT-beast-called-DevOps?asrc=EM_MDN_32340805&amp;utm_medium=EM&amp;utm_source=MDN&amp;utm_campaign=20140804_Bitcoin%20mining%20firm%20CoinTerra%20signs%20multi-megawatt%20datacentre%20deal_" TargetMode="External"/><Relationship Id="rId4" Type="http://schemas.openxmlformats.org/officeDocument/2006/relationships/hyperlink" Target="https://www.gov.uk/government/groups/horizon-scanning-programme-team" TargetMode="External"/><Relationship Id="rId5" Type="http://schemas.openxmlformats.org/officeDocument/2006/relationships/hyperlink" Target="https://www.gov.uk/service-manual/technology/architecture.html" TargetMode="External"/><Relationship Id="rId6" Type="http://schemas.openxmlformats.org/officeDocument/2006/relationships/hyperlink" Target="https://www.gov.uk/service-manual/technology/service-integration.html" TargetMode="External"/><Relationship Id="rId7" Type="http://schemas.openxmlformats.org/officeDocument/2006/relationships/hyperlink" Target="https://www.gov.uk/service-manual/making-software/open-source.html" TargetMode="External"/><Relationship Id="rId8" Type="http://schemas.openxmlformats.org/officeDocument/2006/relationships/hyperlink" Target="https://www.gov.uk/service-manual/governance/index.html" TargetMode="External"/><Relationship Id="rId9" Type="http://schemas.openxmlformats.org/officeDocument/2006/relationships/hyperlink" Target="https://www.gov.uk/service-manual/operations/hosting.html" TargetMode="External"/><Relationship Id="rId10" Type="http://schemas.openxmlformats.org/officeDocument/2006/relationships/hyperlink" Target="https://www.gov.uk/service-manual/operations/hosting.html" TargetMode="External"/></Relationships>
</file>

<file path=xl/worksheets/_rels/sheet15.xml.rels><?xml version="1.0" encoding="UTF-8" standalone="yes"?>
<Relationships xmlns="http://schemas.openxmlformats.org/package/2006/relationships"><Relationship Id="rId9" Type="http://schemas.openxmlformats.org/officeDocument/2006/relationships/hyperlink" Target="https://www.gov.uk/government/publications/national-cyber-security-strategy-2-years-on" TargetMode="External"/><Relationship Id="rId20" Type="http://schemas.openxmlformats.org/officeDocument/2006/relationships/hyperlink" Target="https://www.nationalarchives.gov.uk/doc/open-government-licence/version/3/" TargetMode="External"/><Relationship Id="rId21" Type="http://schemas.openxmlformats.org/officeDocument/2006/relationships/hyperlink" Target="https://www.cesg.gov.uk/awarenesstraining/academia/Pages/Masters-Degrees.aspx" TargetMode="External"/><Relationship Id="rId22" Type="http://schemas.openxmlformats.org/officeDocument/2006/relationships/hyperlink" Target="https://www.gov.uk/government/publications/cyber-essentials-scheme-overview" TargetMode="External"/><Relationship Id="rId23" Type="http://schemas.openxmlformats.org/officeDocument/2006/relationships/hyperlink" Target="http://www.cesg.gov.uk/awarenesstraining/certified-professionals/Pages/Certification-Bodies.aspx" TargetMode="External"/><Relationship Id="rId24" Type="http://schemas.openxmlformats.org/officeDocument/2006/relationships/hyperlink" Target="http://www.cesg.gov.uk/awarenesstraining/certified-professionals/Pages/Certification-Bodies.aspx" TargetMode="External"/><Relationship Id="rId25" Type="http://schemas.openxmlformats.org/officeDocument/2006/relationships/drawing" Target="../drawings/drawing15.xml"/><Relationship Id="rId10" Type="http://schemas.openxmlformats.org/officeDocument/2006/relationships/hyperlink" Target="http://www.cpni.gov.uk/advice/cyber/Critical-controls/" TargetMode="External"/><Relationship Id="rId11" Type="http://schemas.openxmlformats.org/officeDocument/2006/relationships/hyperlink" Target="http://www.cesg.gov.uk/awarenesstraining/certified-professionals/Pages/Certification-Bodies.aspx" TargetMode="External"/><Relationship Id="rId12" Type="http://schemas.openxmlformats.org/officeDocument/2006/relationships/hyperlink" Target="http://www.cesg.gov.uk/publications/documents/is1_risk_assessment.pdf" TargetMode="External"/><Relationship Id="rId13" Type="http://schemas.openxmlformats.org/officeDocument/2006/relationships/hyperlink" Target="https://www.cesg.gov.uk/awarenesstraining/Pages/Licensed-Training-Providers.aspx" TargetMode="External"/><Relationship Id="rId14" Type="http://schemas.openxmlformats.org/officeDocument/2006/relationships/hyperlink" Target="https://www.gov.uk/service-manual/technology/security-as-enabler" TargetMode="External"/><Relationship Id="rId15" Type="http://schemas.openxmlformats.org/officeDocument/2006/relationships/hyperlink" Target="https://www.gov.uk/service-manual/operations/penetration-testing.html" TargetMode="External"/><Relationship Id="rId16" Type="http://schemas.openxmlformats.org/officeDocument/2006/relationships/hyperlink" Target="http://www.cesg.gov.uk/policyguidance/GovCertUK/Pages/index.aspx" TargetMode="External"/><Relationship Id="rId17" Type="http://schemas.openxmlformats.org/officeDocument/2006/relationships/hyperlink" Target="https://www.cert.gov.uk/" TargetMode="External"/><Relationship Id="rId18" Type="http://schemas.openxmlformats.org/officeDocument/2006/relationships/hyperlink" Target="https://www.gov.uk/service-manual/operations/cloud-security.html" TargetMode="External"/><Relationship Id="rId19" Type="http://schemas.openxmlformats.org/officeDocument/2006/relationships/hyperlink" Target="https://www.gov.uk/government/uploads/system/uploads/attachment_data/file/78967/OSS_Toolkit_Security_Note_v1.0.pdf" TargetMode="External"/><Relationship Id="rId1" Type="http://schemas.openxmlformats.org/officeDocument/2006/relationships/hyperlink" Target="https://www.gov.uk/service-manual/making-software/information-security.html" TargetMode="External"/><Relationship Id="rId2" Type="http://schemas.openxmlformats.org/officeDocument/2006/relationships/hyperlink" Target="https://www.gov.uk/government/organisations/government-security-profession" TargetMode="External"/><Relationship Id="rId3" Type="http://schemas.openxmlformats.org/officeDocument/2006/relationships/hyperlink" Target="https://www.gov.uk/service-manual/making-software/information-security.html" TargetMode="External"/><Relationship Id="rId4" Type="http://schemas.openxmlformats.org/officeDocument/2006/relationships/hyperlink" Target="https://www.futurelearn.com/courses/introduction-to-cyber-security" TargetMode="External"/><Relationship Id="rId5" Type="http://schemas.openxmlformats.org/officeDocument/2006/relationships/hyperlink" Target="https://www.gov.uk/government/publications/government-security-classifications" TargetMode="External"/><Relationship Id="rId6" Type="http://schemas.openxmlformats.org/officeDocument/2006/relationships/hyperlink" Target="http://www.cesg.gov.uk/awarenesstraining/certified-professionals/Pages/index.aspx" TargetMode="External"/><Relationship Id="rId7" Type="http://schemas.openxmlformats.org/officeDocument/2006/relationships/hyperlink" Target="https://www.gov.uk/government/publications/cyber-risk-management-a-board-level-responsibility" TargetMode="External"/><Relationship Id="rId8" Type="http://schemas.openxmlformats.org/officeDocument/2006/relationships/hyperlink" Target="https://www.iisp.org/imis15/iisp/About_Us/Our_Skills_Framework.aspx" TargetMode="External"/></Relationships>
</file>

<file path=xl/worksheets/_rels/sheet16.xml.rels><?xml version="1.0" encoding="UTF-8" standalone="yes"?>
<Relationships xmlns="http://schemas.openxmlformats.org/package/2006/relationships"><Relationship Id="rId11" Type="http://schemas.openxmlformats.org/officeDocument/2006/relationships/hyperlink" Target="https://www.nationalarchives.gov.uk/doc/open-government-licence/version/3/" TargetMode="External"/><Relationship Id="rId12" Type="http://schemas.openxmlformats.org/officeDocument/2006/relationships/drawing" Target="../drawings/drawing16.xml"/><Relationship Id="rId1" Type="http://schemas.openxmlformats.org/officeDocument/2006/relationships/hyperlink" Target="https://www.gov.uk/service-manual/the-team/developer.html" TargetMode="External"/><Relationship Id="rId2" Type="http://schemas.openxmlformats.org/officeDocument/2006/relationships/hyperlink" Target="https://www.gov.uk/service-manual/the-team/developer.html" TargetMode="External"/><Relationship Id="rId3" Type="http://schemas.openxmlformats.org/officeDocument/2006/relationships/hyperlink" Target="https://www.gov.uk/service-manual/making-software/dependency-management" TargetMode="External"/><Relationship Id="rId4" Type="http://schemas.openxmlformats.org/officeDocument/2006/relationships/hyperlink" Target="https://www.gov.uk/service-manual/making-software/deployment.html" TargetMode="External"/><Relationship Id="rId5" Type="http://schemas.openxmlformats.org/officeDocument/2006/relationships/hyperlink" Target="https://www.gov.uk/service-manual/making-software/progressive-enhancement.html" TargetMode="External"/><Relationship Id="rId6" Type="http://schemas.openxmlformats.org/officeDocument/2006/relationships/hyperlink" Target="https://www.gov.uk/service-manual/the-team/accessibility.html" TargetMode="External"/><Relationship Id="rId7" Type="http://schemas.openxmlformats.org/officeDocument/2006/relationships/hyperlink" Target="https://www.gov.uk/service-manual/making-software/development-environment.html" TargetMode="External"/><Relationship Id="rId8" Type="http://schemas.openxmlformats.org/officeDocument/2006/relationships/hyperlink" Target="https://www.gov.uk/service-manual/making-software/code-testing.html" TargetMode="External"/><Relationship Id="rId9" Type="http://schemas.openxmlformats.org/officeDocument/2006/relationships/hyperlink" Target="https://www.gov.uk/service-manual/making-software/apis.html" TargetMode="External"/><Relationship Id="rId10" Type="http://schemas.openxmlformats.org/officeDocument/2006/relationships/hyperlink" Target="https://www.gov.uk/service-manual/making-software/version-control.html" TargetMode="External"/></Relationships>
</file>

<file path=xl/worksheets/_rels/sheet17.xml.rels><?xml version="1.0" encoding="UTF-8" standalone="yes"?>
<Relationships xmlns="http://schemas.openxmlformats.org/package/2006/relationships"><Relationship Id="rId11" Type="http://schemas.openxmlformats.org/officeDocument/2006/relationships/hyperlink" Target="https://www.gov.uk/service-manual/technology/end-user-devices.html" TargetMode="External"/><Relationship Id="rId12" Type="http://schemas.openxmlformats.org/officeDocument/2006/relationships/hyperlink" Target="https://www.nationalarchives.gov.uk/doc/open-government-licence/version/3/" TargetMode="External"/><Relationship Id="rId13" Type="http://schemas.openxmlformats.org/officeDocument/2006/relationships/drawing" Target="../drawings/drawing17.xml"/><Relationship Id="rId1" Type="http://schemas.openxmlformats.org/officeDocument/2006/relationships/hyperlink" Target="https://www.gov.uk/service-manual/agile/continuous-delivery.html" TargetMode="External"/><Relationship Id="rId2" Type="http://schemas.openxmlformats.org/officeDocument/2006/relationships/hyperlink" Target="http://www.computerweekly.com/feature/How-to-tame-the-new-IT-beast-called-DevOps?asrc=EM_MDN_32340805&amp;utm_medium=EM&amp;utm_source=MDN&amp;utm_campaign=20140804_Bitcoin%20mining%20firm%20CoinTerra%20signs%20multi-megawatt%20datacentre%20deal_" TargetMode="External"/><Relationship Id="rId3" Type="http://schemas.openxmlformats.org/officeDocument/2006/relationships/hyperlink" Target="https://www.gov.uk/service-manual/operations/hosting.html" TargetMode="External"/><Relationship Id="rId4" Type="http://schemas.openxmlformats.org/officeDocument/2006/relationships/hyperlink" Target="https://www.gov.uk/service-manual/the-team/web-operations.html" TargetMode="External"/><Relationship Id="rId5" Type="http://schemas.openxmlformats.org/officeDocument/2006/relationships/hyperlink" Target="https://www.gov.uk/service-manual/operations/index.html" TargetMode="External"/><Relationship Id="rId6" Type="http://schemas.openxmlformats.org/officeDocument/2006/relationships/hyperlink" Target="https://www.gov.uk/service-manual/operations/web-operations-stories.html" TargetMode="External"/><Relationship Id="rId7" Type="http://schemas.openxmlformats.org/officeDocument/2006/relationships/hyperlink" Target="https://www.gov.uk/service-manual/agile/continuous-delivery.html" TargetMode="External"/><Relationship Id="rId8" Type="http://schemas.openxmlformats.org/officeDocument/2006/relationships/hyperlink" Target="https://www.gov.uk/service-manual/making-software/configuration-management.html" TargetMode="External"/><Relationship Id="rId9" Type="http://schemas.openxmlformats.org/officeDocument/2006/relationships/hyperlink" Target="https://www.gov.uk/service-manual/technology/service-integration.html" TargetMode="External"/><Relationship Id="rId10" Type="http://schemas.openxmlformats.org/officeDocument/2006/relationships/hyperlink" Target="https://www.gov.uk/service-manual/operations/load-and-performance-testing.html"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www.gov.uk/service-manual/operations/hosting.html" TargetMode="External"/><Relationship Id="rId4" Type="http://schemas.openxmlformats.org/officeDocument/2006/relationships/hyperlink" Target="http://www.computerweekly.com/feature/How-to-tame-the-new-IT-beast-called-DevOps?asrc=EM_MDN_32340805&amp;utm_medium=EM&amp;utm_source=MDN&amp;utm_campaign=20140804_Bitcoin%20mining%20firm%20CoinTerra%20signs%20multi-megawatt%20datacentre%20deal_" TargetMode="External"/><Relationship Id="rId5" Type="http://schemas.openxmlformats.org/officeDocument/2006/relationships/hyperlink" Target="https://www.gov.uk/service-manual/measurement/other-kpis.html" TargetMode="External"/><Relationship Id="rId6" Type="http://schemas.openxmlformats.org/officeDocument/2006/relationships/hyperlink" Target="https://www.nationalarchives.gov.uk/doc/open-government-licence/version/3/" TargetMode="External"/><Relationship Id="rId7" Type="http://schemas.openxmlformats.org/officeDocument/2006/relationships/drawing" Target="../drawings/drawing18.xml"/><Relationship Id="rId1" Type="http://schemas.openxmlformats.org/officeDocument/2006/relationships/hyperlink" Target="https://www.gov.uk/service-manual/technology/service-integration.html" TargetMode="External"/><Relationship Id="rId2" Type="http://schemas.openxmlformats.org/officeDocument/2006/relationships/hyperlink" Target="https://www.gov.uk/service-manual/operations/web-operations-stories.html" TargetMode="External"/></Relationships>
</file>

<file path=xl/worksheets/_rels/sheet19.xml.rels><?xml version="1.0" encoding="UTF-8" standalone="yes"?>
<Relationships xmlns="http://schemas.openxmlformats.org/package/2006/relationships"><Relationship Id="rId11" Type="http://schemas.openxmlformats.org/officeDocument/2006/relationships/hyperlink" Target="https://www.nationalarchives.gov.uk/doc/open-government-licence/version/3/" TargetMode="External"/><Relationship Id="rId12" Type="http://schemas.openxmlformats.org/officeDocument/2006/relationships/hyperlink" Target="https://gds.blog.gov.uk/2013/11/26/agile-testing-at-the-home-office/" TargetMode="External"/><Relationship Id="rId13" Type="http://schemas.openxmlformats.org/officeDocument/2006/relationships/drawing" Target="../drawings/drawing19.xml"/><Relationship Id="rId1" Type="http://schemas.openxmlformats.org/officeDocument/2006/relationships/hyperlink" Target="https://www.gov.uk/service-manual/making-software/testing-in-agile.html" TargetMode="External"/><Relationship Id="rId2" Type="http://schemas.openxmlformats.org/officeDocument/2006/relationships/hyperlink" Target="https://www.gov.uk/service-manual/agile/writing-user-stories.html" TargetMode="External"/><Relationship Id="rId3" Type="http://schemas.openxmlformats.org/officeDocument/2006/relationships/hyperlink" Target="https://www.gov.uk/service-manual/making-software/code-testing.html" TargetMode="External"/><Relationship Id="rId4" Type="http://schemas.openxmlformats.org/officeDocument/2006/relationships/hyperlink" Target="https://www.gov.uk/service-manual/making-software/testing-in-agile.html" TargetMode="External"/><Relationship Id="rId5" Type="http://schemas.openxmlformats.org/officeDocument/2006/relationships/hyperlink" Target="https://www.gov.uk/service-manual/operations/penetration-testing.html" TargetMode="External"/><Relationship Id="rId6" Type="http://schemas.openxmlformats.org/officeDocument/2006/relationships/hyperlink" Target="http://www.kaner.com/pdfs/QAIExploring.pdf" TargetMode="External"/><Relationship Id="rId7" Type="http://schemas.openxmlformats.org/officeDocument/2006/relationships/hyperlink" Target="https://www.gov.uk/service-manual/user-centred-design/user-research/lab-based-user-testing.html" TargetMode="External"/><Relationship Id="rId8" Type="http://schemas.openxmlformats.org/officeDocument/2006/relationships/hyperlink" Target="https://www.gov.uk/service-manual/user-centred-design/user-research/accessibility-testing.html" TargetMode="External"/><Relationship Id="rId9" Type="http://schemas.openxmlformats.org/officeDocument/2006/relationships/hyperlink" Target="https://www.gov.uk/service-manual/operations/load-and-performance-testing.html" TargetMode="External"/><Relationship Id="rId10" Type="http://schemas.openxmlformats.org/officeDocument/2006/relationships/hyperlink" Target="https://github.com/alphagov" TargetMode="External"/></Relationships>
</file>

<file path=xl/worksheets/_rels/sheet2.xml.rels><?xml version="1.0" encoding="UTF-8" standalone="yes"?>
<Relationships xmlns="http://schemas.openxmlformats.org/package/2006/relationships"><Relationship Id="rId20" Type="http://schemas.openxmlformats.org/officeDocument/2006/relationships/hyperlink" Target="https://www.gov.uk/design-principles" TargetMode="External"/><Relationship Id="rId21" Type="http://schemas.openxmlformats.org/officeDocument/2006/relationships/hyperlink" Target="https://www.gov.uk/service-manual/digital-by-default" TargetMode="External"/><Relationship Id="rId22" Type="http://schemas.openxmlformats.org/officeDocument/2006/relationships/hyperlink" Target="https://civilservice.blog.gov.uk/2014/10/02/why-commercial-matters/" TargetMode="External"/><Relationship Id="rId23" Type="http://schemas.openxmlformats.org/officeDocument/2006/relationships/hyperlink" Target="http://www.scotland.gov.uk/Topics/Government/Procurement/buyer-information/spdlowlevel/EUGuidance" TargetMode="External"/><Relationship Id="rId24" Type="http://schemas.openxmlformats.org/officeDocument/2006/relationships/hyperlink" Target="https://www.digitalmarketplace.service.gov.uk/" TargetMode="External"/><Relationship Id="rId25" Type="http://schemas.openxmlformats.org/officeDocument/2006/relationships/hyperlink" Target="https://www.gov.uk/government/publications/open-standards-for-government" TargetMode="External"/><Relationship Id="rId26" Type="http://schemas.openxmlformats.org/officeDocument/2006/relationships/hyperlink" Target="https://www.gov.uk/government/publications/government-security-classifications" TargetMode="External"/><Relationship Id="rId27" Type="http://schemas.openxmlformats.org/officeDocument/2006/relationships/hyperlink" Target="https://identityassurance.blog.gov.uk/" TargetMode="External"/><Relationship Id="rId28" Type="http://schemas.openxmlformats.org/officeDocument/2006/relationships/hyperlink" Target="https://www.gov.uk/service-manual/identity-assurance" TargetMode="External"/><Relationship Id="rId29" Type="http://schemas.openxmlformats.org/officeDocument/2006/relationships/hyperlink" Target="http://www.youtube.com/watch?v=kB1aoOUrO5g&amp;list=UUSNK6abAoM6Kj0SkHOStNLg&amp;index=111" TargetMode="External"/><Relationship Id="rId1" Type="http://schemas.openxmlformats.org/officeDocument/2006/relationships/hyperlink" Target="https://www.gov.uk/government/collections/government-digital-strategy-reports-and-research" TargetMode="External"/><Relationship Id="rId2" Type="http://schemas.openxmlformats.org/officeDocument/2006/relationships/hyperlink" Target="https://www.gov.uk/government/publications/digital-skills-in-the-civil-service/an-introductory-guide-to-open-internet-tools-for-civil-servants" TargetMode="External"/><Relationship Id="rId3" Type="http://schemas.openxmlformats.org/officeDocument/2006/relationships/hyperlink" Target="https://www.gov.uk/transformation" TargetMode="External"/><Relationship Id="rId4" Type="http://schemas.openxmlformats.org/officeDocument/2006/relationships/hyperlink" Target="https://www.gov.uk/service-manual/the-team/learning-and-development/foundation-day" TargetMode="External"/><Relationship Id="rId5" Type="http://schemas.openxmlformats.org/officeDocument/2006/relationships/hyperlink" Target="https://governmenttechnology.blog.gov.uk/2014/12/08/guest-post-adopting-open-document-format-in-the-home-office/" TargetMode="External"/><Relationship Id="rId30" Type="http://schemas.openxmlformats.org/officeDocument/2006/relationships/hyperlink" Target="https://www.gov.uk/government/publications/social-media-guidance-for-civil-servants" TargetMode="External"/><Relationship Id="rId31" Type="http://schemas.openxmlformats.org/officeDocument/2006/relationships/hyperlink" Target="http://searchdatacenter.techtarget.com/feature/Data-center-projects-get-lost-in-translation?utm_medium=EM&amp;asrc=EM_NLN_32604154&amp;utm_campaign=20140811_Translate%20data%20center%20talk%20into%20business%20vernacular_szaharoff&amp;utm_source=NLN&amp;track=NL-1811&amp;ad=895305" TargetMode="External"/><Relationship Id="rId32" Type="http://schemas.openxmlformats.org/officeDocument/2006/relationships/hyperlink" Target="https://gcn.civilservice.gov.uk/" TargetMode="External"/><Relationship Id="rId9" Type="http://schemas.openxmlformats.org/officeDocument/2006/relationships/hyperlink" Target="https://www.gov.uk/government/publications/government-digital-inclusion-strategy/government-digital-inclusion-strategy" TargetMode="External"/><Relationship Id="rId6" Type="http://schemas.openxmlformats.org/officeDocument/2006/relationships/hyperlink" Target="https://governmenttechnology.blog.gov.uk/2014/10/07/getting-to-grips-with-document-formats/" TargetMode="External"/><Relationship Id="rId7" Type="http://schemas.openxmlformats.org/officeDocument/2006/relationships/hyperlink" Target="http://digitalbusinessacademyuk.com/courses-list" TargetMode="External"/><Relationship Id="rId8" Type="http://schemas.openxmlformats.org/officeDocument/2006/relationships/hyperlink" Target="https://www.gov.uk/government/publications/government-digital-strategy-action-8" TargetMode="External"/><Relationship Id="rId33" Type="http://schemas.openxmlformats.org/officeDocument/2006/relationships/hyperlink" Target="https://www.nationalarchives.gov.uk/doc/open-government-licence/version/3/" TargetMode="External"/><Relationship Id="rId34" Type="http://schemas.openxmlformats.org/officeDocument/2006/relationships/hyperlink" Target="https://gdssocialmedia.blog.gov.uk/playbook/" TargetMode="External"/><Relationship Id="rId35" Type="http://schemas.openxmlformats.org/officeDocument/2006/relationships/drawing" Target="../drawings/drawing2.xml"/><Relationship Id="rId10" Type="http://schemas.openxmlformats.org/officeDocument/2006/relationships/hyperlink" Target="http://www.youtube.com/watch?v=ALvIYIC1IqE&amp;index=71&amp;list=UUSNK6abAoM6Kj0SkHOStNLg" TargetMode="External"/><Relationship Id="rId11" Type="http://schemas.openxmlformats.org/officeDocument/2006/relationships/hyperlink" Target="http://www.youtube.com/watch?v=CnCCmwxdPWQ&amp;list=UUSNK6abAoM6Kj0SkHOStNLg" TargetMode="External"/><Relationship Id="rId12" Type="http://schemas.openxmlformats.org/officeDocument/2006/relationships/hyperlink" Target="https://www.gov.uk/service-manual/agile/index.html" TargetMode="External"/><Relationship Id="rId13" Type="http://schemas.openxmlformats.org/officeDocument/2006/relationships/hyperlink" Target="https://gcn.civilservice.gov.uk/competency-framework/" TargetMode="External"/><Relationship Id="rId14" Type="http://schemas.openxmlformats.org/officeDocument/2006/relationships/hyperlink" Target="http://agilemanifesto.org/principles.html" TargetMode="External"/><Relationship Id="rId15" Type="http://schemas.openxmlformats.org/officeDocument/2006/relationships/hyperlink" Target="https://www.gov.uk/service-manual/agile/what-agile-looks-like.html" TargetMode="External"/><Relationship Id="rId16" Type="http://schemas.openxmlformats.org/officeDocument/2006/relationships/hyperlink" Target="https://www.gov.uk/service-manual/the-team" TargetMode="External"/><Relationship Id="rId17" Type="http://schemas.openxmlformats.org/officeDocument/2006/relationships/hyperlink" Target="https://www.gov.uk/service-manual/user-centred-design/index.html" TargetMode="External"/><Relationship Id="rId18" Type="http://schemas.openxmlformats.org/officeDocument/2006/relationships/hyperlink" Target="https://www.gov.uk/service-manual/user-centred-design/user-research/index.html" TargetMode="External"/><Relationship Id="rId19" Type="http://schemas.openxmlformats.org/officeDocument/2006/relationships/hyperlink" Target="https://www.gov.uk/service-manual/agile/writing-user-stories.html" TargetMode="External"/></Relationships>
</file>

<file path=xl/worksheets/_rels/sheet3.xml.rels><?xml version="1.0" encoding="UTF-8" standalone="yes"?>
<Relationships xmlns="http://schemas.openxmlformats.org/package/2006/relationships"><Relationship Id="rId11" Type="http://schemas.openxmlformats.org/officeDocument/2006/relationships/hyperlink" Target="https://www.gov.uk/service-manual/agile/running-retrospectives" TargetMode="External"/><Relationship Id="rId12" Type="http://schemas.openxmlformats.org/officeDocument/2006/relationships/hyperlink" Target="https://www.gov.uk/service-manual/agile/quality.html" TargetMode="External"/><Relationship Id="rId13" Type="http://schemas.openxmlformats.org/officeDocument/2006/relationships/hyperlink" Target="https://www.gov.uk/service-manual/agile/continuous-delivery.html" TargetMode="External"/><Relationship Id="rId14" Type="http://schemas.openxmlformats.org/officeDocument/2006/relationships/hyperlink" Target="https://www.gov.uk/service-manual/the-team/index.html" TargetMode="External"/><Relationship Id="rId15" Type="http://schemas.openxmlformats.org/officeDocument/2006/relationships/hyperlink" Target="https://www.nationalarchives.gov.uk/doc/open-government-licence/version/3/" TargetMode="External"/><Relationship Id="rId16" Type="http://schemas.openxmlformats.org/officeDocument/2006/relationships/drawing" Target="../drawings/drawing3.xml"/><Relationship Id="rId1" Type="http://schemas.openxmlformats.org/officeDocument/2006/relationships/hyperlink" Target="https://www.gov.uk/service-manual/agile/index.html" TargetMode="External"/><Relationship Id="rId2" Type="http://schemas.openxmlformats.org/officeDocument/2006/relationships/hyperlink" Target="https://civilservicelearning.civilservice.gov.uk/professions/project-delivery" TargetMode="External"/><Relationship Id="rId3" Type="http://schemas.openxmlformats.org/officeDocument/2006/relationships/hyperlink" Target="https://www.gov.uk/service-manual/agile/features-of-agile.html" TargetMode="External"/><Relationship Id="rId4" Type="http://schemas.openxmlformats.org/officeDocument/2006/relationships/hyperlink" Target="https://www.gov.uk/service-manual/agile/what-agile-looks-like.html" TargetMode="External"/><Relationship Id="rId5" Type="http://schemas.openxmlformats.org/officeDocument/2006/relationships/hyperlink" Target="https://www.gov.uk/service-manual/agile/writing-user-stories.html" TargetMode="External"/><Relationship Id="rId6" Type="http://schemas.openxmlformats.org/officeDocument/2006/relationships/hyperlink" Target="http://www.mindtheproduct.com/2014/07/experiments-roadmapping-gov-uk/?utm_campaign=coschedule&amp;utm_source=twitter&amp;utm_medium=MindTheProduct&amp;utm_content=Experiments+in+roadmapping+at+GOV.UK" TargetMode="External"/><Relationship Id="rId7" Type="http://schemas.openxmlformats.org/officeDocument/2006/relationships/hyperlink" Target="https://www.gov.uk/service-manual/agile/training-and-learning.html" TargetMode="External"/><Relationship Id="rId8" Type="http://schemas.openxmlformats.org/officeDocument/2006/relationships/hyperlink" Target="https://www.gov.uk/service-manual/agile/features-of-agile.html" TargetMode="External"/><Relationship Id="rId9" Type="http://schemas.openxmlformats.org/officeDocument/2006/relationships/hyperlink" Target="http://www.servicedesigntools.org/" TargetMode="External"/><Relationship Id="rId10" Type="http://schemas.openxmlformats.org/officeDocument/2006/relationships/hyperlink" Target="http://www.agilelearninglabs.com/resources/scrum-introduction/" TargetMode="External"/></Relationships>
</file>

<file path=xl/worksheets/_rels/sheet4.xml.rels><?xml version="1.0" encoding="UTF-8" standalone="yes"?>
<Relationships xmlns="http://schemas.openxmlformats.org/package/2006/relationships"><Relationship Id="rId11" Type="http://schemas.openxmlformats.org/officeDocument/2006/relationships/hyperlink" Target="https://digitalmarketplace.blog.gov.uk/" TargetMode="External"/><Relationship Id="rId12" Type="http://schemas.openxmlformats.org/officeDocument/2006/relationships/hyperlink" Target="https://www.gov.uk/service-manual/governance/index.html" TargetMode="External"/><Relationship Id="rId13" Type="http://schemas.openxmlformats.org/officeDocument/2006/relationships/hyperlink" Target="https://www.nationalarchives.gov.uk/doc/open-government-licence/version/3/" TargetMode="External"/><Relationship Id="rId14" Type="http://schemas.openxmlformats.org/officeDocument/2006/relationships/hyperlink" Target="https://www.gov.uk/service-manual/technology/spending-controls.html" TargetMode="External"/><Relationship Id="rId15" Type="http://schemas.openxmlformats.org/officeDocument/2006/relationships/hyperlink" Target="https://www.gov.uk/how-to-use-the-digital-services-store" TargetMode="External"/><Relationship Id="rId16" Type="http://schemas.openxmlformats.org/officeDocument/2006/relationships/drawing" Target="../drawings/drawing4.xml"/><Relationship Id="rId1" Type="http://schemas.openxmlformats.org/officeDocument/2006/relationships/hyperlink" Target="https://www.gov.uk/service-manual/technology/spending-controls.html" TargetMode="External"/><Relationship Id="rId2" Type="http://schemas.openxmlformats.org/officeDocument/2006/relationships/hyperlink" Target="https://www.gov.uk/service-manual/technology/code-of-practice" TargetMode="External"/><Relationship Id="rId3" Type="http://schemas.openxmlformats.org/officeDocument/2006/relationships/hyperlink" Target="https://www.gov.uk/digital-marketplace" TargetMode="External"/><Relationship Id="rId4" Type="http://schemas.openxmlformats.org/officeDocument/2006/relationships/hyperlink" Target="https://civilserviceleaders.blog.gov.uk/2014/11/07/how-do-you-rate-your-commercial-skills/" TargetMode="External"/><Relationship Id="rId5" Type="http://schemas.openxmlformats.org/officeDocument/2006/relationships/hyperlink" Target="https://www.digitalmarketplace.service.gov.uk/buyers-guide" TargetMode="External"/><Relationship Id="rId6" Type="http://schemas.openxmlformats.org/officeDocument/2006/relationships/hyperlink" Target="https://civilservice.blog.gov.uk/2014/10/28/courses-to-improve-your-commercial-skills/" TargetMode="External"/><Relationship Id="rId7" Type="http://schemas.openxmlformats.org/officeDocument/2006/relationships/hyperlink" Target="https://www.gov.uk/government/collections/procurement-policy-notes" TargetMode="External"/><Relationship Id="rId8" Type="http://schemas.openxmlformats.org/officeDocument/2006/relationships/hyperlink" Target="https://www.gov.uk/service-manual/technology/spending-controls.html" TargetMode="External"/><Relationship Id="rId9" Type="http://schemas.openxmlformats.org/officeDocument/2006/relationships/hyperlink" Target="https://www.gov.uk/service-manual/governance/funding-your-digital-service" TargetMode="External"/><Relationship Id="rId10" Type="http://schemas.openxmlformats.org/officeDocument/2006/relationships/hyperlink" Target="https://www.gov.uk/service-manual/the-team/working-with-specialists.html" TargetMode="External"/></Relationships>
</file>

<file path=xl/worksheets/_rels/sheet5.xml.rels><?xml version="1.0" encoding="UTF-8" standalone="yes"?>
<Relationships xmlns="http://schemas.openxmlformats.org/package/2006/relationships"><Relationship Id="rId11" Type="http://schemas.openxmlformats.org/officeDocument/2006/relationships/hyperlink" Target="http://www.theguardian.com/public-leaders-network/2014/nov/24/civil-service-director-twitter-paul-maltby" TargetMode="External"/><Relationship Id="rId12" Type="http://schemas.openxmlformats.org/officeDocument/2006/relationships/hyperlink" Target="https://www.nationalarchives.gov.uk/doc/open-government-licence/version/3/" TargetMode="External"/><Relationship Id="rId13" Type="http://schemas.openxmlformats.org/officeDocument/2006/relationships/hyperlink" Target="https://www.gov.uk/service-manual/technology/culture-that-supports-change.html" TargetMode="External"/><Relationship Id="rId14" Type="http://schemas.openxmlformats.org/officeDocument/2006/relationships/hyperlink" Target="http://www.ted.com/watch/ted-institute/ted-ibm/charlene-li-giving-up-control" TargetMode="External"/><Relationship Id="rId15" Type="http://schemas.openxmlformats.org/officeDocument/2006/relationships/hyperlink" Target="https://www.gov.uk/service-manual/agile/index.html" TargetMode="External"/><Relationship Id="rId16" Type="http://schemas.openxmlformats.org/officeDocument/2006/relationships/hyperlink" Target="http://www.ted.com/watch/ted-institute/ted-ibm/charlene-li-giving-up-control" TargetMode="External"/><Relationship Id="rId17" Type="http://schemas.openxmlformats.org/officeDocument/2006/relationships/hyperlink" Target="https://www.gov.uk/service-manual/technology/code-of-practice" TargetMode="External"/><Relationship Id="rId18" Type="http://schemas.openxmlformats.org/officeDocument/2006/relationships/drawing" Target="../drawings/drawing5.xml"/><Relationship Id="rId1" Type="http://schemas.openxmlformats.org/officeDocument/2006/relationships/hyperlink" Target="https://www.gov.uk/service-manual/the-team/recruitment/scs-orgdesign.html" TargetMode="External"/><Relationship Id="rId2" Type="http://schemas.openxmlformats.org/officeDocument/2006/relationships/hyperlink" Target="https://www.gov.uk/government/publications/leading-and-managing-change-people-impact-assessment" TargetMode="External"/><Relationship Id="rId3" Type="http://schemas.openxmlformats.org/officeDocument/2006/relationships/hyperlink" Target="https://www.gov.uk/government/publications/civil-service-capabilities-plan-leading-and-managing-change/civil-service-capabilities-plan-leading-and-managing-change" TargetMode="External"/><Relationship Id="rId4" Type="http://schemas.openxmlformats.org/officeDocument/2006/relationships/hyperlink" Target="https://www.gov.uk/service-manual/technology/culture-that-supports-change.html" TargetMode="External"/><Relationship Id="rId5" Type="http://schemas.openxmlformats.org/officeDocument/2006/relationships/hyperlink" Target="https://governmenttechnology.blog.gov.uk/2014/12/08/guest-post-adopting-open-document-format-in-the-home-office/" TargetMode="External"/><Relationship Id="rId6" Type="http://schemas.openxmlformats.org/officeDocument/2006/relationships/hyperlink" Target="https://www.gov.uk/service-manual/agile/index.html" TargetMode="External"/><Relationship Id="rId7" Type="http://schemas.openxmlformats.org/officeDocument/2006/relationships/hyperlink" Target="https://www.gov.uk/service-manual/governance/index.html" TargetMode="External"/><Relationship Id="rId8" Type="http://schemas.openxmlformats.org/officeDocument/2006/relationships/hyperlink" Target="https://www.gov.uk/service-manual/communications/increasing-digital-takeup.html" TargetMode="External"/><Relationship Id="rId9" Type="http://schemas.openxmlformats.org/officeDocument/2006/relationships/hyperlink" Target="https://www.gov.uk/government/publications/government-digital-inclusion-strategy/government-digital-inclusion-strategy" TargetMode="External"/><Relationship Id="rId10" Type="http://schemas.openxmlformats.org/officeDocument/2006/relationships/hyperlink" Target="https://gdssocialmedia.blog.gov.uk/playbook/" TargetMode="External"/></Relationships>
</file>

<file path=xl/worksheets/_rels/sheet6.xml.rels><?xml version="1.0" encoding="UTF-8" standalone="yes"?>
<Relationships xmlns="http://schemas.openxmlformats.org/package/2006/relationships"><Relationship Id="rId11" Type="http://schemas.openxmlformats.org/officeDocument/2006/relationships/hyperlink" Target="https://www.gov.uk/service-manual/communications/index.html" TargetMode="External"/><Relationship Id="rId12" Type="http://schemas.openxmlformats.org/officeDocument/2006/relationships/hyperlink" Target="https://www.gov.uk/service-manual/assisted-digital/index.html" TargetMode="External"/><Relationship Id="rId13" Type="http://schemas.openxmlformats.org/officeDocument/2006/relationships/hyperlink" Target="https://www.gov.uk/government/publications/the-green-book-appraisal-and-evaluation-in-central-governent/agile-systems-projects-a-clarification-of-business-case-guidance" TargetMode="External"/><Relationship Id="rId14" Type="http://schemas.openxmlformats.org/officeDocument/2006/relationships/hyperlink" Target="https://www.gov.uk/government/publications/community-development-handbook/community-development-handbook" TargetMode="External"/><Relationship Id="rId15" Type="http://schemas.openxmlformats.org/officeDocument/2006/relationships/hyperlink" Target="https://www.nationalarchives.gov.uk/doc/open-government-licence/version/3/" TargetMode="External"/><Relationship Id="rId16" Type="http://schemas.openxmlformats.org/officeDocument/2006/relationships/drawing" Target="../drawings/drawing6.xml"/><Relationship Id="rId1" Type="http://schemas.openxmlformats.org/officeDocument/2006/relationships/hyperlink" Target="https://www.gov.uk/service-manual/operations/service-management.html" TargetMode="External"/><Relationship Id="rId2" Type="http://schemas.openxmlformats.org/officeDocument/2006/relationships/hyperlink" Target="https://www.gov.uk/service-manual/the-team/learning-and-development/service-manager-induction.html" TargetMode="External"/><Relationship Id="rId3" Type="http://schemas.openxmlformats.org/officeDocument/2006/relationships/hyperlink" Target="https://www.gov.uk/service-manual/user-centred-design/user-needs.html" TargetMode="External"/><Relationship Id="rId4" Type="http://schemas.openxmlformats.org/officeDocument/2006/relationships/hyperlink" Target="https://www.gov.uk/service-manual/the-team/learning-and-development/open-programme" TargetMode="External"/><Relationship Id="rId5" Type="http://schemas.openxmlformats.org/officeDocument/2006/relationships/hyperlink" Target="https://www.gov.uk/service-manual/user-centred-design/service-user-experience.html" TargetMode="External"/><Relationship Id="rId6" Type="http://schemas.openxmlformats.org/officeDocument/2006/relationships/hyperlink" Target="https://www.gov.uk/service-manual/service-managers" TargetMode="External"/><Relationship Id="rId7" Type="http://schemas.openxmlformats.org/officeDocument/2006/relationships/hyperlink" Target="https://www.gov.uk/service-manual/digital-by-default/index.html" TargetMode="External"/><Relationship Id="rId8" Type="http://schemas.openxmlformats.org/officeDocument/2006/relationships/hyperlink" Target="https://civilservicelearning.civilservice.gov.uk/management-essentials" TargetMode="External"/><Relationship Id="rId9" Type="http://schemas.openxmlformats.org/officeDocument/2006/relationships/hyperlink" Target="https://www.gov.uk/service-manual/governance/governance-principles" TargetMode="External"/><Relationship Id="rId10" Type="http://schemas.openxmlformats.org/officeDocument/2006/relationships/hyperlink" Target="https://www.gov.uk/service-manual/the-team/index.html" TargetMode="External"/></Relationships>
</file>

<file path=xl/worksheets/_rels/sheet7.xml.rels><?xml version="1.0" encoding="UTF-8" standalone="yes"?>
<Relationships xmlns="http://schemas.openxmlformats.org/package/2006/relationships"><Relationship Id="rId11" Type="http://schemas.openxmlformats.org/officeDocument/2006/relationships/hyperlink" Target="https://www.nationalarchives.gov.uk/doc/open-government-licence/version/3/" TargetMode="External"/><Relationship Id="rId12" Type="http://schemas.openxmlformats.org/officeDocument/2006/relationships/hyperlink" Target="http://www.mindtheproduct.com/2014/07/experiments-roadmapping-gov-uk/?utm_campaign=coschedule&amp;utm_source=twitter&amp;utm_medium=MindTheProduct&amp;utm_content=Experiments+in+roadmapping+at+GOV.UK" TargetMode="External"/><Relationship Id="rId13" Type="http://schemas.openxmlformats.org/officeDocument/2006/relationships/drawing" Target="../drawings/drawing7.xml"/><Relationship Id="rId1" Type="http://schemas.openxmlformats.org/officeDocument/2006/relationships/hyperlink" Target="https://gds.blog.gov.uk/2012/07/27/what-ive-learned-so-far-doing-product-management-in-government/" TargetMode="External"/><Relationship Id="rId2" Type="http://schemas.openxmlformats.org/officeDocument/2006/relationships/hyperlink" Target="https://www.gov.uk/service-manual/user-centred-design/user-needs.html" TargetMode="External"/><Relationship Id="rId3" Type="http://schemas.openxmlformats.org/officeDocument/2006/relationships/hyperlink" Target="http://www.servicedesigntools.org/" TargetMode="External"/><Relationship Id="rId4" Type="http://schemas.openxmlformats.org/officeDocument/2006/relationships/hyperlink" Target="http://www.mountaingoatsoftware.com/system/asset/file/259/User-Stories-Applied-Mike-Cohn.pdf" TargetMode="External"/><Relationship Id="rId5" Type="http://schemas.openxmlformats.org/officeDocument/2006/relationships/hyperlink" Target="http://www.mindtheproduct.com/2011/10/what-exactly-is-a-product-manager/" TargetMode="External"/><Relationship Id="rId6" Type="http://schemas.openxmlformats.org/officeDocument/2006/relationships/hyperlink" Target="http://digitalbusinessacademyuk.com/course/3" TargetMode="External"/><Relationship Id="rId7" Type="http://schemas.openxmlformats.org/officeDocument/2006/relationships/hyperlink" Target="https://www.gov.uk/service-manual/phases/discovery.html" TargetMode="External"/><Relationship Id="rId8" Type="http://schemas.openxmlformats.org/officeDocument/2006/relationships/hyperlink" Target="http://www.meetup.com/ProductTank/" TargetMode="External"/><Relationship Id="rId9" Type="http://schemas.openxmlformats.org/officeDocument/2006/relationships/hyperlink" Target="http://www.mindtheproduct.com/2014/07/experiments-roadmapping-gov-uk/?utm_campaign=coschedule&amp;utm_source=twitter&amp;utm_medium=MindTheProduct&amp;utm_content=Experiments+in+roadmapping+at+GOV.UK" TargetMode="External"/><Relationship Id="rId10" Type="http://schemas.openxmlformats.org/officeDocument/2006/relationships/hyperlink" Target="https://gcn.civilservice.gov.uk/" TargetMode="External"/></Relationships>
</file>

<file path=xl/worksheets/_rels/sheet8.xml.rels><?xml version="1.0" encoding="UTF-8" standalone="yes"?>
<Relationships xmlns="http://schemas.openxmlformats.org/package/2006/relationships"><Relationship Id="rId11" Type="http://schemas.openxmlformats.org/officeDocument/2006/relationships/hyperlink" Target="https://userresearch.blog.gov.uk/2014/07/11/what-makes-a-good-user-research-facilitator/" TargetMode="External"/><Relationship Id="rId12" Type="http://schemas.openxmlformats.org/officeDocument/2006/relationships/hyperlink" Target="https://www.gov.uk/service-manual/user-centred-design/user-research/sampling-methodologies.html" TargetMode="External"/><Relationship Id="rId13" Type="http://schemas.openxmlformats.org/officeDocument/2006/relationships/hyperlink" Target="https://www.gov.uk/service-manual/digital-by-default/maintaining-the-standard.html" TargetMode="External"/><Relationship Id="rId14" Type="http://schemas.openxmlformats.org/officeDocument/2006/relationships/hyperlink" Target="https://www.gov.uk/service-manual/assisted-digital/assisted-digital-user-research.html" TargetMode="External"/><Relationship Id="rId15" Type="http://schemas.openxmlformats.org/officeDocument/2006/relationships/hyperlink" Target="https://www.nationalarchives.gov.uk/doc/open-government-licence/version/3/" TargetMode="External"/><Relationship Id="rId16" Type="http://schemas.openxmlformats.org/officeDocument/2006/relationships/drawing" Target="../drawings/drawing8.xml"/><Relationship Id="rId1" Type="http://schemas.openxmlformats.org/officeDocument/2006/relationships/hyperlink" Target="https://www.gov.uk/service-manual/user-centred-design/user-research" TargetMode="External"/><Relationship Id="rId2" Type="http://schemas.openxmlformats.org/officeDocument/2006/relationships/hyperlink" Target="https://www.gov.uk/service-manual/user-centred-design/index.html" TargetMode="External"/><Relationship Id="rId3" Type="http://schemas.openxmlformats.org/officeDocument/2006/relationships/hyperlink" Target="https://userresearchmethods.hackpad.com/Training-and-education-for-User-Research-bzr9JUSdv2B" TargetMode="External"/><Relationship Id="rId4" Type="http://schemas.openxmlformats.org/officeDocument/2006/relationships/hyperlink" Target="https://www.gov.uk/service-manual/user-centred-design/user-research/index.html" TargetMode="External"/><Relationship Id="rId5" Type="http://schemas.openxmlformats.org/officeDocument/2006/relationships/hyperlink" Target="http://www.usability.gov/" TargetMode="External"/><Relationship Id="rId6" Type="http://schemas.openxmlformats.org/officeDocument/2006/relationships/hyperlink" Target="http://www.interaction-design.org/" TargetMode="External"/><Relationship Id="rId7" Type="http://schemas.openxmlformats.org/officeDocument/2006/relationships/hyperlink" Target="http://linkydink.io/groups/user-research-links" TargetMode="External"/><Relationship Id="rId8" Type="http://schemas.openxmlformats.org/officeDocument/2006/relationships/hyperlink" Target="https://uxpa.org/" TargetMode="External"/><Relationship Id="rId9" Type="http://schemas.openxmlformats.org/officeDocument/2006/relationships/hyperlink" Target="https://www.gov.uk/service-manual/the-team/user-researcher.html" TargetMode="External"/><Relationship Id="rId10" Type="http://schemas.openxmlformats.org/officeDocument/2006/relationships/hyperlink" Target="https://www.gov.uk/service-manual/user-centred-design/user-research/user-research-tools.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service-manual/user-centred-design/user-needs.html" TargetMode="External"/><Relationship Id="rId4" Type="http://schemas.openxmlformats.org/officeDocument/2006/relationships/hyperlink" Target="https://www.gov.uk/service-manual/agile/writing-user-stories.html" TargetMode="External"/><Relationship Id="rId5" Type="http://schemas.openxmlformats.org/officeDocument/2006/relationships/hyperlink" Target="https://www.gov.uk/service-manual/measurement/using-data.html" TargetMode="External"/><Relationship Id="rId6" Type="http://schemas.openxmlformats.org/officeDocument/2006/relationships/hyperlink" Target="https://www.gov.uk/service-manual/phases/discovery.html" TargetMode="External"/><Relationship Id="rId7" Type="http://schemas.openxmlformats.org/officeDocument/2006/relationships/hyperlink" Target="https://www.nationalarchives.gov.uk/doc/open-government-licence/version/3/" TargetMode="External"/><Relationship Id="rId8" Type="http://schemas.openxmlformats.org/officeDocument/2006/relationships/drawing" Target="../drawings/drawing9.xml"/><Relationship Id="rId1" Type="http://schemas.openxmlformats.org/officeDocument/2006/relationships/hyperlink" Target="https://www.gov.uk/service-manual/phases/discovery.html" TargetMode="External"/><Relationship Id="rId2" Type="http://schemas.openxmlformats.org/officeDocument/2006/relationships/hyperlink" Target="https://www.gov.uk/service-manual/agi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abSelected="1" workbookViewId="0">
      <selection activeCell="A4" sqref="A4:C4"/>
    </sheetView>
  </sheetViews>
  <sheetFormatPr baseColWidth="10" defaultColWidth="14.5" defaultRowHeight="15.75" customHeight="1" x14ac:dyDescent="0"/>
  <cols>
    <col min="1" max="1" width="66.6640625" style="8" customWidth="1"/>
    <col min="2" max="2" width="8" style="8" customWidth="1"/>
    <col min="3" max="3" width="139.5" style="8" customWidth="1"/>
    <col min="4" max="16384" width="14.5" style="8"/>
  </cols>
  <sheetData>
    <row r="1" spans="1:3" ht="30" customHeight="1">
      <c r="A1" s="213" t="s">
        <v>1420</v>
      </c>
      <c r="B1" s="214"/>
      <c r="C1" s="214"/>
    </row>
    <row r="2" spans="1:3" ht="36" customHeight="1">
      <c r="A2" s="221" t="s">
        <v>1372</v>
      </c>
      <c r="B2" s="222"/>
      <c r="C2" s="222"/>
    </row>
    <row r="3" spans="1:3" ht="310" customHeight="1">
      <c r="A3" s="220" t="s">
        <v>1409</v>
      </c>
      <c r="B3" s="214"/>
      <c r="C3" s="214"/>
    </row>
    <row r="4" spans="1:3" ht="372" customHeight="1">
      <c r="A4" s="218" t="s">
        <v>1431</v>
      </c>
      <c r="B4" s="219"/>
      <c r="C4" s="219"/>
    </row>
    <row r="5" spans="1:3" ht="21" customHeight="1">
      <c r="A5" s="217" t="s">
        <v>1408</v>
      </c>
      <c r="B5" s="216"/>
      <c r="C5" s="216"/>
    </row>
    <row r="6" spans="1:3" ht="21" customHeight="1">
      <c r="A6" s="172" t="s">
        <v>1434</v>
      </c>
      <c r="B6" s="172"/>
      <c r="C6" s="173" t="s">
        <v>1374</v>
      </c>
    </row>
    <row r="7" spans="1:3" ht="21" customHeight="1">
      <c r="A7" s="172" t="s">
        <v>4</v>
      </c>
      <c r="B7" s="172"/>
      <c r="C7" s="173" t="s">
        <v>1375</v>
      </c>
    </row>
    <row r="8" spans="1:3" ht="21" customHeight="1">
      <c r="A8" s="172" t="s">
        <v>1371</v>
      </c>
      <c r="B8" s="172"/>
      <c r="C8" s="173" t="s">
        <v>8</v>
      </c>
    </row>
    <row r="9" spans="1:3" ht="21" customHeight="1">
      <c r="A9" s="172" t="s">
        <v>2</v>
      </c>
      <c r="B9" s="172"/>
      <c r="C9" s="173" t="s">
        <v>1376</v>
      </c>
    </row>
    <row r="10" spans="1:3" ht="21" customHeight="1">
      <c r="A10" s="172" t="s">
        <v>7</v>
      </c>
      <c r="B10" s="172"/>
      <c r="C10" s="173" t="s">
        <v>6</v>
      </c>
    </row>
    <row r="11" spans="1:3" ht="21" customHeight="1">
      <c r="A11" s="172" t="s">
        <v>1370</v>
      </c>
      <c r="B11" s="172"/>
      <c r="C11" s="173" t="s">
        <v>3</v>
      </c>
    </row>
    <row r="12" spans="1:3" ht="21" customHeight="1">
      <c r="A12" s="172" t="s">
        <v>1373</v>
      </c>
      <c r="B12" s="174"/>
      <c r="C12" s="173" t="s">
        <v>1377</v>
      </c>
    </row>
    <row r="13" spans="1:3" ht="21" customHeight="1">
      <c r="A13" s="174" t="s">
        <v>5</v>
      </c>
      <c r="B13" s="174"/>
      <c r="C13" s="173" t="s">
        <v>1378</v>
      </c>
    </row>
    <row r="14" spans="1:3" ht="32" customHeight="1">
      <c r="A14" s="174" t="s">
        <v>1</v>
      </c>
      <c r="B14" s="174"/>
      <c r="C14" s="173" t="s">
        <v>1379</v>
      </c>
    </row>
    <row r="15" spans="1:3" ht="36.75" customHeight="1">
      <c r="A15" s="215" t="str">
        <f>HYPERLINK("https://www.nationalarchives.gov.uk/doc/open-government-licence/version/3/","All content is available under the Open Government Licence v3.0, except where otherwise stated")</f>
        <v>All content is available under the Open Government Licence v3.0, except where otherwise stated</v>
      </c>
      <c r="B15" s="216"/>
      <c r="C15" s="216"/>
    </row>
  </sheetData>
  <mergeCells count="6">
    <mergeCell ref="A1:C1"/>
    <mergeCell ref="A15:C15"/>
    <mergeCell ref="A5:C5"/>
    <mergeCell ref="A4:C4"/>
    <mergeCell ref="A3:C3"/>
    <mergeCell ref="A2:C2"/>
  </mergeCells>
  <phoneticPr fontId="11" type="noConversion"/>
  <conditionalFormatting sqref="A1">
    <cfRule type="containsText" dxfId="2" priority="1" operator="containsText" text="ALPHA">
      <formula>NOT(ISERROR(SEARCH(("ALPHA"),(A1))))</formula>
    </cfRule>
  </conditionalFormatting>
  <conditionalFormatting sqref="A1">
    <cfRule type="containsText" dxfId="1" priority="2" operator="containsText" text="BETA">
      <formula>NOT(ISERROR(SEARCH(("BETA"),(A1))))</formula>
    </cfRule>
  </conditionalFormatting>
  <conditionalFormatting sqref="A1">
    <cfRule type="containsText" dxfId="0" priority="3" operator="containsText" text="LIVE">
      <formula>NOT(ISERROR(SEARCH(("LIVE"),(A1))))</formula>
    </cfRule>
  </conditionalFormatting>
  <hyperlinks>
    <hyperlink ref="A15" r:id="rId1" display="https://www.nationalarchives.gov.uk/doc/open-government-licence/version/3/"/>
  </hyperlinks>
  <pageMargins left="0.75" right="0.75" top="1" bottom="1" header="0.5" footer="0.5"/>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pane ySplit="5" topLeftCell="A6" activePane="bottomLeft" state="frozen"/>
      <selection pane="bottomLeft" activeCell="D6" sqref="D6"/>
    </sheetView>
  </sheetViews>
  <sheetFormatPr baseColWidth="10" defaultColWidth="14.5" defaultRowHeight="17" x14ac:dyDescent="0"/>
  <cols>
    <col min="1" max="1" width="25.6640625" style="10" customWidth="1"/>
    <col min="2" max="2" width="121.5" style="10" customWidth="1"/>
    <col min="3" max="3" width="11.33203125" style="10" customWidth="1"/>
    <col min="4" max="4" width="33" style="10" customWidth="1"/>
    <col min="5" max="5" width="57.1640625" style="10" customWidth="1"/>
    <col min="6" max="6" width="27.5" style="10" customWidth="1"/>
    <col min="7" max="7" width="38.83203125" style="10" customWidth="1"/>
    <col min="8" max="16384" width="14.5" style="10"/>
  </cols>
  <sheetData>
    <row r="1" spans="1:7" ht="45" customHeight="1">
      <c r="A1" s="1" t="s">
        <v>489</v>
      </c>
      <c r="B1" s="288" t="str">
        <f>HYPERLINK("https://www.gov.uk/service-manual/the-team/designer","Design")</f>
        <v>Design</v>
      </c>
      <c r="C1" s="271"/>
      <c r="D1" s="127"/>
      <c r="E1" s="47"/>
      <c r="F1" s="47"/>
      <c r="G1" s="48"/>
    </row>
    <row r="2" spans="1:7" ht="80" customHeight="1">
      <c r="A2" s="1" t="s">
        <v>506</v>
      </c>
      <c r="B2" s="283" t="s">
        <v>510</v>
      </c>
      <c r="C2" s="273"/>
      <c r="D2" s="67"/>
      <c r="E2" s="45"/>
      <c r="F2" s="45"/>
      <c r="G2" s="50"/>
    </row>
    <row r="3" spans="1:7" ht="60" customHeight="1">
      <c r="A3" s="1" t="s">
        <v>511</v>
      </c>
      <c r="B3" s="253" t="s">
        <v>512</v>
      </c>
      <c r="C3" s="254"/>
      <c r="D3" s="68"/>
      <c r="E3" s="52"/>
      <c r="F3" s="114"/>
      <c r="G3" s="142"/>
    </row>
    <row r="4" spans="1:7" ht="27" customHeight="1">
      <c r="A4" s="277" t="s">
        <v>520</v>
      </c>
      <c r="B4" s="278"/>
      <c r="C4" s="279"/>
      <c r="D4" s="15" t="s">
        <v>1350</v>
      </c>
      <c r="E4" s="3"/>
      <c r="F4" s="297" t="s">
        <v>1351</v>
      </c>
      <c r="G4" s="224"/>
    </row>
    <row r="5" spans="1:7" ht="21" customHeight="1">
      <c r="A5" s="44" t="s">
        <v>526</v>
      </c>
      <c r="B5" s="1" t="s">
        <v>528</v>
      </c>
      <c r="C5" s="1" t="s">
        <v>529</v>
      </c>
      <c r="D5" s="4" t="s">
        <v>530</v>
      </c>
      <c r="E5" s="4" t="s">
        <v>531</v>
      </c>
      <c r="F5" s="5" t="s">
        <v>532</v>
      </c>
      <c r="G5" s="5" t="s">
        <v>534</v>
      </c>
    </row>
    <row r="6" spans="1:7" ht="92" customHeight="1">
      <c r="A6" s="9" t="s">
        <v>535</v>
      </c>
      <c r="B6" s="12" t="s">
        <v>537</v>
      </c>
      <c r="C6" s="12" t="s">
        <v>539</v>
      </c>
      <c r="D6" s="39" t="str">
        <f>HYPERLINK("https://designpatterns.hackpad.com/","Design Patterns: Hackpad")</f>
        <v>Design Patterns: Hackpad</v>
      </c>
      <c r="E6" s="147" t="s">
        <v>546</v>
      </c>
      <c r="F6" s="167" t="str">
        <f>HYPERLINK("http://I8/","the UX review")</f>
        <v>the UX review</v>
      </c>
      <c r="G6" s="35" t="s">
        <v>549</v>
      </c>
    </row>
    <row r="7" spans="1:7" ht="55" customHeight="1">
      <c r="A7" s="9" t="s">
        <v>550</v>
      </c>
      <c r="B7" s="12" t="s">
        <v>551</v>
      </c>
      <c r="C7" s="12" t="s">
        <v>552</v>
      </c>
      <c r="D7" s="39" t="str">
        <f>HYPERLINK("https://www.gov.uk/service-manual/designers","Resources for designers")</f>
        <v>Resources for designers</v>
      </c>
      <c r="E7" s="41" t="s">
        <v>559</v>
      </c>
      <c r="F7" s="291"/>
      <c r="G7" s="292"/>
    </row>
    <row r="8" spans="1:7" ht="54" customHeight="1">
      <c r="A8" s="9" t="s">
        <v>560</v>
      </c>
      <c r="B8" s="12" t="s">
        <v>562</v>
      </c>
      <c r="C8" s="12" t="s">
        <v>563</v>
      </c>
      <c r="D8" s="39" t="str">
        <f>HYPERLINK("https://www.gov.uk/service-manual/user-centred-design/user-research/index.html","User Research")</f>
        <v>User Research</v>
      </c>
      <c r="E8" s="148" t="s">
        <v>1355</v>
      </c>
      <c r="F8" s="293"/>
      <c r="G8" s="294"/>
    </row>
    <row r="9" spans="1:7" ht="58" customHeight="1">
      <c r="A9" s="9" t="s">
        <v>584</v>
      </c>
      <c r="B9" s="12" t="s">
        <v>587</v>
      </c>
      <c r="C9" s="12" t="s">
        <v>589</v>
      </c>
      <c r="D9" s="41"/>
      <c r="E9" s="41"/>
      <c r="F9" s="293"/>
      <c r="G9" s="294"/>
    </row>
    <row r="10" spans="1:7" ht="43" customHeight="1">
      <c r="A10" s="223" t="s">
        <v>590</v>
      </c>
      <c r="B10" s="11" t="s">
        <v>593</v>
      </c>
      <c r="C10" s="11" t="s">
        <v>594</v>
      </c>
      <c r="D10" s="41"/>
      <c r="E10" s="41"/>
      <c r="F10" s="293"/>
      <c r="G10" s="294"/>
    </row>
    <row r="11" spans="1:7" ht="55" customHeight="1">
      <c r="A11" s="224"/>
      <c r="B11" s="11" t="s">
        <v>597</v>
      </c>
      <c r="C11" s="11" t="s">
        <v>598</v>
      </c>
      <c r="D11" s="41"/>
      <c r="E11" s="41"/>
      <c r="F11" s="293"/>
      <c r="G11" s="294"/>
    </row>
    <row r="12" spans="1:7" ht="56" customHeight="1">
      <c r="A12" s="9" t="s">
        <v>599</v>
      </c>
      <c r="B12" s="28" t="s">
        <v>600</v>
      </c>
      <c r="C12" s="28" t="s">
        <v>610</v>
      </c>
      <c r="D12" s="41"/>
      <c r="E12" s="41"/>
      <c r="F12" s="293"/>
      <c r="G12" s="294"/>
    </row>
    <row r="13" spans="1:7" ht="65" customHeight="1">
      <c r="A13" s="9" t="s">
        <v>613</v>
      </c>
      <c r="B13" s="12" t="s">
        <v>614</v>
      </c>
      <c r="C13" s="12" t="s">
        <v>616</v>
      </c>
      <c r="D13" s="39" t="str">
        <f>HYPERLINK("https://www.gov.uk/service-manual/user-centred-design/browsers-and-devices.html","Browsers and devices")</f>
        <v>Browsers and devices</v>
      </c>
      <c r="E13" s="41" t="s">
        <v>621</v>
      </c>
      <c r="F13" s="293"/>
      <c r="G13" s="294"/>
    </row>
    <row r="14" spans="1:7" ht="62" customHeight="1">
      <c r="A14" s="9" t="s">
        <v>622</v>
      </c>
      <c r="B14" s="12" t="s">
        <v>623</v>
      </c>
      <c r="C14" s="12" t="s">
        <v>624</v>
      </c>
      <c r="D14" s="39" t="str">
        <f>HYPERLINK("https://www.gov.uk/service-manual/user-centred-design/working-with-prototypes.html","Building prototypes")</f>
        <v>Building prototypes</v>
      </c>
      <c r="E14" s="41" t="s">
        <v>627</v>
      </c>
      <c r="F14" s="293"/>
      <c r="G14" s="294"/>
    </row>
    <row r="15" spans="1:7" ht="48" customHeight="1">
      <c r="A15" s="9" t="s">
        <v>628</v>
      </c>
      <c r="B15" s="28" t="s">
        <v>630</v>
      </c>
      <c r="C15" s="28" t="s">
        <v>631</v>
      </c>
      <c r="D15" s="39" t="str">
        <f>HYPERLINK("https://www.gov.uk/service-manual/user-centred-design/resources/elements/index.html","GOV.UK elements.")</f>
        <v>GOV.UK elements.</v>
      </c>
      <c r="E15" s="41" t="s">
        <v>635</v>
      </c>
      <c r="F15" s="293"/>
      <c r="G15" s="294"/>
    </row>
    <row r="16" spans="1:7" ht="69" customHeight="1">
      <c r="A16" s="223" t="s">
        <v>639</v>
      </c>
      <c r="B16" s="12" t="s">
        <v>640</v>
      </c>
      <c r="C16" s="12" t="s">
        <v>641</v>
      </c>
      <c r="D16" s="41"/>
      <c r="E16" s="41"/>
      <c r="F16" s="293"/>
      <c r="G16" s="294"/>
    </row>
    <row r="17" spans="1:7" ht="111" customHeight="1">
      <c r="A17" s="224"/>
      <c r="B17" s="12" t="s">
        <v>644</v>
      </c>
      <c r="C17" s="12" t="s">
        <v>646</v>
      </c>
      <c r="D17" s="39" t="str">
        <f>HYPERLINK("http://www.w3.org/TR/2008/REC-WCAG20-20081211/","Web Content Accessibility Guidelines (WCAG) 2.0")</f>
        <v>Web Content Accessibility Guidelines (WCAG) 2.0</v>
      </c>
      <c r="E17" s="41" t="s">
        <v>655</v>
      </c>
      <c r="F17" s="293"/>
      <c r="G17" s="294"/>
    </row>
    <row r="18" spans="1:7" ht="57" customHeight="1">
      <c r="A18" s="9" t="s">
        <v>658</v>
      </c>
      <c r="B18" s="11" t="s">
        <v>663</v>
      </c>
      <c r="C18" s="11" t="s">
        <v>664</v>
      </c>
      <c r="D18" s="39" t="str">
        <f>HYPERLINK("https://www.gov.uk/service-manual/user-centred-design/resources/patterns/index.html","Design patterns")</f>
        <v>Design patterns</v>
      </c>
      <c r="E18" s="41" t="s">
        <v>666</v>
      </c>
      <c r="F18" s="293"/>
      <c r="G18" s="294"/>
    </row>
    <row r="19" spans="1:7" ht="46" customHeight="1">
      <c r="A19" s="9" t="s">
        <v>669</v>
      </c>
      <c r="B19" s="12" t="s">
        <v>671</v>
      </c>
      <c r="C19" s="12" t="s">
        <v>672</v>
      </c>
      <c r="D19" s="41"/>
      <c r="E19" s="41"/>
      <c r="F19" s="293"/>
      <c r="G19" s="294"/>
    </row>
    <row r="20" spans="1:7" ht="57" customHeight="1">
      <c r="A20" s="9" t="s">
        <v>673</v>
      </c>
      <c r="B20" s="12" t="s">
        <v>674</v>
      </c>
      <c r="C20" s="12" t="s">
        <v>675</v>
      </c>
      <c r="D20" s="39" t="str">
        <f>HYPERLINK("https://www.gov.uk/service-manual/making-software/version-control.html","Version Control")</f>
        <v>Version Control</v>
      </c>
      <c r="E20" s="41" t="s">
        <v>678</v>
      </c>
      <c r="F20" s="295"/>
      <c r="G20" s="296"/>
    </row>
    <row r="21" spans="1:7" ht="35" customHeight="1">
      <c r="A21" s="215" t="str">
        <f>HYPERLINK("https://www.nationalarchives.gov.uk/doc/open-government-licence/version/3/","All content is available under the Open Government Licence v3.0, except where otherwise stated")</f>
        <v>All content is available under the Open Government Licence v3.0, except where otherwise stated</v>
      </c>
      <c r="B21" s="216"/>
      <c r="C21" s="216"/>
      <c r="D21" s="7"/>
      <c r="E21" s="7"/>
      <c r="F21" s="7"/>
      <c r="G21" s="7"/>
    </row>
  </sheetData>
  <mergeCells count="9">
    <mergeCell ref="A21:C21"/>
    <mergeCell ref="F7:G20"/>
    <mergeCell ref="F4:G4"/>
    <mergeCell ref="B1:C1"/>
    <mergeCell ref="B2:C2"/>
    <mergeCell ref="B3:C3"/>
    <mergeCell ref="A4:C4"/>
    <mergeCell ref="A16:A17"/>
    <mergeCell ref="A10:A11"/>
  </mergeCells>
  <phoneticPr fontId="11" type="noConversion"/>
  <hyperlinks>
    <hyperlink ref="B1" r:id="rId1" display="https://www.gov.uk/service-manual/the-team/designer"/>
    <hyperlink ref="D6" r:id="rId2" display="https://designpatterns.hackpad.com/"/>
    <hyperlink ref="F6" r:id="rId3" display="http://theuxreview.co.uk/"/>
    <hyperlink ref="D7" r:id="rId4" display="https://www.gov.uk/service-manual/designers"/>
    <hyperlink ref="D8" r:id="rId5" display="https://www.gov.uk/service-manual/user-centred-design/user-research/index.html"/>
    <hyperlink ref="D13" r:id="rId6" display="https://www.gov.uk/service-manual/user-centred-design/browsers-and-devices.html"/>
    <hyperlink ref="D14" r:id="rId7" display="https://www.gov.uk/service-manual/user-centred-design/working-with-prototypes.html"/>
    <hyperlink ref="D15" r:id="rId8" display="https://www.gov.uk/service-manual/user-centred-design/resources/elements/index.html"/>
    <hyperlink ref="D17" r:id="rId9" display="http://www.w3.org/TR/2008/REC-WCAG20-20081211/"/>
    <hyperlink ref="D18" r:id="rId10" display="https://www.gov.uk/service-manual/user-centred-design/resources/patterns/index.html"/>
    <hyperlink ref="D20" r:id="rId11" display="https://www.gov.uk/service-manual/making-software/version-control.html"/>
    <hyperlink ref="A21" r:id="rId12" display="https://www.nationalarchives.gov.uk/doc/open-government-licence/version/3/"/>
  </hyperlinks>
  <pageMargins left="0.75" right="0.75" top="1" bottom="1" header="0.5" footer="0.5"/>
  <pageSetup paperSize="9" orientation="portrait" horizontalDpi="4294967292" verticalDpi="4294967292"/>
  <drawing r:id="rId1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pane ySplit="5" topLeftCell="A6" activePane="bottomLeft" state="frozen"/>
      <selection pane="bottomLeft" activeCell="G13" sqref="G13"/>
    </sheetView>
  </sheetViews>
  <sheetFormatPr baseColWidth="10" defaultColWidth="14.5" defaultRowHeight="17" x14ac:dyDescent="0"/>
  <cols>
    <col min="1" max="1" width="22.5" style="10" customWidth="1"/>
    <col min="2" max="2" width="119.1640625" style="10" customWidth="1"/>
    <col min="3" max="3" width="13.1640625" style="10" customWidth="1"/>
    <col min="4" max="4" width="29" style="10" customWidth="1"/>
    <col min="5" max="5" width="61" style="10" customWidth="1"/>
    <col min="6" max="6" width="34.1640625" style="10" customWidth="1"/>
    <col min="7" max="7" width="65.6640625" style="10" customWidth="1"/>
    <col min="8" max="16384" width="14.5" style="10"/>
  </cols>
  <sheetData>
    <row r="1" spans="1:7" ht="40" customHeight="1">
      <c r="A1" s="1" t="s">
        <v>548</v>
      </c>
      <c r="B1" s="288" t="str">
        <f>HYPERLINK("https://www.gov.uk/service-manual/the-team/content-designer.html","Content Design")</f>
        <v>Content Design</v>
      </c>
      <c r="C1" s="271"/>
      <c r="D1" s="46"/>
      <c r="E1" s="47"/>
      <c r="F1" s="47"/>
      <c r="G1" s="48"/>
    </row>
    <row r="2" spans="1:7" ht="51" customHeight="1">
      <c r="A2" s="1" t="s">
        <v>553</v>
      </c>
      <c r="B2" s="283" t="s">
        <v>556</v>
      </c>
      <c r="C2" s="273"/>
      <c r="D2" s="49"/>
      <c r="E2" s="45"/>
      <c r="F2" s="45"/>
      <c r="G2" s="50"/>
    </row>
    <row r="3" spans="1:7" ht="53" customHeight="1">
      <c r="A3" s="1" t="s">
        <v>557</v>
      </c>
      <c r="B3" s="253" t="s">
        <v>558</v>
      </c>
      <c r="C3" s="254"/>
      <c r="D3" s="51"/>
      <c r="E3" s="52"/>
      <c r="F3" s="52"/>
      <c r="G3" s="53"/>
    </row>
    <row r="4" spans="1:7" ht="40" customHeight="1">
      <c r="A4" s="277" t="s">
        <v>561</v>
      </c>
      <c r="B4" s="278"/>
      <c r="C4" s="279"/>
      <c r="D4" s="77" t="s">
        <v>1350</v>
      </c>
      <c r="E4" s="78"/>
      <c r="F4" s="298" t="s">
        <v>1351</v>
      </c>
      <c r="G4" s="232"/>
    </row>
    <row r="5" spans="1:7" ht="40" customHeight="1" thickBot="1">
      <c r="A5" s="44" t="s">
        <v>564</v>
      </c>
      <c r="B5" s="1" t="s">
        <v>566</v>
      </c>
      <c r="C5" s="1" t="s">
        <v>567</v>
      </c>
      <c r="D5" s="4" t="s">
        <v>568</v>
      </c>
      <c r="E5" s="4" t="s">
        <v>569</v>
      </c>
      <c r="F5" s="203" t="s">
        <v>570</v>
      </c>
      <c r="G5" s="203" t="s">
        <v>571</v>
      </c>
    </row>
    <row r="6" spans="1:7" ht="34">
      <c r="A6" s="263" t="s">
        <v>574</v>
      </c>
      <c r="B6" s="12" t="s">
        <v>575</v>
      </c>
      <c r="C6" s="12" t="s">
        <v>576</v>
      </c>
      <c r="D6" s="39" t="str">
        <f>HYPERLINK("https://www.gov.uk/design-principles","GDS design principles")</f>
        <v>GDS design principles</v>
      </c>
      <c r="E6" s="40" t="s">
        <v>583</v>
      </c>
      <c r="F6" s="204" t="str">
        <f>HYPERLINK("https://www.gov.uk/guidance/content-design","GOV.UK Content Design Guidance")</f>
        <v>GOV.UK Content Design Guidance</v>
      </c>
      <c r="G6" s="205" t="s">
        <v>618</v>
      </c>
    </row>
    <row r="7" spans="1:7" ht="45" customHeight="1">
      <c r="A7" s="224"/>
      <c r="B7" s="149" t="s">
        <v>601</v>
      </c>
      <c r="C7" s="22" t="s">
        <v>602</v>
      </c>
      <c r="D7" s="81"/>
      <c r="E7" s="89"/>
      <c r="F7" s="121" t="str">
        <f>HYPERLINK("https://www.gov.uk/guidance/how-to-publish-on-gov-uk","How to publish on GOV.UK")</f>
        <v>How to publish on GOV.UK</v>
      </c>
      <c r="G7" s="122" t="s">
        <v>633</v>
      </c>
    </row>
    <row r="8" spans="1:7" ht="47" customHeight="1">
      <c r="A8" s="223" t="s">
        <v>604</v>
      </c>
      <c r="B8" s="12" t="s">
        <v>607</v>
      </c>
      <c r="C8" s="12" t="s">
        <v>608</v>
      </c>
      <c r="D8" s="69"/>
      <c r="E8" s="144"/>
      <c r="F8" s="206" t="str">
        <f>HYPERLINK("http://www.meetup.com/content-strategy-london/","Meetups")</f>
        <v>Meetups</v>
      </c>
      <c r="G8" s="124" t="s">
        <v>676</v>
      </c>
    </row>
    <row r="9" spans="1:7" ht="68">
      <c r="A9" s="224"/>
      <c r="B9" s="12" t="s">
        <v>619</v>
      </c>
      <c r="C9" s="12" t="s">
        <v>620</v>
      </c>
      <c r="D9" s="39" t="str">
        <f>HYPERLINK("https://www.gov.uk/government/publications/govuk-proposition","GOV.UK proposition")</f>
        <v>GOV.UK proposition</v>
      </c>
      <c r="E9" s="40" t="s">
        <v>625</v>
      </c>
      <c r="F9" s="121" t="str">
        <f>HYPERLINK("https://www.gov.uk/guidance/content-design/research-and-evidence","Research and evidence")</f>
        <v>Research and evidence</v>
      </c>
      <c r="G9" s="124" t="s">
        <v>688</v>
      </c>
    </row>
    <row r="10" spans="1:7" ht="51">
      <c r="A10" s="231" t="s">
        <v>634</v>
      </c>
      <c r="B10" s="229" t="s">
        <v>636</v>
      </c>
      <c r="C10" s="255" t="s">
        <v>638</v>
      </c>
      <c r="D10" s="39" t="str">
        <f>HYPERLINK("https://www.gov.uk/guidance/content-design/planning-content","Planning content")</f>
        <v>Planning content</v>
      </c>
      <c r="E10" s="40" t="s">
        <v>656</v>
      </c>
      <c r="F10" s="121" t="str">
        <f>HYPERLINK("https://gds.blog.gov.uk/2014/06/13/13-interesting-things-about-how-we-do-content-design/","Some interesting things about how we do content design")</f>
        <v>Some interesting things about how we do content design</v>
      </c>
      <c r="G10" s="207" t="s">
        <v>697</v>
      </c>
    </row>
    <row r="11" spans="1:7" ht="52" thickBot="1">
      <c r="A11" s="232"/>
      <c r="B11" s="230"/>
      <c r="C11" s="232"/>
      <c r="D11" s="39" t="str">
        <f>HYPERLINK("https://www.gov.uk/guidance/content-design/user-needs","User needs")</f>
        <v>User needs</v>
      </c>
      <c r="E11" s="40" t="s">
        <v>680</v>
      </c>
      <c r="F11" s="134" t="str">
        <f>HYPERLINK("https://www.gov.uk/government/publications/govuk-content-principles-conventions-and-research-background","GOV.UK content principles: conventions and research background")</f>
        <v>GOV.UK content principles: conventions and research background</v>
      </c>
      <c r="G11" s="135" t="s">
        <v>729</v>
      </c>
    </row>
    <row r="12" spans="1:7" ht="47" customHeight="1">
      <c r="A12" s="224"/>
      <c r="B12" s="12" t="s">
        <v>684</v>
      </c>
      <c r="C12" s="12" t="s">
        <v>685</v>
      </c>
      <c r="D12" s="41"/>
      <c r="E12" s="40"/>
      <c r="F12" s="116"/>
      <c r="G12" s="138"/>
    </row>
    <row r="13" spans="1:7" ht="65" customHeight="1">
      <c r="A13" s="224"/>
      <c r="B13" s="12" t="s">
        <v>690</v>
      </c>
      <c r="C13" s="12" t="s">
        <v>691</v>
      </c>
      <c r="D13" s="41"/>
      <c r="E13" s="40"/>
      <c r="F13" s="116"/>
      <c r="G13" s="138"/>
    </row>
    <row r="14" spans="1:7" ht="51" customHeight="1">
      <c r="A14" s="265" t="s">
        <v>711</v>
      </c>
      <c r="B14" s="12" t="s">
        <v>712</v>
      </c>
      <c r="C14" s="12" t="s">
        <v>713</v>
      </c>
      <c r="D14" s="41"/>
      <c r="E14" s="40"/>
      <c r="F14" s="116"/>
      <c r="G14" s="138"/>
    </row>
    <row r="15" spans="1:7" ht="32" customHeight="1">
      <c r="A15" s="276"/>
      <c r="B15" s="12" t="s">
        <v>715</v>
      </c>
      <c r="C15" s="12" t="s">
        <v>717</v>
      </c>
      <c r="D15" s="41"/>
      <c r="E15" s="40"/>
      <c r="F15" s="116"/>
      <c r="G15" s="138"/>
    </row>
    <row r="16" spans="1:7" ht="41" customHeight="1">
      <c r="A16" s="227"/>
      <c r="B16" s="12" t="s">
        <v>731</v>
      </c>
      <c r="C16" s="12" t="s">
        <v>733</v>
      </c>
      <c r="D16" s="41"/>
      <c r="E16" s="40"/>
      <c r="F16" s="116"/>
      <c r="G16" s="138"/>
    </row>
    <row r="17" spans="1:7" ht="31" customHeight="1">
      <c r="A17" s="299" t="s">
        <v>735</v>
      </c>
      <c r="B17" s="301" t="s">
        <v>744</v>
      </c>
      <c r="C17" s="300" t="s">
        <v>745</v>
      </c>
      <c r="D17" s="150" t="str">
        <f>HYPERLINK("https://www.gov.uk/guidance/content-design/writing-for-gov-uk","Writing for GOV.UK")</f>
        <v>Writing for GOV.UK</v>
      </c>
      <c r="E17" s="89" t="s">
        <v>1109</v>
      </c>
      <c r="F17" s="97"/>
      <c r="G17" s="98"/>
    </row>
    <row r="18" spans="1:7" ht="34">
      <c r="A18" s="242"/>
      <c r="B18" s="302"/>
      <c r="C18" s="242"/>
      <c r="D18" s="150" t="str">
        <f>HYPERLINK("https://www.gov.uk/service-manual/user-centred-design/how-users-read.html","How users read")</f>
        <v>How users read</v>
      </c>
      <c r="E18" s="153" t="s">
        <v>1171</v>
      </c>
      <c r="F18" s="97"/>
      <c r="G18" s="98"/>
    </row>
    <row r="19" spans="1:7" ht="34" customHeight="1">
      <c r="A19" s="242"/>
      <c r="B19" s="302"/>
      <c r="C19" s="242"/>
      <c r="D19" s="150" t="str">
        <f>HYPERLINK("https://www.gov.uk/guidance/style-guide","Style guide")</f>
        <v>Style guide</v>
      </c>
      <c r="E19" s="153" t="s">
        <v>1180</v>
      </c>
      <c r="F19" s="97"/>
      <c r="G19" s="98"/>
    </row>
    <row r="20" spans="1:7" ht="54" customHeight="1">
      <c r="A20" s="230"/>
      <c r="B20" s="17" t="s">
        <v>1181</v>
      </c>
      <c r="C20" s="18" t="s">
        <v>1182</v>
      </c>
      <c r="D20" s="150" t="str">
        <f>HYPERLINK("https://www.gov.uk/guidance/content-design/content-maintenance","Content maintenance")</f>
        <v>Content maintenance</v>
      </c>
      <c r="E20" s="154" t="s">
        <v>1185</v>
      </c>
      <c r="F20" s="97"/>
      <c r="G20" s="98"/>
    </row>
    <row r="21" spans="1:7" ht="40" customHeight="1">
      <c r="A21" s="223" t="s">
        <v>1187</v>
      </c>
      <c r="B21" s="12" t="s">
        <v>1188</v>
      </c>
      <c r="C21" s="12" t="s">
        <v>1189</v>
      </c>
      <c r="D21" s="41"/>
      <c r="E21" s="40"/>
      <c r="F21" s="95"/>
      <c r="G21" s="96"/>
    </row>
    <row r="22" spans="1:7" ht="52" customHeight="1">
      <c r="A22" s="224"/>
      <c r="B22" s="12" t="s">
        <v>1190</v>
      </c>
      <c r="C22" s="12" t="s">
        <v>1191</v>
      </c>
      <c r="D22" s="41"/>
      <c r="E22" s="40"/>
      <c r="F22" s="95"/>
      <c r="G22" s="96"/>
    </row>
    <row r="23" spans="1:7" ht="63" customHeight="1">
      <c r="A23" s="9" t="s">
        <v>1193</v>
      </c>
      <c r="B23" s="22" t="s">
        <v>1194</v>
      </c>
      <c r="C23" s="16" t="s">
        <v>1195</v>
      </c>
      <c r="D23" s="83"/>
      <c r="E23" s="90"/>
      <c r="F23" s="116"/>
      <c r="G23" s="138"/>
    </row>
    <row r="24" spans="1:7" ht="55" customHeight="1">
      <c r="A24" s="223" t="s">
        <v>1196</v>
      </c>
      <c r="B24" s="12" t="s">
        <v>1197</v>
      </c>
      <c r="C24" s="12" t="s">
        <v>1198</v>
      </c>
      <c r="D24" s="39" t="str">
        <f>HYPERLINK("https://www.gov.uk/guidance/how-to-publish-on-gov-uk/markdown","Markdown")</f>
        <v>Markdown</v>
      </c>
      <c r="E24" s="40" t="s">
        <v>1199</v>
      </c>
      <c r="F24" s="95"/>
      <c r="G24" s="96"/>
    </row>
    <row r="25" spans="1:7" ht="66" customHeight="1">
      <c r="A25" s="224"/>
      <c r="B25" s="12" t="s">
        <v>1200</v>
      </c>
      <c r="C25" s="12" t="s">
        <v>1201</v>
      </c>
      <c r="D25" s="39" t="str">
        <f>HYPERLINK("https://www.gov.uk/guidance/how-to-publish-on-gov-uk/introduction-and-access-to-whitehall-publisher","Introduction and access to Whitehall publisher")</f>
        <v>Introduction and access to Whitehall publisher</v>
      </c>
      <c r="E25" s="40" t="s">
        <v>1206</v>
      </c>
      <c r="F25" s="95"/>
      <c r="G25" s="96"/>
    </row>
    <row r="26" spans="1:7" ht="52" customHeight="1">
      <c r="A26" s="263" t="s">
        <v>1208</v>
      </c>
      <c r="B26" s="12" t="s">
        <v>1209</v>
      </c>
      <c r="C26" s="12" t="s">
        <v>1211</v>
      </c>
      <c r="D26" s="151" t="str">
        <f>HYPERLINK("https://www.gov.uk/guidance/how-to-publish-on-gov-uk/reviewing-and-approving-content","Reviewing and publishing content")</f>
        <v>Reviewing and publishing content</v>
      </c>
      <c r="E26" s="154" t="s">
        <v>1217</v>
      </c>
      <c r="F26" s="95"/>
      <c r="G26" s="96"/>
    </row>
    <row r="27" spans="1:7" ht="57" customHeight="1">
      <c r="A27" s="224"/>
      <c r="B27" s="12" t="s">
        <v>1218</v>
      </c>
      <c r="C27" s="12" t="s">
        <v>1219</v>
      </c>
      <c r="D27" s="41"/>
      <c r="E27" s="40"/>
      <c r="F27" s="95"/>
      <c r="G27" s="96"/>
    </row>
    <row r="28" spans="1:7" ht="73" customHeight="1">
      <c r="A28" s="9" t="s">
        <v>1221</v>
      </c>
      <c r="B28" s="22" t="s">
        <v>1223</v>
      </c>
      <c r="C28" s="16" t="s">
        <v>1224</v>
      </c>
      <c r="D28" s="152" t="str">
        <f>HYPERLINK("https://www.gov.uk/guidance/content-design/data-and-analytics","Data and analytics")</f>
        <v>Data and analytics</v>
      </c>
      <c r="E28" s="89" t="s">
        <v>1228</v>
      </c>
      <c r="F28" s="155"/>
      <c r="G28" s="156"/>
    </row>
    <row r="29" spans="1:7" ht="33" customHeight="1">
      <c r="A29" s="215" t="str">
        <f>HYPERLINK("https://www.nationalarchives.gov.uk/doc/open-government-licence/version/3/","All content is available under the Open Government Licence v3.0, except where otherwise stated")</f>
        <v>All content is available under the Open Government Licence v3.0, except where otherwise stated</v>
      </c>
      <c r="B29" s="216"/>
      <c r="C29" s="216"/>
      <c r="D29" s="7"/>
      <c r="E29" s="7"/>
      <c r="F29" s="7"/>
      <c r="G29" s="7"/>
    </row>
  </sheetData>
  <mergeCells count="18">
    <mergeCell ref="B1:C1"/>
    <mergeCell ref="A4:C4"/>
    <mergeCell ref="A8:A9"/>
    <mergeCell ref="A6:A7"/>
    <mergeCell ref="B10:B11"/>
    <mergeCell ref="A10:A13"/>
    <mergeCell ref="C10:C11"/>
    <mergeCell ref="B2:C2"/>
    <mergeCell ref="B3:C3"/>
    <mergeCell ref="F4:G4"/>
    <mergeCell ref="A14:A16"/>
    <mergeCell ref="A17:A20"/>
    <mergeCell ref="A26:A27"/>
    <mergeCell ref="A29:C29"/>
    <mergeCell ref="A24:A25"/>
    <mergeCell ref="C17:C19"/>
    <mergeCell ref="B17:B19"/>
    <mergeCell ref="A21:A22"/>
  </mergeCells>
  <phoneticPr fontId="11" type="noConversion"/>
  <hyperlinks>
    <hyperlink ref="B1" r:id="rId1" display="https://www.gov.uk/service-manual/the-team/content-designer.html"/>
    <hyperlink ref="D6" r:id="rId2" display="https://www.gov.uk/design-principles"/>
    <hyperlink ref="F6" r:id="rId3" display="https://www.gov.uk/guidance/content-design"/>
    <hyperlink ref="D9" r:id="rId4" display="https://www.gov.uk/government/publications/govuk-proposition"/>
    <hyperlink ref="F7" r:id="rId5" display="https://www.gov.uk/guidance/how-to-publish-on-gov-uk"/>
    <hyperlink ref="D10" r:id="rId6" display="https://www.gov.uk/guidance/content-design/planning-content"/>
    <hyperlink ref="F8" r:id="rId7" display="http://www.meetup.com/content-strategy-london/"/>
    <hyperlink ref="D11" r:id="rId8" display="https://www.gov.uk/guidance/content-design/user-needs"/>
    <hyperlink ref="F9" r:id="rId9" display="https://www.gov.uk/guidance/content-design/research-and-evidence"/>
    <hyperlink ref="F10" r:id="rId10" display="https://gds.blog.gov.uk/2014/06/13/13-interesting-things-about-how-we-do-content-design/"/>
    <hyperlink ref="F11" r:id="rId11" display="https://www.gov.uk/government/publications/govuk-content-principles-conventions-and-research-background"/>
    <hyperlink ref="D17" r:id="rId12" display="https://www.gov.uk/guidance/content-design/writing-for-gov-uk"/>
    <hyperlink ref="D18" r:id="rId13" display="https://www.gov.uk/service-manual/user-centred-design/how-users-read.html"/>
    <hyperlink ref="D19" r:id="rId14" display="https://www.gov.uk/guidance/style-guide"/>
    <hyperlink ref="D20" r:id="rId15" display="https://www.gov.uk/guidance/content-design/content-maintenance"/>
    <hyperlink ref="D24" r:id="rId16" display="https://www.gov.uk/guidance/how-to-publish-on-gov-uk/markdown"/>
    <hyperlink ref="D25" r:id="rId17" display="https://www.gov.uk/guidance/how-to-publish-on-gov-uk/introduction-and-access-to-whitehall-publisher"/>
    <hyperlink ref="D26" r:id="rId18" display="https://www.gov.uk/guidance/how-to-publish-on-gov-uk/reviewing-and-approving-content"/>
    <hyperlink ref="D28" r:id="rId19" display="https://www.gov.uk/guidance/content-design/data-and-analytics"/>
    <hyperlink ref="A29" r:id="rId20" display="https://www.nationalarchives.gov.uk/doc/open-government-licence/version/3/"/>
  </hyperlinks>
  <pageMargins left="0.75" right="0.75" top="1" bottom="1" header="0.5" footer="0.5"/>
  <pageSetup paperSize="9" orientation="portrait" horizontalDpi="4294967292" verticalDpi="4294967292"/>
  <drawing r:id="rId2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pane ySplit="5" topLeftCell="A6" activePane="bottomLeft" state="frozen"/>
      <selection pane="bottomLeft" activeCell="F16" sqref="F16"/>
    </sheetView>
  </sheetViews>
  <sheetFormatPr baseColWidth="10" defaultColWidth="14.5" defaultRowHeight="15.75" customHeight="1" x14ac:dyDescent="0"/>
  <cols>
    <col min="1" max="1" width="28.5" style="10" customWidth="1"/>
    <col min="2" max="2" width="128" style="10" customWidth="1"/>
    <col min="3" max="3" width="11.5" style="10" customWidth="1"/>
    <col min="4" max="4" width="33.5" style="10" customWidth="1"/>
    <col min="5" max="5" width="50.83203125" style="10" customWidth="1"/>
    <col min="6" max="6" width="36.5" style="10" customWidth="1"/>
    <col min="7" max="7" width="46.5" style="10" customWidth="1"/>
    <col min="8" max="16384" width="14.5" style="10"/>
  </cols>
  <sheetData>
    <row r="1" spans="1:7" ht="38" customHeight="1">
      <c r="A1" s="1" t="s">
        <v>588</v>
      </c>
      <c r="B1" s="288" t="str">
        <f>HYPERLINK("https://www.gov.uk/service-manual/the-team/recruitment/performance-analyst-jd","Performance Analysis")</f>
        <v>Performance Analysis</v>
      </c>
      <c r="C1" s="271"/>
      <c r="D1" s="127"/>
      <c r="E1" s="47"/>
      <c r="F1" s="47"/>
      <c r="G1" s="48"/>
    </row>
    <row r="2" spans="1:7" ht="94" customHeight="1">
      <c r="A2" s="1" t="s">
        <v>629</v>
      </c>
      <c r="B2" s="283" t="s">
        <v>632</v>
      </c>
      <c r="C2" s="273"/>
      <c r="D2" s="67"/>
      <c r="E2" s="45"/>
      <c r="F2" s="45"/>
      <c r="G2" s="50"/>
    </row>
    <row r="3" spans="1:7" ht="32" customHeight="1" thickBot="1">
      <c r="A3" s="1" t="s">
        <v>651</v>
      </c>
      <c r="B3" s="253" t="s">
        <v>654</v>
      </c>
      <c r="C3" s="254"/>
      <c r="D3" s="68"/>
      <c r="E3" s="52"/>
      <c r="F3" s="45"/>
      <c r="G3" s="50"/>
    </row>
    <row r="4" spans="1:7" ht="26.25" customHeight="1">
      <c r="A4" s="277" t="s">
        <v>686</v>
      </c>
      <c r="B4" s="278"/>
      <c r="C4" s="279"/>
      <c r="D4" s="15" t="s">
        <v>1350</v>
      </c>
      <c r="E4" s="2"/>
      <c r="F4" s="239" t="s">
        <v>1351</v>
      </c>
      <c r="G4" s="240"/>
    </row>
    <row r="5" spans="1:7" ht="26.25" customHeight="1">
      <c r="A5" s="44" t="s">
        <v>1139</v>
      </c>
      <c r="B5" s="1" t="s">
        <v>1158</v>
      </c>
      <c r="C5" s="1" t="s">
        <v>1159</v>
      </c>
      <c r="D5" s="4" t="s">
        <v>1161</v>
      </c>
      <c r="E5" s="15" t="s">
        <v>1177</v>
      </c>
      <c r="F5" s="36" t="s">
        <v>1178</v>
      </c>
      <c r="G5" s="37" t="s">
        <v>1229</v>
      </c>
    </row>
    <row r="6" spans="1:7" ht="135" customHeight="1">
      <c r="A6" s="223" t="s">
        <v>1230</v>
      </c>
      <c r="B6" s="11" t="s">
        <v>1231</v>
      </c>
      <c r="C6" s="12" t="s">
        <v>1232</v>
      </c>
      <c r="D6" s="39" t="str">
        <f>HYPERLINK("https://www.gov.uk/service-manual/performance-analysts","Resources for performance analytics")</f>
        <v>Resources for performance analytics</v>
      </c>
      <c r="E6" s="40" t="s">
        <v>1233</v>
      </c>
      <c r="F6" s="121" t="str">
        <f>HYPERLINK("http://www.digitalanalyticsassociation.org/","Digital Analytics Association (DAA)")</f>
        <v>Digital Analytics Association (DAA)</v>
      </c>
      <c r="G6" s="160" t="s">
        <v>1234</v>
      </c>
    </row>
    <row r="7" spans="1:7" ht="99" customHeight="1" thickBot="1">
      <c r="A7" s="224"/>
      <c r="B7" s="11" t="s">
        <v>1238</v>
      </c>
      <c r="C7" s="12" t="s">
        <v>1239</v>
      </c>
      <c r="D7" s="39" t="str">
        <f>HYPERLINK("https://gdsdata.blog.gov.uk/","GDS data blog")</f>
        <v>GDS data blog</v>
      </c>
      <c r="E7" s="159" t="s">
        <v>1240</v>
      </c>
      <c r="F7" s="134" t="str">
        <f>HYPERLINK("https://analyticsacademy.withgoogle.com/explorer","Analytics Academy")</f>
        <v>Analytics Academy</v>
      </c>
      <c r="G7" s="135" t="s">
        <v>1306</v>
      </c>
    </row>
    <row r="8" spans="1:7" ht="75" customHeight="1">
      <c r="A8" s="9" t="s">
        <v>1252</v>
      </c>
      <c r="B8" s="11" t="s">
        <v>1253</v>
      </c>
      <c r="C8" s="12" t="s">
        <v>1254</v>
      </c>
      <c r="D8" s="41"/>
      <c r="E8" s="40"/>
      <c r="F8" s="121" t="str">
        <f>HYPERLINK("http://www.google.com/intl/en/analytics/learn/setupchecklist.html","Google Analytics")</f>
        <v>Google Analytics</v>
      </c>
      <c r="G8" s="124" t="s">
        <v>1255</v>
      </c>
    </row>
    <row r="9" spans="1:7" ht="51" customHeight="1">
      <c r="A9" s="223" t="s">
        <v>1256</v>
      </c>
      <c r="B9" s="11" t="s">
        <v>1257</v>
      </c>
      <c r="C9" s="12" t="s">
        <v>1258</v>
      </c>
      <c r="D9" s="41"/>
      <c r="E9" s="40"/>
      <c r="F9" s="121" t="str">
        <f>HYPERLINK("https://www.youtube.com/watch?v=ZkjP5RJLQF4","Linear Regression")</f>
        <v>Linear Regression</v>
      </c>
      <c r="G9" s="124" t="s">
        <v>1260</v>
      </c>
    </row>
    <row r="10" spans="1:7" ht="58" customHeight="1">
      <c r="A10" s="224"/>
      <c r="B10" s="11" t="s">
        <v>1264</v>
      </c>
      <c r="C10" s="12" t="s">
        <v>1265</v>
      </c>
      <c r="D10" s="41"/>
      <c r="E10" s="40"/>
      <c r="F10" s="121" t="str">
        <f>HYPERLINK("http://www.stats.gla.ac.uk/steps/glossary/hypothesis_testing.html","Hypothesis testing")</f>
        <v>Hypothesis testing</v>
      </c>
      <c r="G10" s="124" t="s">
        <v>1269</v>
      </c>
    </row>
    <row r="11" spans="1:7" ht="65" customHeight="1">
      <c r="A11" s="223" t="s">
        <v>1270</v>
      </c>
      <c r="B11" s="11" t="s">
        <v>1271</v>
      </c>
      <c r="C11" s="12" t="s">
        <v>1272</v>
      </c>
      <c r="D11" s="41"/>
      <c r="E11" s="40"/>
      <c r="F11" s="121" t="str">
        <f>HYPERLINK("https://www.linkedin.com/groups/Web-Analytics-Wednesday-WAW-London-36182/about","Web Analytics Wednesday")</f>
        <v>Web Analytics Wednesday</v>
      </c>
      <c r="G11" s="124" t="s">
        <v>1274</v>
      </c>
    </row>
    <row r="12" spans="1:7" ht="97" customHeight="1">
      <c r="A12" s="224"/>
      <c r="B12" s="11" t="s">
        <v>1275</v>
      </c>
      <c r="C12" s="12" t="s">
        <v>1276</v>
      </c>
      <c r="D12" s="41"/>
      <c r="E12" s="40"/>
      <c r="F12" s="121" t="str">
        <f>HYPERLINK("http://linkydink.io/groups/digital-analytics-for-uk-government-services","Digital analytics for UK Government Services")</f>
        <v>Digital analytics for UK Government Services</v>
      </c>
      <c r="G12" s="124" t="s">
        <v>1277</v>
      </c>
    </row>
    <row r="13" spans="1:7" ht="56" customHeight="1">
      <c r="A13" s="223" t="s">
        <v>1278</v>
      </c>
      <c r="B13" s="11" t="s">
        <v>1399</v>
      </c>
      <c r="C13" s="12" t="s">
        <v>1279</v>
      </c>
      <c r="D13" s="41"/>
      <c r="E13" s="40"/>
      <c r="F13" s="121" t="str">
        <f>HYPERLINK("http://cutroni.com/","Analytics talk")</f>
        <v>Analytics talk</v>
      </c>
      <c r="G13" s="124" t="s">
        <v>1417</v>
      </c>
    </row>
    <row r="14" spans="1:7" ht="64" customHeight="1">
      <c r="A14" s="224"/>
      <c r="B14" s="11" t="s">
        <v>1280</v>
      </c>
      <c r="C14" s="12" t="s">
        <v>1281</v>
      </c>
      <c r="D14" s="41"/>
      <c r="E14" s="40"/>
      <c r="F14" s="121" t="str">
        <f>HYPERLINK("http://www.measurecamp.org/","MeasureCamp")</f>
        <v>MeasureCamp</v>
      </c>
      <c r="G14" s="124" t="s">
        <v>1323</v>
      </c>
    </row>
    <row r="15" spans="1:7" ht="58" customHeight="1">
      <c r="A15" s="223" t="s">
        <v>1283</v>
      </c>
      <c r="B15" s="11" t="s">
        <v>1284</v>
      </c>
      <c r="C15" s="12" t="s">
        <v>1285</v>
      </c>
      <c r="D15" s="39" t="str">
        <f>HYPERLINK("https://www.gov.uk/service-manual/measurement/index.html","Measurement")</f>
        <v>Measurement</v>
      </c>
      <c r="E15" s="40" t="s">
        <v>1286</v>
      </c>
      <c r="F15" s="121" t="str">
        <f>HYPERLINK("https://www.gov.uk/service-manual/measurement/cost-per-transaction.html","Measuring cost per transaction")</f>
        <v>Measuring cost per transaction</v>
      </c>
      <c r="G15" s="124" t="s">
        <v>1288</v>
      </c>
    </row>
    <row r="16" spans="1:7" ht="131" customHeight="1">
      <c r="A16" s="224"/>
      <c r="B16" s="11" t="s">
        <v>1400</v>
      </c>
      <c r="C16" s="12" t="s">
        <v>1291</v>
      </c>
      <c r="D16" s="39" t="str">
        <f>HYPERLINK("https://gds.blog.gov.uk/category/measurement-analytics/","Measurement and analytics")</f>
        <v>Measurement and analytics</v>
      </c>
      <c r="E16" s="157" t="s">
        <v>1293</v>
      </c>
      <c r="F16" s="121"/>
      <c r="G16" s="208"/>
    </row>
    <row r="17" spans="1:7" ht="114" customHeight="1">
      <c r="A17" s="224"/>
      <c r="B17" s="11" t="s">
        <v>1297</v>
      </c>
      <c r="C17" s="12" t="s">
        <v>1298</v>
      </c>
      <c r="D17" s="39" t="str">
        <f>HYPERLINK("https://www.gov.uk/service-manual/measurement/other-kpis.html","Key performance indicators")</f>
        <v>Key performance indicators</v>
      </c>
      <c r="E17" s="40" t="s">
        <v>1304</v>
      </c>
      <c r="F17" s="95"/>
      <c r="G17" s="96"/>
    </row>
    <row r="18" spans="1:7" ht="83" customHeight="1">
      <c r="A18" s="231" t="s">
        <v>1308</v>
      </c>
      <c r="B18" s="241" t="s">
        <v>1310</v>
      </c>
      <c r="C18" s="255" t="s">
        <v>1311</v>
      </c>
      <c r="D18" s="39" t="str">
        <f>HYPERLINK("https://www.gov.uk/performance","GOV.UK Performance Platform")</f>
        <v>GOV.UK Performance Platform</v>
      </c>
      <c r="E18" s="40"/>
      <c r="F18" s="95"/>
      <c r="G18" s="158"/>
    </row>
    <row r="19" spans="1:7" ht="41.25" customHeight="1">
      <c r="A19" s="232"/>
      <c r="B19" s="230"/>
      <c r="C19" s="232"/>
      <c r="D19" s="39" t="str">
        <f>HYPERLINK("https://www.gov.uk/service-manual/measurement/performance-platform.html","Displaying performance metrics")</f>
        <v>Displaying performance metrics</v>
      </c>
      <c r="E19" s="40"/>
      <c r="F19" s="95"/>
      <c r="G19" s="158"/>
    </row>
    <row r="20" spans="1:7" ht="70" customHeight="1">
      <c r="A20" s="224"/>
      <c r="B20" s="12" t="s">
        <v>1313</v>
      </c>
      <c r="C20" s="12" t="s">
        <v>1314</v>
      </c>
      <c r="D20" s="39" t="str">
        <f>HYPERLINK("https://www.gov.uk/service-manual/user-centred-design/data-visualisation.html","Data visualisation")</f>
        <v>Data visualisation</v>
      </c>
      <c r="E20" s="40" t="s">
        <v>1315</v>
      </c>
      <c r="F20" s="95"/>
      <c r="G20" s="158"/>
    </row>
    <row r="21" spans="1:7" ht="67" customHeight="1">
      <c r="A21" s="224"/>
      <c r="B21" s="12" t="s">
        <v>1316</v>
      </c>
      <c r="C21" s="12" t="s">
        <v>1317</v>
      </c>
      <c r="D21" s="41"/>
      <c r="E21" s="40"/>
      <c r="F21" s="95"/>
      <c r="G21" s="158"/>
    </row>
    <row r="22" spans="1:7" ht="41.25" customHeight="1">
      <c r="A22" s="224"/>
      <c r="B22" s="12" t="s">
        <v>1318</v>
      </c>
      <c r="C22" s="12" t="s">
        <v>1319</v>
      </c>
      <c r="D22" s="41"/>
      <c r="E22" s="40"/>
      <c r="F22" s="95"/>
      <c r="G22" s="158"/>
    </row>
    <row r="23" spans="1:7" ht="84" customHeight="1">
      <c r="A23" s="9" t="s">
        <v>1320</v>
      </c>
      <c r="B23" s="11" t="s">
        <v>1321</v>
      </c>
      <c r="C23" s="12" t="s">
        <v>1322</v>
      </c>
      <c r="D23" s="41"/>
      <c r="E23" s="40"/>
      <c r="F23" s="116"/>
      <c r="G23" s="138"/>
    </row>
    <row r="24" spans="1:7" ht="41.25" customHeight="1">
      <c r="A24" s="223" t="s">
        <v>1324</v>
      </c>
      <c r="B24" s="12" t="s">
        <v>1325</v>
      </c>
      <c r="C24" s="12" t="s">
        <v>1326</v>
      </c>
      <c r="D24" s="39" t="str">
        <f>HYPERLINK("https://www.gov.uk/service-manual/making-software/analytics-tools.html","Analytics tools")</f>
        <v>Analytics tools</v>
      </c>
      <c r="E24" s="40" t="s">
        <v>1327</v>
      </c>
      <c r="F24" s="95"/>
      <c r="G24" s="96"/>
    </row>
    <row r="25" spans="1:7" ht="58" customHeight="1">
      <c r="A25" s="224"/>
      <c r="B25" s="12" t="s">
        <v>1328</v>
      </c>
      <c r="C25" s="12" t="s">
        <v>1329</v>
      </c>
      <c r="D25" s="41"/>
      <c r="E25" s="40"/>
      <c r="F25" s="95"/>
      <c r="G25" s="96"/>
    </row>
    <row r="26" spans="1:7" ht="67" customHeight="1">
      <c r="A26" s="9" t="s">
        <v>1330</v>
      </c>
      <c r="B26" s="11" t="s">
        <v>1331</v>
      </c>
      <c r="C26" s="12" t="s">
        <v>1332</v>
      </c>
      <c r="D26" s="41"/>
      <c r="E26" s="40"/>
      <c r="F26" s="95"/>
      <c r="G26" s="96"/>
    </row>
    <row r="27" spans="1:7" ht="69" customHeight="1">
      <c r="A27" s="9" t="s">
        <v>1333</v>
      </c>
      <c r="B27" s="12" t="s">
        <v>1334</v>
      </c>
      <c r="C27" s="12" t="s">
        <v>1335</v>
      </c>
      <c r="D27" s="41"/>
      <c r="E27" s="40"/>
      <c r="F27" s="95"/>
      <c r="G27" s="96"/>
    </row>
    <row r="28" spans="1:7" ht="41.25" customHeight="1">
      <c r="A28" s="223" t="s">
        <v>1336</v>
      </c>
      <c r="B28" s="12" t="s">
        <v>1337</v>
      </c>
      <c r="C28" s="12" t="s">
        <v>1338</v>
      </c>
      <c r="D28" s="41"/>
      <c r="E28" s="40"/>
      <c r="F28" s="95"/>
      <c r="G28" s="96"/>
    </row>
    <row r="29" spans="1:7" ht="52" customHeight="1">
      <c r="A29" s="224"/>
      <c r="B29" s="12" t="s">
        <v>1339</v>
      </c>
      <c r="C29" s="12" t="s">
        <v>1340</v>
      </c>
      <c r="D29" s="41"/>
      <c r="E29" s="40"/>
      <c r="F29" s="95"/>
      <c r="G29" s="96"/>
    </row>
    <row r="30" spans="1:7" ht="74" customHeight="1">
      <c r="A30" s="9" t="s">
        <v>1341</v>
      </c>
      <c r="B30" s="12" t="s">
        <v>1342</v>
      </c>
      <c r="C30" s="12" t="s">
        <v>1343</v>
      </c>
      <c r="D30" s="39" t="str">
        <f>HYPERLINK("https://gds.blog.gov.uk/2014/05/09/using-ab-testing-to-make-things-better/","Using A/B testing")</f>
        <v>Using A/B testing</v>
      </c>
      <c r="E30" s="40" t="s">
        <v>1344</v>
      </c>
      <c r="F30" s="95"/>
      <c r="G30" s="96"/>
    </row>
    <row r="31" spans="1:7" ht="74" customHeight="1">
      <c r="A31" s="9" t="s">
        <v>1345</v>
      </c>
      <c r="B31" s="12" t="s">
        <v>1346</v>
      </c>
      <c r="C31" s="12" t="s">
        <v>1347</v>
      </c>
      <c r="D31" s="41"/>
      <c r="E31" s="40"/>
      <c r="F31" s="99"/>
      <c r="G31" s="100"/>
    </row>
    <row r="32" spans="1:7" ht="38" customHeight="1">
      <c r="A32" s="215" t="str">
        <f>HYPERLINK("https://www.nationalarchives.gov.uk/doc/open-government-licence/version/3/","All content is available under the Open Government Licence v3.0, except where otherwise stated")</f>
        <v>All content is available under the Open Government Licence v3.0, except where otherwise stated</v>
      </c>
      <c r="B32" s="216"/>
      <c r="C32" s="216"/>
      <c r="D32" s="7"/>
      <c r="E32" s="7"/>
      <c r="F32" s="7"/>
      <c r="G32" s="7"/>
    </row>
  </sheetData>
  <mergeCells count="16">
    <mergeCell ref="A24:A25"/>
    <mergeCell ref="A28:A29"/>
    <mergeCell ref="A32:C32"/>
    <mergeCell ref="A15:A17"/>
    <mergeCell ref="B18:B19"/>
    <mergeCell ref="C18:C19"/>
    <mergeCell ref="A13:A14"/>
    <mergeCell ref="A9:A10"/>
    <mergeCell ref="A6:A7"/>
    <mergeCell ref="A11:A12"/>
    <mergeCell ref="A18:A22"/>
    <mergeCell ref="B1:C1"/>
    <mergeCell ref="B2:C2"/>
    <mergeCell ref="B3:C3"/>
    <mergeCell ref="A4:C4"/>
    <mergeCell ref="F4:G4"/>
  </mergeCells>
  <phoneticPr fontId="11" type="noConversion"/>
  <hyperlinks>
    <hyperlink ref="B1" r:id="rId1" display="https://www.gov.uk/service-manual/the-team/recruitment/performance-analyst-jd"/>
    <hyperlink ref="D6" r:id="rId2" display="https://www.gov.uk/service-manual/performance-analysts"/>
    <hyperlink ref="F6" r:id="rId3" display="http://www.digitalanalyticsassociation.org/"/>
    <hyperlink ref="D7" r:id="rId4" display="https://gdsdata.blog.gov.uk/"/>
    <hyperlink ref="F8" r:id="rId5" display="http://www.google.com/intl/en/analytics/learn/setupchecklist.html"/>
    <hyperlink ref="F9" r:id="rId6" display="https://www.youtube.com/watch?v=ZkjP5RJLQF4"/>
    <hyperlink ref="F10" r:id="rId7" display="http://www.stats.gla.ac.uk/steps/glossary/hypothesis_testing.html"/>
    <hyperlink ref="F11" r:id="rId8" display="https://www.linkedin.com/groups/Web-Analytics-Wednesday-WAW-London-36182/about"/>
    <hyperlink ref="F12" r:id="rId9" display="http://linkydink.io/groups/digital-analytics-for-uk-government-services"/>
    <hyperlink ref="F13" r:id="rId10" display="http://cutroni.com/"/>
    <hyperlink ref="D15" r:id="rId11" display="https://www.gov.uk/service-manual/measurement/index.html"/>
    <hyperlink ref="F15" r:id="rId12" display="https://www.gov.uk/service-manual/measurement/cost-per-transaction.html"/>
    <hyperlink ref="D16" r:id="rId13" display="https://gds.blog.gov.uk/category/measurement-analytics/"/>
    <hyperlink ref="D17" r:id="rId14" display="https://www.gov.uk/service-manual/measurement/other-kpis.html"/>
    <hyperlink ref="F7" r:id="rId15" display="https://analyticsacademy.withgoogle.com/explorer"/>
    <hyperlink ref="D18" r:id="rId16" display="https://www.gov.uk/performance"/>
    <hyperlink ref="D19" r:id="rId17" display="https://www.gov.uk/service-manual/measurement/performance-platform.html"/>
    <hyperlink ref="D20" r:id="rId18" display="https://www.gov.uk/service-manual/user-centred-design/data-visualisation.html"/>
    <hyperlink ref="F14" r:id="rId19" display="http://www.measurecamp.org/"/>
    <hyperlink ref="D24" r:id="rId20" display="https://www.gov.uk/service-manual/making-software/analytics-tools.html"/>
    <hyperlink ref="D30" r:id="rId21" display="https://gds.blog.gov.uk/2014/05/09/using-ab-testing-to-make-things-better/"/>
    <hyperlink ref="A32" r:id="rId22" display="https://www.nationalarchives.gov.uk/doc/open-government-licence/version/3/"/>
  </hyperlinks>
  <pageMargins left="0.75" right="0.75" top="1" bottom="1" header="0.5" footer="0.5"/>
  <pageSetup paperSize="9" orientation="portrait" horizontalDpi="4294967292" verticalDpi="4294967292"/>
  <drawing r:id="rId2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pane ySplit="5" topLeftCell="A6" activePane="bottomLeft" state="frozen"/>
      <selection pane="bottomLeft" activeCell="B24" sqref="B24"/>
    </sheetView>
  </sheetViews>
  <sheetFormatPr baseColWidth="10" defaultColWidth="14.5" defaultRowHeight="15.75" customHeight="1" x14ac:dyDescent="0"/>
  <cols>
    <col min="1" max="1" width="22.5" style="10" customWidth="1"/>
    <col min="2" max="2" width="135.6640625" style="10" customWidth="1"/>
    <col min="3" max="3" width="14.1640625" style="10" customWidth="1"/>
    <col min="4" max="4" width="26.1640625" style="10" customWidth="1"/>
    <col min="5" max="5" width="39.5" style="10" customWidth="1"/>
    <col min="6" max="6" width="27.5" style="10" customWidth="1"/>
    <col min="7" max="7" width="38" style="10" customWidth="1"/>
    <col min="8" max="16384" width="14.5" style="10"/>
  </cols>
  <sheetData>
    <row r="1" spans="1:7" ht="38" customHeight="1">
      <c r="A1" s="1" t="s">
        <v>626</v>
      </c>
      <c r="B1" s="288" t="str">
        <f>HYPERLINK("https://www.gov.uk/service-manual/measurement/using-data.html","Data")</f>
        <v>Data</v>
      </c>
      <c r="C1" s="271"/>
      <c r="D1" s="127"/>
      <c r="E1" s="47"/>
      <c r="F1" s="47"/>
      <c r="G1" s="48"/>
    </row>
    <row r="2" spans="1:7" ht="84" customHeight="1">
      <c r="A2" s="1" t="s">
        <v>637</v>
      </c>
      <c r="B2" s="283" t="s">
        <v>642</v>
      </c>
      <c r="C2" s="273"/>
      <c r="D2" s="67"/>
      <c r="E2" s="45"/>
      <c r="F2" s="45"/>
      <c r="G2" s="50"/>
    </row>
    <row r="3" spans="1:7" ht="53" customHeight="1" thickBot="1">
      <c r="A3" s="1" t="s">
        <v>643</v>
      </c>
      <c r="B3" s="253" t="s">
        <v>645</v>
      </c>
      <c r="C3" s="254"/>
      <c r="D3" s="68"/>
      <c r="E3" s="52"/>
      <c r="F3" s="45"/>
      <c r="G3" s="50"/>
    </row>
    <row r="4" spans="1:7" ht="30" customHeight="1">
      <c r="A4" s="277" t="s">
        <v>647</v>
      </c>
      <c r="B4" s="278"/>
      <c r="C4" s="279"/>
      <c r="D4" s="15" t="s">
        <v>1350</v>
      </c>
      <c r="E4" s="2"/>
      <c r="F4" s="239" t="s">
        <v>1351</v>
      </c>
      <c r="G4" s="240"/>
    </row>
    <row r="5" spans="1:7" ht="26.25" customHeight="1">
      <c r="A5" s="44" t="s">
        <v>648</v>
      </c>
      <c r="B5" s="1" t="s">
        <v>649</v>
      </c>
      <c r="C5" s="1" t="s">
        <v>650</v>
      </c>
      <c r="D5" s="4" t="s">
        <v>652</v>
      </c>
      <c r="E5" s="15" t="s">
        <v>653</v>
      </c>
      <c r="F5" s="36" t="s">
        <v>657</v>
      </c>
      <c r="G5" s="37" t="s">
        <v>659</v>
      </c>
    </row>
    <row r="6" spans="1:7" ht="51" customHeight="1">
      <c r="A6" s="223" t="s">
        <v>660</v>
      </c>
      <c r="B6" s="11" t="s">
        <v>661</v>
      </c>
      <c r="C6" s="11" t="s">
        <v>662</v>
      </c>
      <c r="D6" s="39" t="str">
        <f>HYPERLINK("https://www.gov.uk/service-manual/technology/open-data.html","Open data")</f>
        <v>Open data</v>
      </c>
      <c r="E6" s="40" t="s">
        <v>665</v>
      </c>
      <c r="F6" s="121" t="str">
        <f>HYPERLINK("https://gds.blog.gov.uk/2013/06/24/using-data-to-make-government-better/","Data Science in GDS")</f>
        <v>Data Science in GDS</v>
      </c>
      <c r="G6" s="124" t="s">
        <v>667</v>
      </c>
    </row>
    <row r="7" spans="1:7" ht="63" customHeight="1">
      <c r="A7" s="224"/>
      <c r="B7" s="11" t="s">
        <v>668</v>
      </c>
      <c r="C7" s="11" t="s">
        <v>670</v>
      </c>
      <c r="D7" s="39" t="str">
        <f>HYPERLINK("https://quarterly.blog.gov.uk/2014/01/30/open-data/","Open data")</f>
        <v>Open data</v>
      </c>
      <c r="E7" s="40" t="s">
        <v>677</v>
      </c>
      <c r="F7" s="121" t="str">
        <f>HYPERLINK("https://www.gov.uk/service-manual/measurement/using-data.html","Using Data")</f>
        <v>Using Data</v>
      </c>
      <c r="G7" s="161" t="s">
        <v>679</v>
      </c>
    </row>
    <row r="8" spans="1:7" ht="84" customHeight="1">
      <c r="A8" s="9" t="s">
        <v>681</v>
      </c>
      <c r="B8" s="12" t="s">
        <v>682</v>
      </c>
      <c r="C8" s="12" t="s">
        <v>683</v>
      </c>
      <c r="D8" s="41"/>
      <c r="E8" s="40"/>
      <c r="F8" s="121" t="str">
        <f>HYPERLINK("http://data.gov.uk/","Data.gov.uk")</f>
        <v>Data.gov.uk</v>
      </c>
      <c r="G8" s="124" t="s">
        <v>687</v>
      </c>
    </row>
    <row r="9" spans="1:7" ht="72" customHeight="1">
      <c r="A9" s="9" t="s">
        <v>689</v>
      </c>
      <c r="B9" s="12" t="s">
        <v>692</v>
      </c>
      <c r="C9" s="12" t="s">
        <v>693</v>
      </c>
      <c r="D9" s="41"/>
      <c r="E9" s="40"/>
      <c r="F9" s="121" t="str">
        <f>HYPERLINK("http://theodi.org/courses","Open Data Institute courses")</f>
        <v>Open Data Institute courses</v>
      </c>
      <c r="G9" s="124" t="s">
        <v>700</v>
      </c>
    </row>
    <row r="10" spans="1:7" ht="53" customHeight="1">
      <c r="A10" s="223" t="s">
        <v>694</v>
      </c>
      <c r="B10" s="12" t="s">
        <v>695</v>
      </c>
      <c r="C10" s="12" t="s">
        <v>696</v>
      </c>
      <c r="D10" s="41"/>
      <c r="E10" s="40"/>
      <c r="F10" s="162" t="str">
        <f>HYPERLINK("https://okfn.org/training/#get-in-touch","Open Knowledge courses")</f>
        <v>Open Knowledge courses</v>
      </c>
      <c r="G10" s="163" t="s">
        <v>704</v>
      </c>
    </row>
    <row r="11" spans="1:7" ht="51" customHeight="1">
      <c r="A11" s="224"/>
      <c r="B11" s="12" t="s">
        <v>698</v>
      </c>
      <c r="C11" s="12" t="s">
        <v>699</v>
      </c>
      <c r="D11" s="41"/>
      <c r="E11" s="40"/>
      <c r="F11" s="115"/>
      <c r="G11" s="137"/>
    </row>
    <row r="12" spans="1:7" ht="63" customHeight="1">
      <c r="A12" s="9" t="s">
        <v>701</v>
      </c>
      <c r="B12" s="11" t="s">
        <v>702</v>
      </c>
      <c r="C12" s="11" t="s">
        <v>703</v>
      </c>
      <c r="D12" s="41"/>
      <c r="E12" s="40"/>
      <c r="F12" s="116"/>
      <c r="G12" s="138"/>
    </row>
    <row r="13" spans="1:7" ht="70" customHeight="1">
      <c r="A13" s="9" t="s">
        <v>705</v>
      </c>
      <c r="B13" s="11" t="s">
        <v>706</v>
      </c>
      <c r="C13" s="11" t="s">
        <v>707</v>
      </c>
      <c r="D13" s="41"/>
      <c r="E13" s="40"/>
      <c r="F13" s="95"/>
      <c r="G13" s="96"/>
    </row>
    <row r="14" spans="1:7" ht="68" customHeight="1">
      <c r="A14" s="9" t="s">
        <v>708</v>
      </c>
      <c r="B14" s="11" t="s">
        <v>709</v>
      </c>
      <c r="C14" s="11" t="s">
        <v>710</v>
      </c>
      <c r="D14" s="41"/>
      <c r="E14" s="40"/>
      <c r="F14" s="95"/>
      <c r="G14" s="96"/>
    </row>
    <row r="15" spans="1:7" ht="69" customHeight="1">
      <c r="A15" s="9" t="s">
        <v>714</v>
      </c>
      <c r="B15" s="11" t="s">
        <v>716</v>
      </c>
      <c r="C15" s="11" t="s">
        <v>718</v>
      </c>
      <c r="D15" s="41"/>
      <c r="E15" s="40"/>
      <c r="F15" s="95"/>
      <c r="G15" s="96"/>
    </row>
    <row r="16" spans="1:7" ht="48" customHeight="1">
      <c r="A16" s="223" t="s">
        <v>719</v>
      </c>
      <c r="B16" s="11" t="s">
        <v>720</v>
      </c>
      <c r="C16" s="11" t="s">
        <v>721</v>
      </c>
      <c r="D16" s="41"/>
      <c r="E16" s="40"/>
      <c r="F16" s="95"/>
      <c r="G16" s="96"/>
    </row>
    <row r="17" spans="1:7" ht="71" customHeight="1">
      <c r="A17" s="224"/>
      <c r="B17" s="11" t="s">
        <v>722</v>
      </c>
      <c r="C17" s="11" t="s">
        <v>723</v>
      </c>
      <c r="D17" s="41"/>
      <c r="E17" s="40"/>
      <c r="F17" s="95"/>
      <c r="G17" s="96"/>
    </row>
    <row r="18" spans="1:7" ht="66" customHeight="1">
      <c r="A18" s="9" t="s">
        <v>724</v>
      </c>
      <c r="B18" s="11" t="s">
        <v>726</v>
      </c>
      <c r="C18" s="11" t="s">
        <v>727</v>
      </c>
      <c r="D18" s="41"/>
      <c r="E18" s="40"/>
      <c r="F18" s="95"/>
      <c r="G18" s="96"/>
    </row>
    <row r="19" spans="1:7" ht="44.25" customHeight="1">
      <c r="A19" s="9" t="s">
        <v>728</v>
      </c>
      <c r="B19" s="12" t="s">
        <v>730</v>
      </c>
      <c r="C19" s="11" t="s">
        <v>732</v>
      </c>
      <c r="D19" s="41"/>
      <c r="E19" s="40"/>
      <c r="F19" s="95"/>
      <c r="G19" s="96"/>
    </row>
    <row r="20" spans="1:7" ht="62" customHeight="1">
      <c r="A20" s="9" t="s">
        <v>734</v>
      </c>
      <c r="B20" s="11" t="s">
        <v>736</v>
      </c>
      <c r="C20" s="12" t="s">
        <v>737</v>
      </c>
      <c r="D20" s="41"/>
      <c r="E20" s="40"/>
      <c r="F20" s="95"/>
      <c r="G20" s="96"/>
    </row>
    <row r="21" spans="1:7" ht="73" customHeight="1">
      <c r="A21" s="9" t="s">
        <v>738</v>
      </c>
      <c r="B21" s="12" t="s">
        <v>739</v>
      </c>
      <c r="C21" s="11" t="s">
        <v>741</v>
      </c>
      <c r="D21" s="39" t="str">
        <f>HYPERLINK("https://quarterly.blog.gov.uk/2014/10/15/joining-the-dots/","Joining the dots")</f>
        <v>Joining the dots</v>
      </c>
      <c r="E21" s="129" t="s">
        <v>751</v>
      </c>
      <c r="F21" s="95"/>
      <c r="G21" s="96"/>
    </row>
    <row r="22" spans="1:7" ht="57" customHeight="1">
      <c r="A22" s="263" t="s">
        <v>767</v>
      </c>
      <c r="B22" s="11" t="s">
        <v>771</v>
      </c>
      <c r="C22" s="11" t="s">
        <v>772</v>
      </c>
      <c r="D22" s="41"/>
      <c r="E22" s="40"/>
      <c r="F22" s="95"/>
      <c r="G22" s="96"/>
    </row>
    <row r="23" spans="1:7" ht="44.25" customHeight="1">
      <c r="A23" s="224"/>
      <c r="B23" s="11" t="s">
        <v>778</v>
      </c>
      <c r="C23" s="11" t="s">
        <v>779</v>
      </c>
      <c r="D23" s="41"/>
      <c r="E23" s="40"/>
      <c r="F23" s="95"/>
      <c r="G23" s="96"/>
    </row>
    <row r="24" spans="1:7" ht="74" customHeight="1">
      <c r="A24" s="9" t="s">
        <v>784</v>
      </c>
      <c r="B24" s="11" t="s">
        <v>788</v>
      </c>
      <c r="C24" s="11" t="s">
        <v>789</v>
      </c>
      <c r="D24" s="39" t="str">
        <f>HYPERLINK("http://ico.org.uk/for_organisations/data_protection?hidecookiesbanner=true","Information Commissioner's Office guidelines on Data Protection")</f>
        <v>Information Commissioner's Office guidelines on Data Protection</v>
      </c>
      <c r="E24" s="40" t="s">
        <v>804</v>
      </c>
      <c r="F24" s="95"/>
      <c r="G24" s="96"/>
    </row>
    <row r="25" spans="1:7" ht="53" customHeight="1">
      <c r="A25" s="9" t="s">
        <v>808</v>
      </c>
      <c r="B25" s="11" t="s">
        <v>810</v>
      </c>
      <c r="C25" s="11" t="s">
        <v>811</v>
      </c>
      <c r="D25" s="41"/>
      <c r="E25" s="40"/>
      <c r="F25" s="95"/>
      <c r="G25" s="96"/>
    </row>
    <row r="26" spans="1:7" ht="69" customHeight="1">
      <c r="A26" s="9" t="s">
        <v>813</v>
      </c>
      <c r="B26" s="11" t="s">
        <v>814</v>
      </c>
      <c r="C26" s="11" t="s">
        <v>815</v>
      </c>
      <c r="D26" s="41"/>
      <c r="E26" s="40"/>
      <c r="F26" s="99"/>
      <c r="G26" s="100"/>
    </row>
    <row r="27" spans="1:7" ht="44.25" customHeight="1">
      <c r="A27" s="215" t="str">
        <f>HYPERLINK("https://www.nationalarchives.gov.uk/doc/open-government-licence/version/3/","All content is available under the Open Government Licence v3.0, except where otherwise stated")</f>
        <v>All content is available under the Open Government Licence v3.0, except where otherwise stated</v>
      </c>
      <c r="B27" s="216"/>
      <c r="C27" s="216"/>
      <c r="D27" s="7"/>
      <c r="E27" s="7"/>
      <c r="F27" s="7"/>
      <c r="G27" s="7"/>
    </row>
  </sheetData>
  <mergeCells count="10">
    <mergeCell ref="A27:C27"/>
    <mergeCell ref="A16:A17"/>
    <mergeCell ref="A4:C4"/>
    <mergeCell ref="A10:A11"/>
    <mergeCell ref="A6:A7"/>
    <mergeCell ref="B1:C1"/>
    <mergeCell ref="B2:C2"/>
    <mergeCell ref="B3:C3"/>
    <mergeCell ref="F4:G4"/>
    <mergeCell ref="A22:A23"/>
  </mergeCells>
  <phoneticPr fontId="11" type="noConversion"/>
  <hyperlinks>
    <hyperlink ref="B1" r:id="rId1" display="https://www.gov.uk/service-manual/measurement/using-data.html"/>
    <hyperlink ref="D6" r:id="rId2" display="https://www.gov.uk/service-manual/technology/open-data.html"/>
    <hyperlink ref="F6" r:id="rId3" display="https://gds.blog.gov.uk/2013/06/24/using-data-to-make-government-better/"/>
    <hyperlink ref="D7" r:id="rId4" display="https://quarterly.blog.gov.uk/2014/01/30/open-data/"/>
    <hyperlink ref="F7" r:id="rId5" display="https://www.gov.uk/service-manual/measurement/using-data.html"/>
    <hyperlink ref="F8" r:id="rId6" display="http://data.gov.uk/"/>
    <hyperlink ref="F9" r:id="rId7" display="http://theodi.org/courses"/>
    <hyperlink ref="F10" r:id="rId8" location="get-in-touch" display="https://okfn.org/training/ - get-in-touch"/>
    <hyperlink ref="D21" r:id="rId9" display="https://quarterly.blog.gov.uk/2014/10/15/joining-the-dots/"/>
    <hyperlink ref="D24" r:id="rId10" display="http://ico.org.uk/for_organisations/data_protection?hidecookiesbanner=true"/>
    <hyperlink ref="A27" r:id="rId11" display="https://www.nationalarchives.gov.uk/doc/open-government-licence/version/3/"/>
  </hyperlinks>
  <pageMargins left="0.75" right="0.75" top="1" bottom="1" header="0.5" footer="0.5"/>
  <pageSetup paperSize="9" orientation="portrait" horizontalDpi="4294967292" verticalDpi="4294967292"/>
  <drawing r:id="rId1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pane ySplit="6" topLeftCell="A7" activePane="bottomLeft" state="frozen"/>
      <selection pane="bottomLeft"/>
    </sheetView>
  </sheetViews>
  <sheetFormatPr baseColWidth="10" defaultColWidth="14.5" defaultRowHeight="15.75" customHeight="1" x14ac:dyDescent="0"/>
  <cols>
    <col min="1" max="1" width="22.5" style="10" customWidth="1"/>
    <col min="2" max="2" width="121" style="10" customWidth="1"/>
    <col min="3" max="3" width="13.5" style="10" customWidth="1"/>
    <col min="4" max="4" width="26.1640625" style="10" customWidth="1"/>
    <col min="5" max="5" width="47" style="10" customWidth="1"/>
    <col min="6" max="6" width="30.5" style="10" customWidth="1"/>
    <col min="7" max="7" width="39" style="10" customWidth="1"/>
    <col min="8" max="16384" width="14.5" style="10"/>
  </cols>
  <sheetData>
    <row r="1" spans="1:7" ht="35" customHeight="1">
      <c r="A1" s="14" t="s">
        <v>725</v>
      </c>
      <c r="B1" s="288" t="str">
        <f>HYPERLINK("https://www.gov.uk/service-manual/technology/architecture.html","Technical architecture")</f>
        <v>Technical architecture</v>
      </c>
      <c r="C1" s="271"/>
      <c r="D1" s="46"/>
      <c r="E1" s="47"/>
      <c r="F1" s="47"/>
      <c r="G1" s="48"/>
    </row>
    <row r="2" spans="1:7" ht="103" customHeight="1">
      <c r="A2" s="14" t="s">
        <v>742</v>
      </c>
      <c r="B2" s="283" t="s">
        <v>1412</v>
      </c>
      <c r="C2" s="273"/>
      <c r="D2" s="49"/>
      <c r="E2" s="45"/>
      <c r="F2" s="45"/>
      <c r="G2" s="50"/>
    </row>
    <row r="3" spans="1:7" ht="68" customHeight="1">
      <c r="A3" s="14" t="s">
        <v>743</v>
      </c>
      <c r="B3" s="253" t="s">
        <v>1389</v>
      </c>
      <c r="C3" s="254"/>
      <c r="D3" s="49"/>
      <c r="E3" s="45"/>
      <c r="F3" s="45"/>
      <c r="G3" s="50"/>
    </row>
    <row r="4" spans="1:7" ht="30" customHeight="1" thickBot="1">
      <c r="A4" s="14" t="s">
        <v>747</v>
      </c>
      <c r="B4" s="253" t="s">
        <v>748</v>
      </c>
      <c r="C4" s="254"/>
      <c r="D4" s="51"/>
      <c r="E4" s="52"/>
      <c r="F4" s="45"/>
      <c r="G4" s="50"/>
    </row>
    <row r="5" spans="1:7" ht="29" customHeight="1">
      <c r="A5" s="277" t="s">
        <v>754</v>
      </c>
      <c r="B5" s="278"/>
      <c r="C5" s="279"/>
      <c r="D5" s="77" t="s">
        <v>1350</v>
      </c>
      <c r="E5" s="101"/>
      <c r="F5" s="239" t="s">
        <v>1351</v>
      </c>
      <c r="G5" s="240"/>
    </row>
    <row r="6" spans="1:7" ht="26.25" customHeight="1" thickBot="1">
      <c r="A6" s="76" t="s">
        <v>762</v>
      </c>
      <c r="B6" s="14" t="s">
        <v>764</v>
      </c>
      <c r="C6" s="14" t="s">
        <v>765</v>
      </c>
      <c r="D6" s="4" t="s">
        <v>768</v>
      </c>
      <c r="E6" s="15" t="s">
        <v>769</v>
      </c>
      <c r="F6" s="102" t="s">
        <v>773</v>
      </c>
      <c r="G6" s="103" t="s">
        <v>775</v>
      </c>
    </row>
    <row r="7" spans="1:7" ht="54" customHeight="1">
      <c r="A7" s="223" t="s">
        <v>781</v>
      </c>
      <c r="B7" s="12" t="s">
        <v>785</v>
      </c>
      <c r="C7" s="12" t="s">
        <v>786</v>
      </c>
      <c r="D7" s="39" t="str">
        <f>HYPERLINK("https://www.gov.uk/service-manual/technology/architecture.html","Technology architecture")</f>
        <v>Technology architecture</v>
      </c>
      <c r="E7" s="40" t="s">
        <v>806</v>
      </c>
      <c r="F7" s="204" t="str">
        <f>HYPERLINK("http://www.computerweekly.com/feature/How-to-tame-the-new-IT-beast-called-DevOps?asrc=EM_MDN_32340805&amp;utm_medium=EM&amp;utm_source=MDN&amp;utm_campaign=20140804_Bitcoin%20mining%20firm%20CoinTerra%20signs%20multi-megawatt%20datacentre%20deal_","Computer Weekly")</f>
        <v>Computer Weekly</v>
      </c>
      <c r="G7" s="212" t="s">
        <v>835</v>
      </c>
    </row>
    <row r="8" spans="1:7" ht="51" customHeight="1" thickBot="1">
      <c r="A8" s="224"/>
      <c r="B8" s="12" t="s">
        <v>841</v>
      </c>
      <c r="C8" s="12" t="s">
        <v>842</v>
      </c>
      <c r="D8" s="39" t="str">
        <f>HYPERLINK("https://www.gov.uk/government/groups/horizon-scanning-programme-team","Horizon scanning")</f>
        <v>Horizon scanning</v>
      </c>
      <c r="E8" s="40" t="s">
        <v>850</v>
      </c>
      <c r="F8" s="134" t="str">
        <f>HYPERLINK("https://www.gov.uk/service-manual/technology/architecture.html","Service Manual")</f>
        <v>Service Manual</v>
      </c>
      <c r="G8" s="135" t="s">
        <v>853</v>
      </c>
    </row>
    <row r="9" spans="1:7" ht="51" customHeight="1" thickBot="1">
      <c r="A9" s="303" t="s">
        <v>1423</v>
      </c>
      <c r="B9" s="12" t="s">
        <v>856</v>
      </c>
      <c r="C9" s="12" t="s">
        <v>858</v>
      </c>
      <c r="D9" s="39" t="str">
        <f>HYPERLINK("https://www.gov.uk/service-manual/technology/service-integration.html","Service Integration")</f>
        <v>Service Integration</v>
      </c>
      <c r="E9" s="40" t="s">
        <v>866</v>
      </c>
      <c r="F9" s="134" t="str">
        <f>HYPERLINK("https://www.gov.uk/service-manual/technology/code-of-practice","Technology code of practice")</f>
        <v>Technology code of practice</v>
      </c>
      <c r="G9" s="135" t="s">
        <v>1421</v>
      </c>
    </row>
    <row r="10" spans="1:7" ht="58" customHeight="1">
      <c r="A10" s="224"/>
      <c r="B10" s="12" t="s">
        <v>871</v>
      </c>
      <c r="C10" s="12" t="s">
        <v>872</v>
      </c>
      <c r="D10" s="41"/>
      <c r="E10" s="40"/>
      <c r="F10" s="95"/>
      <c r="G10" s="96"/>
    </row>
    <row r="11" spans="1:7" ht="62" customHeight="1">
      <c r="A11" s="224"/>
      <c r="B11" s="12" t="s">
        <v>873</v>
      </c>
      <c r="C11" s="12" t="s">
        <v>874</v>
      </c>
      <c r="D11" s="41"/>
      <c r="E11" s="40"/>
      <c r="F11" s="95"/>
      <c r="G11" s="96"/>
    </row>
    <row r="12" spans="1:7" ht="39.75" customHeight="1">
      <c r="A12" s="224"/>
      <c r="B12" s="12" t="s">
        <v>876</v>
      </c>
      <c r="C12" s="12" t="s">
        <v>877</v>
      </c>
      <c r="D12" s="41"/>
      <c r="E12" s="40"/>
      <c r="F12" s="95"/>
      <c r="G12" s="96"/>
    </row>
    <row r="13" spans="1:7" ht="74" customHeight="1">
      <c r="A13" s="224"/>
      <c r="B13" s="12" t="s">
        <v>878</v>
      </c>
      <c r="C13" s="12" t="s">
        <v>879</v>
      </c>
      <c r="D13" s="41"/>
      <c r="E13" s="40"/>
      <c r="F13" s="95"/>
      <c r="G13" s="96"/>
    </row>
    <row r="14" spans="1:7" ht="66" customHeight="1">
      <c r="A14" s="304" t="s">
        <v>1424</v>
      </c>
      <c r="B14" s="29" t="s">
        <v>1422</v>
      </c>
      <c r="C14" s="12" t="s">
        <v>1062</v>
      </c>
      <c r="D14" s="39"/>
      <c r="E14" s="40"/>
      <c r="F14" s="95"/>
      <c r="G14" s="96"/>
    </row>
    <row r="15" spans="1:7" ht="78" customHeight="1">
      <c r="A15" s="305"/>
      <c r="B15" s="29" t="s">
        <v>1429</v>
      </c>
      <c r="C15" s="12" t="s">
        <v>1070</v>
      </c>
      <c r="D15" s="41"/>
      <c r="E15" s="40"/>
      <c r="F15" s="95"/>
      <c r="G15" s="96"/>
    </row>
    <row r="16" spans="1:7" ht="128" customHeight="1">
      <c r="A16" s="305"/>
      <c r="B16" s="29" t="s">
        <v>1425</v>
      </c>
      <c r="C16" s="12" t="s">
        <v>1075</v>
      </c>
      <c r="D16" s="41"/>
      <c r="E16" s="40"/>
      <c r="F16" s="95"/>
      <c r="G16" s="96"/>
    </row>
    <row r="17" spans="1:7" s="209" customFormat="1" ht="50" customHeight="1">
      <c r="A17" s="306"/>
      <c r="B17" s="29" t="s">
        <v>1430</v>
      </c>
      <c r="C17" s="12" t="s">
        <v>1426</v>
      </c>
      <c r="D17" s="169" t="s">
        <v>1427</v>
      </c>
      <c r="E17" s="40" t="s">
        <v>1428</v>
      </c>
      <c r="F17" s="95"/>
      <c r="G17" s="96"/>
    </row>
    <row r="18" spans="1:7" ht="64" customHeight="1">
      <c r="A18" s="9" t="s">
        <v>1078</v>
      </c>
      <c r="B18" s="12" t="s">
        <v>1394</v>
      </c>
      <c r="C18" s="12" t="s">
        <v>1081</v>
      </c>
      <c r="D18" s="41"/>
      <c r="E18" s="40"/>
      <c r="F18" s="95"/>
      <c r="G18" s="96"/>
    </row>
    <row r="19" spans="1:7" ht="53" customHeight="1">
      <c r="A19" s="223" t="s">
        <v>1084</v>
      </c>
      <c r="B19" s="12" t="s">
        <v>1085</v>
      </c>
      <c r="C19" s="12" t="s">
        <v>1086</v>
      </c>
      <c r="D19" s="41"/>
      <c r="E19" s="40"/>
      <c r="F19" s="95"/>
      <c r="G19" s="96"/>
    </row>
    <row r="20" spans="1:7" ht="52" customHeight="1">
      <c r="A20" s="224"/>
      <c r="B20" s="12" t="s">
        <v>1087</v>
      </c>
      <c r="C20" s="12" t="s">
        <v>1088</v>
      </c>
      <c r="D20" s="39" t="str">
        <f>HYPERLINK("https://www.gov.uk/service-manual/making-software/open-source.html","Open source standards")</f>
        <v>Open source standards</v>
      </c>
      <c r="E20" s="40" t="s">
        <v>1091</v>
      </c>
      <c r="F20" s="95"/>
      <c r="G20" s="96"/>
    </row>
    <row r="21" spans="1:7" ht="39.75" customHeight="1">
      <c r="A21" s="9" t="s">
        <v>1092</v>
      </c>
      <c r="B21" s="12" t="s">
        <v>1093</v>
      </c>
      <c r="C21" s="12" t="s">
        <v>1095</v>
      </c>
      <c r="D21" s="39" t="str">
        <f>HYPERLINK("https://www.gov.uk/service-manual/governance/index.html","Governance")</f>
        <v>Governance</v>
      </c>
      <c r="E21" s="40" t="s">
        <v>1103</v>
      </c>
      <c r="F21" s="95"/>
      <c r="G21" s="96"/>
    </row>
    <row r="22" spans="1:7" ht="216" customHeight="1">
      <c r="A22" s="303" t="s">
        <v>1107</v>
      </c>
      <c r="B22" s="12" t="s">
        <v>845</v>
      </c>
      <c r="C22" s="12" t="s">
        <v>1113</v>
      </c>
      <c r="D22" s="39" t="str">
        <f>HYPERLINK("https://www.gov.uk/service-manual/operations/hosting.html","Hosting")</f>
        <v>Hosting</v>
      </c>
      <c r="E22" s="40" t="s">
        <v>1119</v>
      </c>
      <c r="F22" s="95"/>
      <c r="G22" s="96"/>
    </row>
    <row r="23" spans="1:7" ht="65" customHeight="1">
      <c r="A23" s="224"/>
      <c r="B23" s="12" t="s">
        <v>1120</v>
      </c>
      <c r="C23" s="12" t="s">
        <v>1121</v>
      </c>
      <c r="D23" s="41"/>
      <c r="E23" s="40"/>
      <c r="F23" s="95"/>
      <c r="G23" s="96"/>
    </row>
    <row r="24" spans="1:7" ht="48" customHeight="1">
      <c r="A24" s="9" t="s">
        <v>1124</v>
      </c>
      <c r="B24" s="12" t="s">
        <v>1126</v>
      </c>
      <c r="C24" s="12" t="s">
        <v>1128</v>
      </c>
      <c r="D24" s="41"/>
      <c r="E24" s="40"/>
      <c r="F24" s="95"/>
      <c r="G24" s="96"/>
    </row>
    <row r="25" spans="1:7" ht="60" customHeight="1">
      <c r="A25" s="9" t="s">
        <v>1131</v>
      </c>
      <c r="B25" s="12" t="s">
        <v>1134</v>
      </c>
      <c r="C25" s="12" t="s">
        <v>1136</v>
      </c>
      <c r="D25" s="39" t="str">
        <f>HYPERLINK("https://www.gov.uk/service-manual/operations/hosting.html","Hosting")</f>
        <v>Hosting</v>
      </c>
      <c r="E25" s="40" t="s">
        <v>1140</v>
      </c>
      <c r="F25" s="95"/>
      <c r="G25" s="96"/>
    </row>
    <row r="26" spans="1:7" ht="52" customHeight="1">
      <c r="A26" s="9" t="s">
        <v>1142</v>
      </c>
      <c r="B26" s="12" t="s">
        <v>1144</v>
      </c>
      <c r="C26" s="12" t="s">
        <v>1146</v>
      </c>
      <c r="D26" s="41"/>
      <c r="E26" s="40"/>
      <c r="F26" s="95"/>
      <c r="G26" s="96"/>
    </row>
    <row r="27" spans="1:7" ht="58" customHeight="1">
      <c r="A27" s="9" t="s">
        <v>1149</v>
      </c>
      <c r="B27" s="12" t="s">
        <v>1151</v>
      </c>
      <c r="C27" s="12" t="s">
        <v>1152</v>
      </c>
      <c r="D27" s="41"/>
      <c r="E27" s="87"/>
      <c r="F27" s="95"/>
      <c r="G27" s="96"/>
    </row>
    <row r="28" spans="1:7" ht="52" customHeight="1">
      <c r="A28" s="223" t="s">
        <v>1155</v>
      </c>
      <c r="B28" s="12" t="s">
        <v>1157</v>
      </c>
      <c r="C28" s="12" t="s">
        <v>1160</v>
      </c>
      <c r="D28" s="69"/>
      <c r="E28" s="144"/>
      <c r="F28" s="95"/>
      <c r="G28" s="96"/>
    </row>
    <row r="29" spans="1:7" ht="48" customHeight="1">
      <c r="A29" s="224"/>
      <c r="B29" s="12" t="s">
        <v>1164</v>
      </c>
      <c r="C29" s="12" t="s">
        <v>1165</v>
      </c>
      <c r="D29" s="69"/>
      <c r="E29" s="144"/>
      <c r="F29" s="95"/>
      <c r="G29" s="96"/>
    </row>
    <row r="30" spans="1:7" ht="53" customHeight="1">
      <c r="A30" s="224"/>
      <c r="B30" s="12" t="s">
        <v>1166</v>
      </c>
      <c r="C30" s="12" t="s">
        <v>1167</v>
      </c>
      <c r="D30" s="39" t="str">
        <f>HYPERLINK("http://ico.org.uk/for_organisations/data_protection?hidecookiesbanner=true","Information Commissioner's Office guidelines on Data Protection")</f>
        <v>Information Commissioner's Office guidelines on Data Protection</v>
      </c>
      <c r="E30" s="40" t="s">
        <v>1168</v>
      </c>
      <c r="F30" s="95"/>
      <c r="G30" s="96"/>
    </row>
    <row r="31" spans="1:7" ht="46" customHeight="1">
      <c r="A31" s="223" t="s">
        <v>1169</v>
      </c>
      <c r="B31" s="12" t="s">
        <v>1170</v>
      </c>
      <c r="C31" s="12" t="s">
        <v>1172</v>
      </c>
      <c r="D31" s="41"/>
      <c r="E31" s="40"/>
      <c r="F31" s="95"/>
      <c r="G31" s="96"/>
    </row>
    <row r="32" spans="1:7" ht="48" customHeight="1">
      <c r="A32" s="224"/>
      <c r="B32" s="12" t="s">
        <v>1173</v>
      </c>
      <c r="C32" s="12" t="s">
        <v>1174</v>
      </c>
      <c r="D32" s="41"/>
      <c r="E32" s="40"/>
      <c r="F32" s="95"/>
      <c r="G32" s="96"/>
    </row>
    <row r="33" spans="1:7" ht="60" customHeight="1">
      <c r="A33" s="224"/>
      <c r="B33" s="12" t="s">
        <v>1175</v>
      </c>
      <c r="C33" s="12" t="s">
        <v>1176</v>
      </c>
      <c r="D33" s="39" t="str">
        <f>HYPERLINK("https://www.gov.uk/service-manual/operations/load-and-performance-testing.html","Load and performance testing")</f>
        <v>Load and performance testing</v>
      </c>
      <c r="E33" s="40" t="s">
        <v>1179</v>
      </c>
      <c r="F33" s="99"/>
      <c r="G33" s="100"/>
    </row>
    <row r="34" spans="1:7" ht="39.75" customHeight="1">
      <c r="A34" s="215" t="str">
        <f>HYPERLINK("https://www.nationalarchives.gov.uk/doc/open-government-licence/version/3/","All content is available under the Open Government Licence v3.0, except where otherwise stated")</f>
        <v>All content is available under the Open Government Licence v3.0, except where otherwise stated</v>
      </c>
      <c r="B34" s="216"/>
      <c r="C34" s="216"/>
      <c r="D34" s="7"/>
      <c r="E34" s="7"/>
      <c r="F34" s="7"/>
      <c r="G34" s="7"/>
    </row>
  </sheetData>
  <mergeCells count="14">
    <mergeCell ref="B1:C1"/>
    <mergeCell ref="B2:C2"/>
    <mergeCell ref="B3:C3"/>
    <mergeCell ref="B4:C4"/>
    <mergeCell ref="A31:A33"/>
    <mergeCell ref="A5:C5"/>
    <mergeCell ref="A34:C34"/>
    <mergeCell ref="A28:A30"/>
    <mergeCell ref="F5:G5"/>
    <mergeCell ref="A7:A8"/>
    <mergeCell ref="A22:A23"/>
    <mergeCell ref="A19:A20"/>
    <mergeCell ref="A9:A13"/>
    <mergeCell ref="A14:A17"/>
  </mergeCells>
  <phoneticPr fontId="11" type="noConversion"/>
  <hyperlinks>
    <hyperlink ref="B1" r:id="rId1" display="https://www.gov.uk/service-manual/technology/architecture.html"/>
    <hyperlink ref="D7" r:id="rId2" display="https://www.gov.uk/service-manual/technology/architecture.html"/>
    <hyperlink ref="F7" r:id="rId3" display="http://www.computerweekly.com/feature/How-to-tame-the-new-IT-beast-called-DevOps?asrc=EM_MDN_32340805&amp;utm_medium=EM&amp;utm_source=MDN&amp;utm_campaign=20140804_Bitcoin mining firm CoinTerra signs multi-megawatt datacentre deal_"/>
    <hyperlink ref="D8" r:id="rId4" display="https://www.gov.uk/government/groups/horizon-scanning-programme-team"/>
    <hyperlink ref="F8" r:id="rId5" display="https://www.gov.uk/service-manual/technology/architecture.html"/>
    <hyperlink ref="D9" r:id="rId6" display="https://www.gov.uk/service-manual/technology/service-integration.html"/>
    <hyperlink ref="D20" r:id="rId7" display="https://www.gov.uk/service-manual/making-software/open-source.html"/>
    <hyperlink ref="D21" r:id="rId8" display="https://www.gov.uk/service-manual/governance/index.html"/>
    <hyperlink ref="D22" r:id="rId9" display="https://www.gov.uk/service-manual/operations/hosting.html"/>
    <hyperlink ref="D25" r:id="rId10" display="https://www.gov.uk/service-manual/operations/hosting.html"/>
    <hyperlink ref="D30" r:id="rId11" display="http://ico.org.uk/for_organisations/data_protection?hidecookiesbanner=true"/>
    <hyperlink ref="D33" r:id="rId12" display="https://www.gov.uk/service-manual/operations/load-and-performance-testing.html"/>
    <hyperlink ref="A34" r:id="rId13" display="https://www.nationalarchives.gov.uk/doc/open-government-licence/version/3/"/>
    <hyperlink ref="F9" r:id="rId14" display="https://www.gov.uk/service-manual/technology/code-of-practice"/>
    <hyperlink ref="D17" r:id="rId15"/>
  </hyperlinks>
  <pageMargins left="0.75" right="0.75" top="1" bottom="1" header="0.5" footer="0.5"/>
  <pageSetup paperSize="9" orientation="portrait" horizontalDpi="4294967292" verticalDpi="4294967292"/>
  <drawing r:id="rId16"/>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pane ySplit="6" topLeftCell="A7" activePane="bottomLeft" state="frozen"/>
      <selection pane="bottomLeft" activeCell="B9" sqref="B9"/>
    </sheetView>
  </sheetViews>
  <sheetFormatPr baseColWidth="10" defaultColWidth="14.5" defaultRowHeight="17" x14ac:dyDescent="0"/>
  <cols>
    <col min="1" max="1" width="22.5" style="175" customWidth="1"/>
    <col min="2" max="2" width="111.1640625" style="175" customWidth="1"/>
    <col min="3" max="3" width="12.6640625" style="175" customWidth="1"/>
    <col min="4" max="4" width="22.5" style="175" customWidth="1"/>
    <col min="5" max="5" width="49.6640625" style="175" customWidth="1"/>
    <col min="6" max="6" width="29.5" style="175" customWidth="1"/>
    <col min="7" max="7" width="45.5" style="175" customWidth="1"/>
    <col min="8" max="16384" width="14.5" style="175"/>
  </cols>
  <sheetData>
    <row r="1" spans="1:7" ht="24" customHeight="1">
      <c r="A1" s="179" t="s">
        <v>800</v>
      </c>
      <c r="B1" s="270" t="str">
        <f>HYPERLINK("https://www.gov.uk/service-manual/making-software/information-security.html","Cyber Security and Information Assurance")</f>
        <v>Cyber Security and Information Assurance</v>
      </c>
      <c r="C1" s="307"/>
      <c r="D1" s="186"/>
      <c r="E1" s="312"/>
      <c r="F1" s="313"/>
      <c r="G1" s="314"/>
    </row>
    <row r="2" spans="1:7" ht="73" customHeight="1">
      <c r="A2" s="179" t="s">
        <v>824</v>
      </c>
      <c r="B2" s="273" t="s">
        <v>830</v>
      </c>
      <c r="C2" s="310"/>
      <c r="D2" s="186"/>
      <c r="E2" s="315"/>
      <c r="F2" s="316"/>
      <c r="G2" s="317"/>
    </row>
    <row r="3" spans="1:7" ht="50" customHeight="1">
      <c r="A3" s="179" t="s">
        <v>834</v>
      </c>
      <c r="B3" s="254" t="s">
        <v>836</v>
      </c>
      <c r="C3" s="311"/>
      <c r="D3" s="187" t="str">
        <f>HYPERLINK("https://www.gov.uk/government/organisations/government-security-profession","Government Security Profession")</f>
        <v>Government Security Profession</v>
      </c>
      <c r="E3" s="315"/>
      <c r="F3" s="316"/>
      <c r="G3" s="317"/>
    </row>
    <row r="4" spans="1:7" ht="56" customHeight="1">
      <c r="A4" s="179" t="s">
        <v>863</v>
      </c>
      <c r="B4" s="254" t="s">
        <v>864</v>
      </c>
      <c r="C4" s="311"/>
      <c r="D4" s="176"/>
      <c r="E4" s="318"/>
      <c r="F4" s="319"/>
      <c r="G4" s="320"/>
    </row>
    <row r="5" spans="1:7" ht="34" customHeight="1">
      <c r="A5" s="329" t="s">
        <v>867</v>
      </c>
      <c r="B5" s="330"/>
      <c r="C5" s="331"/>
      <c r="D5" s="309" t="s">
        <v>1350</v>
      </c>
      <c r="E5" s="309"/>
      <c r="F5" s="308" t="s">
        <v>1351</v>
      </c>
      <c r="G5" s="242"/>
    </row>
    <row r="6" spans="1:7" ht="26" customHeight="1">
      <c r="A6" s="188" t="s">
        <v>1071</v>
      </c>
      <c r="B6" s="188" t="s">
        <v>1072</v>
      </c>
      <c r="C6" s="188" t="s">
        <v>1073</v>
      </c>
      <c r="D6" s="180" t="s">
        <v>1074</v>
      </c>
      <c r="E6" s="180" t="s">
        <v>1076</v>
      </c>
      <c r="F6" s="181" t="s">
        <v>1077</v>
      </c>
      <c r="G6" s="181" t="s">
        <v>1079</v>
      </c>
    </row>
    <row r="7" spans="1:7" ht="102">
      <c r="A7" s="178" t="s">
        <v>1080</v>
      </c>
      <c r="B7" s="182" t="s">
        <v>1082</v>
      </c>
      <c r="C7" s="182" t="s">
        <v>1083</v>
      </c>
      <c r="D7" s="189" t="str">
        <f>HYPERLINK("https://www.gov.uk/service-manual/making-software/information-security.html","Concepts of information security.")</f>
        <v>Concepts of information security.</v>
      </c>
      <c r="E7" s="190" t="s">
        <v>1089</v>
      </c>
      <c r="F7" s="195" t="str">
        <f>HYPERLINK("https://www.futurelearn.com/courses/introduction-to-cyber-security","Introduction to Cyber Security (Open University MOOC developed in conjunction with BIS)")</f>
        <v>Introduction to Cyber Security (Open University MOOC developed in conjunction with BIS)</v>
      </c>
      <c r="G7" s="196" t="s">
        <v>1105</v>
      </c>
    </row>
    <row r="8" spans="1:7" ht="103" customHeight="1">
      <c r="A8" s="178" t="s">
        <v>1108</v>
      </c>
      <c r="B8" s="182" t="s">
        <v>1114</v>
      </c>
      <c r="C8" s="182" t="s">
        <v>1115</v>
      </c>
      <c r="D8" s="189" t="str">
        <f>HYPERLINK("https://www.gov.uk/government/publications/government-security-classifications","Government Security Classifications guidance")</f>
        <v>Government Security Classifications guidance</v>
      </c>
      <c r="E8" s="190" t="s">
        <v>1122</v>
      </c>
      <c r="F8" s="195" t="str">
        <f>HYPERLINK("https://www.cesg.gov.uk/awarenesstraining/academia/Pages/Masters-Degrees.aspx","GCHQ Certification of Master’s degrees in Cyber Security")</f>
        <v>GCHQ Certification of Master’s degrees in Cyber Security</v>
      </c>
      <c r="G8" s="196" t="s">
        <v>1094</v>
      </c>
    </row>
    <row r="9" spans="1:7" ht="119">
      <c r="A9" s="299" t="s">
        <v>1127</v>
      </c>
      <c r="B9" s="183" t="s">
        <v>1132</v>
      </c>
      <c r="C9" s="183" t="s">
        <v>1135</v>
      </c>
      <c r="D9" s="191"/>
      <c r="E9" s="191"/>
      <c r="F9" s="195" t="str">
        <f>HYPERLINK("http://www.cesg.gov.uk/awarenesstraining/certified-professionals/Pages/index.aspx","CESG Certified Professionals (CCP) scheme")</f>
        <v>CESG Certified Professionals (CCP) scheme</v>
      </c>
      <c r="G9" s="197" t="s">
        <v>1145</v>
      </c>
    </row>
    <row r="10" spans="1:7" ht="85">
      <c r="A10" s="242"/>
      <c r="B10" s="183" t="s">
        <v>1183</v>
      </c>
      <c r="C10" s="183" t="s">
        <v>1184</v>
      </c>
      <c r="D10" s="199" t="str">
        <f>HYPERLINK("http://www.gchq.gov.uk/press_and_media/news_and_features/Pages/10-steps-to-cyber-security.aspx","The Cyber Security Guidance for Business")</f>
        <v>The Cyber Security Guidance for Business</v>
      </c>
      <c r="E10" s="190" t="s">
        <v>1186</v>
      </c>
      <c r="F10" s="195" t="str">
        <f>HYPERLINK("https://www.iisp.org/imis15/iisp/About_Us/Our_Skills_Framework.aspx","IISP Information Security Skills Framework")</f>
        <v>IISP Information Security Skills Framework</v>
      </c>
      <c r="G10" s="196" t="s">
        <v>1202</v>
      </c>
    </row>
    <row r="11" spans="1:7" ht="85">
      <c r="A11" s="299" t="s">
        <v>1203</v>
      </c>
      <c r="B11" s="182" t="s">
        <v>1204</v>
      </c>
      <c r="C11" s="182" t="s">
        <v>1205</v>
      </c>
      <c r="D11" s="190"/>
      <c r="E11" s="190"/>
      <c r="F11" s="195" t="str">
        <f>HYPERLINK("https://www.gov.uk/government/publications/national-cyber-security-strategy-2-years-on","The National Cyber Security Strategy: Our Forward Plans")</f>
        <v>The National Cyber Security Strategy: Our Forward Plans</v>
      </c>
      <c r="G11" s="196" t="s">
        <v>1207</v>
      </c>
    </row>
    <row r="12" spans="1:7" ht="68">
      <c r="A12" s="242"/>
      <c r="B12" s="183" t="s">
        <v>1210</v>
      </c>
      <c r="C12" s="183" t="s">
        <v>1212</v>
      </c>
      <c r="D12" s="190"/>
      <c r="E12" s="190"/>
      <c r="F12" s="195" t="str">
        <f>HYPERLINK("https://www.gov.uk/government/publications/cyber-essentials-scheme-overview","Cyber Essentials Scheme")</f>
        <v>Cyber Essentials Scheme</v>
      </c>
      <c r="G12" s="198" t="s">
        <v>1192</v>
      </c>
    </row>
    <row r="13" spans="1:7" ht="93" customHeight="1">
      <c r="A13" s="242"/>
      <c r="B13" s="183" t="s">
        <v>1213</v>
      </c>
      <c r="C13" s="183" t="s">
        <v>1214</v>
      </c>
      <c r="D13" s="190"/>
      <c r="E13" s="190"/>
      <c r="F13" s="195" t="str">
        <f>HYPERLINK("https://www.cesg.gov.uk/awarenesstraining/Pages/Licensed-Training-Providers.aspx","CESG approved licensed training providers.")</f>
        <v>CESG approved licensed training providers.</v>
      </c>
      <c r="G13" s="196" t="s">
        <v>1352</v>
      </c>
    </row>
    <row r="14" spans="1:7" ht="93" customHeight="1">
      <c r="A14" s="242"/>
      <c r="B14" s="183" t="s">
        <v>1215</v>
      </c>
      <c r="C14" s="183" t="s">
        <v>1216</v>
      </c>
      <c r="D14" s="189" t="str">
        <f>HYPERLINK("http://www.cpni.gov.uk/advice/cyber/Critical-controls/","Centre for the Protection of National Infrastructure")</f>
        <v>Centre for the Protection of National Infrastructure</v>
      </c>
      <c r="E14" s="190" t="s">
        <v>1220</v>
      </c>
      <c r="F14" s="195" t="str">
        <f>HYPERLINK("https://www.gov.uk/service-manual/technology/security-as-enabler","Security as enabler")</f>
        <v>Security as enabler</v>
      </c>
      <c r="G14" s="196" t="s">
        <v>1241</v>
      </c>
    </row>
    <row r="15" spans="1:7" ht="83" customHeight="1">
      <c r="A15" s="178" t="s">
        <v>1222</v>
      </c>
      <c r="B15" s="183" t="s">
        <v>1225</v>
      </c>
      <c r="C15" s="183" t="s">
        <v>1226</v>
      </c>
      <c r="D15" s="189" t="str">
        <f>HYPERLINK("http://www.cesg.gov.uk/awarenesstraining/certified-professionals/Pages/Certification-Bodies.aspx","CCP Security Architect")</f>
        <v>CCP Security Architect</v>
      </c>
      <c r="E15" s="192" t="s">
        <v>1227</v>
      </c>
      <c r="F15" s="323"/>
      <c r="G15" s="324"/>
    </row>
    <row r="16" spans="1:7" ht="192" customHeight="1">
      <c r="A16" s="178" t="s">
        <v>1235</v>
      </c>
      <c r="B16" s="183" t="s">
        <v>1236</v>
      </c>
      <c r="C16" s="182" t="s">
        <v>1237</v>
      </c>
      <c r="D16" s="189" t="str">
        <f>HYPERLINK("http://www.cesg.gov.uk/publications/documents/is1_risk_assessment.pdf","CESG risk guidance")</f>
        <v>CESG risk guidance</v>
      </c>
      <c r="E16" s="190" t="s">
        <v>1353</v>
      </c>
      <c r="F16" s="325"/>
      <c r="G16" s="326"/>
    </row>
    <row r="17" spans="1:7" ht="83" customHeight="1">
      <c r="A17" s="178" t="s">
        <v>1242</v>
      </c>
      <c r="B17" s="182" t="s">
        <v>1243</v>
      </c>
      <c r="C17" s="182" t="s">
        <v>1244</v>
      </c>
      <c r="D17" s="190"/>
      <c r="E17" s="190"/>
      <c r="F17" s="325"/>
      <c r="G17" s="326"/>
    </row>
    <row r="18" spans="1:7" ht="51">
      <c r="A18" s="178" t="s">
        <v>1245</v>
      </c>
      <c r="B18" s="183" t="s">
        <v>1246</v>
      </c>
      <c r="C18" s="183" t="s">
        <v>1247</v>
      </c>
      <c r="D18" s="191"/>
      <c r="E18" s="191"/>
      <c r="F18" s="325"/>
      <c r="G18" s="326"/>
    </row>
    <row r="19" spans="1:7" ht="46" customHeight="1">
      <c r="A19" s="299" t="s">
        <v>1248</v>
      </c>
      <c r="B19" s="322" t="s">
        <v>1249</v>
      </c>
      <c r="C19" s="322" t="s">
        <v>1250</v>
      </c>
      <c r="D19" s="189" t="str">
        <f>HYPERLINK("https://www.gov.uk/service-manual/operations/penetration-testing.html","Vulnerability and penetration testing")</f>
        <v>Vulnerability and penetration testing</v>
      </c>
      <c r="E19" s="190" t="s">
        <v>1251</v>
      </c>
      <c r="F19" s="325"/>
      <c r="G19" s="326"/>
    </row>
    <row r="20" spans="1:7" ht="81" customHeight="1">
      <c r="A20" s="299"/>
      <c r="B20" s="322"/>
      <c r="C20" s="322"/>
      <c r="D20" s="189" t="str">
        <f>HYPERLINK("http://www.cesg.gov.uk/awarenesstraining/certified-professionals/Pages/Certification-Bodies.aspx","CCP Penetration Tester")</f>
        <v>CCP Penetration Tester</v>
      </c>
      <c r="E20" s="192" t="s">
        <v>1227</v>
      </c>
      <c r="F20" s="325"/>
      <c r="G20" s="326"/>
    </row>
    <row r="21" spans="1:7" ht="68" customHeight="1">
      <c r="A21" s="178" t="s">
        <v>1259</v>
      </c>
      <c r="B21" s="183" t="s">
        <v>1261</v>
      </c>
      <c r="C21" s="183" t="s">
        <v>1262</v>
      </c>
      <c r="D21" s="190" t="s">
        <v>1263</v>
      </c>
      <c r="E21" s="190"/>
      <c r="F21" s="325"/>
      <c r="G21" s="326"/>
    </row>
    <row r="22" spans="1:7" ht="51">
      <c r="A22" s="299" t="s">
        <v>1266</v>
      </c>
      <c r="B22" s="332" t="s">
        <v>1267</v>
      </c>
      <c r="C22" s="332" t="s">
        <v>1268</v>
      </c>
      <c r="D22" s="189" t="str">
        <f>HYPERLINK("http://www.cesg.gov.uk/policyguidance/GovCertUK/Pages/index.aspx","GovCertUK")</f>
        <v>GovCertUK</v>
      </c>
      <c r="E22" s="193" t="s">
        <v>1273</v>
      </c>
      <c r="F22" s="325"/>
      <c r="G22" s="326"/>
    </row>
    <row r="23" spans="1:7" ht="46" customHeight="1">
      <c r="A23" s="242"/>
      <c r="B23" s="242"/>
      <c r="C23" s="242"/>
      <c r="D23" s="189" t="str">
        <f>HYPERLINK("https://www.cert.gov.uk/","CERTUK")</f>
        <v>CERTUK</v>
      </c>
      <c r="E23" s="194" t="s">
        <v>1282</v>
      </c>
      <c r="F23" s="325"/>
      <c r="G23" s="326"/>
    </row>
    <row r="24" spans="1:7" ht="82" customHeight="1">
      <c r="A24" s="178" t="s">
        <v>1287</v>
      </c>
      <c r="B24" s="182" t="s">
        <v>1289</v>
      </c>
      <c r="C24" s="182" t="s">
        <v>1290</v>
      </c>
      <c r="D24" s="189" t="str">
        <f>HYPERLINK("http://www.cesg.gov.uk/awarenesstraining/certified-professionals/Pages/Certification-Bodies.aspx","CCP IA Auditor")</f>
        <v>CCP IA Auditor</v>
      </c>
      <c r="E24" s="192" t="s">
        <v>1227</v>
      </c>
      <c r="F24" s="325"/>
      <c r="G24" s="326"/>
    </row>
    <row r="25" spans="1:7" ht="85" customHeight="1">
      <c r="A25" s="299" t="s">
        <v>1292</v>
      </c>
      <c r="B25" s="182" t="s">
        <v>1294</v>
      </c>
      <c r="C25" s="182" t="s">
        <v>1295</v>
      </c>
      <c r="D25" s="189" t="str">
        <f>HYPERLINK("https://www.gov.uk/service-manual/operations/cloud-security.html","Cloud security")</f>
        <v>Cloud security</v>
      </c>
      <c r="E25" s="190" t="s">
        <v>1296</v>
      </c>
      <c r="F25" s="325"/>
      <c r="G25" s="326"/>
    </row>
    <row r="26" spans="1:7" ht="61" customHeight="1">
      <c r="A26" s="242"/>
      <c r="B26" s="182" t="s">
        <v>1299</v>
      </c>
      <c r="C26" s="182" t="s">
        <v>1300</v>
      </c>
      <c r="D26" s="190"/>
      <c r="E26" s="190"/>
      <c r="F26" s="325"/>
      <c r="G26" s="326"/>
    </row>
    <row r="27" spans="1:7" ht="83" customHeight="1">
      <c r="A27" s="178" t="s">
        <v>1301</v>
      </c>
      <c r="B27" s="183" t="s">
        <v>1302</v>
      </c>
      <c r="C27" s="183" t="s">
        <v>1303</v>
      </c>
      <c r="D27" s="189" t="str">
        <f>HYPERLINK("https://www.gov.uk/government/uploads/system/uploads/attachment_data/file/78967/OSS_Toolkit_Security_Note_v1.0.pdf","Open Source Software and Security")</f>
        <v>Open Source Software and Security</v>
      </c>
      <c r="E27" s="190" t="s">
        <v>1305</v>
      </c>
      <c r="F27" s="325"/>
      <c r="G27" s="326"/>
    </row>
    <row r="28" spans="1:7" ht="51">
      <c r="A28" s="178" t="s">
        <v>1307</v>
      </c>
      <c r="B28" s="183" t="s">
        <v>1309</v>
      </c>
      <c r="C28" s="183" t="s">
        <v>1312</v>
      </c>
      <c r="D28" s="190"/>
      <c r="E28" s="190"/>
      <c r="F28" s="327"/>
      <c r="G28" s="328"/>
    </row>
    <row r="29" spans="1:7">
      <c r="A29" s="321" t="str">
        <f>HYPERLINK("https://www.nationalarchives.gov.uk/doc/open-government-licence/version/3/","All content is available under the Open Government Licence v3.0, except where otherwise stated")</f>
        <v>All content is available under the Open Government Licence v3.0, except where otherwise stated</v>
      </c>
      <c r="B29" s="242"/>
      <c r="C29" s="242"/>
      <c r="D29" s="184"/>
      <c r="E29" s="185"/>
      <c r="F29" s="184"/>
      <c r="G29" s="184"/>
    </row>
    <row r="30" spans="1:7">
      <c r="A30" s="177"/>
      <c r="B30" s="30"/>
      <c r="C30" s="30"/>
      <c r="D30" s="6"/>
      <c r="E30" s="31"/>
      <c r="F30" s="6"/>
      <c r="G30" s="6"/>
    </row>
  </sheetData>
  <mergeCells count="19">
    <mergeCell ref="F15:G28"/>
    <mergeCell ref="A5:C5"/>
    <mergeCell ref="B22:B23"/>
    <mergeCell ref="A22:A23"/>
    <mergeCell ref="C22:C23"/>
    <mergeCell ref="A29:C29"/>
    <mergeCell ref="A9:A10"/>
    <mergeCell ref="A11:A14"/>
    <mergeCell ref="A25:A26"/>
    <mergeCell ref="C19:C20"/>
    <mergeCell ref="B19:B20"/>
    <mergeCell ref="A19:A20"/>
    <mergeCell ref="B1:C1"/>
    <mergeCell ref="F5:G5"/>
    <mergeCell ref="D5:E5"/>
    <mergeCell ref="B2:C2"/>
    <mergeCell ref="B4:C4"/>
    <mergeCell ref="B3:C3"/>
    <mergeCell ref="E1:G4"/>
  </mergeCells>
  <phoneticPr fontId="11" type="noConversion"/>
  <hyperlinks>
    <hyperlink ref="B1" r:id="rId1" display="https://www.gov.uk/service-manual/making-software/information-security.html"/>
    <hyperlink ref="D3" r:id="rId2" display="https://www.gov.uk/government/organisations/government-security-profession"/>
    <hyperlink ref="D7" r:id="rId3" display="https://www.gov.uk/service-manual/making-software/information-security.html"/>
    <hyperlink ref="F7" r:id="rId4" display="https://www.futurelearn.com/courses/introduction-to-cyber-security"/>
    <hyperlink ref="D8" r:id="rId5" display="https://www.gov.uk/government/publications/government-security-classifications"/>
    <hyperlink ref="F9" r:id="rId6" display="http://www.cesg.gov.uk/awarenesstraining/certified-professionals/Pages/index.aspx"/>
    <hyperlink ref="D10" r:id="rId7" display="https://www.gov.uk/government/publications/cyber-risk-management-a-board-level-responsibility"/>
    <hyperlink ref="F10" r:id="rId8" display="https://www.iisp.org/imis15/iisp/About_Us/Our_Skills_Framework.aspx"/>
    <hyperlink ref="F11" r:id="rId9" display="https://www.gov.uk/government/publications/national-cyber-security-strategy-2-years-on"/>
    <hyperlink ref="D14" r:id="rId10" display="http://www.cpni.gov.uk/advice/cyber/Critical-controls/"/>
    <hyperlink ref="D15" r:id="rId11" display="http://www.cesg.gov.uk/awarenesstraining/certified-professionals/Pages/Certification-Bodies.aspx"/>
    <hyperlink ref="D16" r:id="rId12" display="http://www.cesg.gov.uk/publications/documents/is1_risk_assessment.pdf"/>
    <hyperlink ref="F13" r:id="rId13" display="https://www.cesg.gov.uk/awarenesstraining/Pages/Licensed-Training-Providers.aspx"/>
    <hyperlink ref="F14" r:id="rId14" display="https://www.gov.uk/service-manual/technology/security-as-enabler"/>
    <hyperlink ref="D19" r:id="rId15" display="https://www.gov.uk/service-manual/operations/penetration-testing.html"/>
    <hyperlink ref="D22" r:id="rId16" display="http://www.cesg.gov.uk/policyguidance/GovCertUK/Pages/index.aspx"/>
    <hyperlink ref="D23" r:id="rId17" display="https://www.cert.gov.uk/"/>
    <hyperlink ref="D25" r:id="rId18" display="https://www.gov.uk/service-manual/operations/cloud-security.html"/>
    <hyperlink ref="D27" r:id="rId19" display="https://www.gov.uk/government/uploads/system/uploads/attachment_data/file/78967/OSS_Toolkit_Security_Note_v1.0.pdf"/>
    <hyperlink ref="A29" r:id="rId20" display="https://www.nationalarchives.gov.uk/doc/open-government-licence/version/3/"/>
    <hyperlink ref="F8" r:id="rId21" display="https://www.cesg.gov.uk/awarenesstraining/academia/Pages/Masters-Degrees.aspx"/>
    <hyperlink ref="F12" r:id="rId22" display="https://www.gov.uk/government/publications/cyber-essentials-scheme-overview"/>
    <hyperlink ref="D20" r:id="rId23" display="http://www.cesg.gov.uk/awarenesstraining/certified-professionals/Pages/Certification-Bodies.aspx"/>
    <hyperlink ref="D24" r:id="rId24" display="http://www.cesg.gov.uk/awarenesstraining/certified-professionals/Pages/Certification-Bodies.aspx"/>
  </hyperlinks>
  <pageMargins left="0.75" right="0.75" top="1" bottom="1" header="0.5" footer="0.5"/>
  <pageSetup paperSize="9" orientation="portrait" horizontalDpi="4294967292" verticalDpi="4294967292"/>
  <drawing r:id="rId25"/>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pane ySplit="5" topLeftCell="A6" activePane="bottomLeft" state="frozen"/>
      <selection pane="bottomLeft" activeCell="B10" sqref="B10"/>
    </sheetView>
  </sheetViews>
  <sheetFormatPr baseColWidth="10" defaultColWidth="14.5" defaultRowHeight="15.75" customHeight="1" x14ac:dyDescent="0"/>
  <cols>
    <col min="1" max="1" width="22.5" style="10" customWidth="1"/>
    <col min="2" max="2" width="118" style="10" customWidth="1"/>
    <col min="3" max="3" width="12.33203125" style="10" customWidth="1"/>
    <col min="4" max="4" width="26.1640625" style="10" customWidth="1"/>
    <col min="5" max="5" width="39.5" style="10" customWidth="1"/>
    <col min="6" max="6" width="33.33203125" style="10" customWidth="1"/>
    <col min="7" max="7" width="37.1640625" style="10" customWidth="1"/>
    <col min="8" max="16384" width="14.5" style="10"/>
  </cols>
  <sheetData>
    <row r="1" spans="1:7" ht="42" customHeight="1">
      <c r="A1" s="14" t="s">
        <v>740</v>
      </c>
      <c r="B1" s="270" t="str">
        <f>HYPERLINK("https://www.gov.uk/service-manual/the-team/developer.html","Development")</f>
        <v>Development</v>
      </c>
      <c r="C1" s="307"/>
      <c r="D1" s="46"/>
      <c r="E1" s="47"/>
      <c r="F1" s="47"/>
      <c r="G1" s="48"/>
    </row>
    <row r="2" spans="1:7" ht="72" customHeight="1">
      <c r="A2" s="14" t="s">
        <v>749</v>
      </c>
      <c r="B2" s="272" t="s">
        <v>750</v>
      </c>
      <c r="C2" s="307"/>
      <c r="D2" s="49"/>
      <c r="E2" s="45"/>
      <c r="F2" s="45"/>
      <c r="G2" s="50"/>
    </row>
    <row r="3" spans="1:7" ht="32" customHeight="1" thickBot="1">
      <c r="A3" s="14" t="s">
        <v>752</v>
      </c>
      <c r="B3" s="274" t="s">
        <v>753</v>
      </c>
      <c r="C3" s="307"/>
      <c r="D3" s="51"/>
      <c r="E3" s="52"/>
      <c r="F3" s="45"/>
      <c r="G3" s="50"/>
    </row>
    <row r="4" spans="1:7" ht="26.25" customHeight="1">
      <c r="A4" s="277" t="s">
        <v>23</v>
      </c>
      <c r="B4" s="278"/>
      <c r="C4" s="279"/>
      <c r="D4" s="15" t="s">
        <v>1350</v>
      </c>
      <c r="E4" s="2"/>
      <c r="F4" s="239" t="s">
        <v>1351</v>
      </c>
      <c r="G4" s="240"/>
    </row>
    <row r="5" spans="1:7" ht="26.25" customHeight="1">
      <c r="A5" s="76" t="s">
        <v>756</v>
      </c>
      <c r="B5" s="14" t="s">
        <v>757</v>
      </c>
      <c r="C5" s="14" t="s">
        <v>758</v>
      </c>
      <c r="D5" s="4" t="s">
        <v>760</v>
      </c>
      <c r="E5" s="15" t="s">
        <v>763</v>
      </c>
      <c r="F5" s="36" t="s">
        <v>770</v>
      </c>
      <c r="G5" s="37" t="s">
        <v>776</v>
      </c>
    </row>
    <row r="6" spans="1:7" ht="63" customHeight="1" thickBot="1">
      <c r="A6" s="9" t="s">
        <v>780</v>
      </c>
      <c r="B6" s="12" t="s">
        <v>782</v>
      </c>
      <c r="C6" s="12" t="s">
        <v>783</v>
      </c>
      <c r="D6" s="164" t="str">
        <f>HYPERLINK("https://www.gov.uk/service-manual/the-team/developer.html","Developer skills")</f>
        <v>Developer skills</v>
      </c>
      <c r="E6" s="40" t="s">
        <v>807</v>
      </c>
      <c r="F6" s="134" t="str">
        <f>HYPERLINK("https://www.gov.uk/service-manual/making-software/dependency-management","Dependency Management")</f>
        <v>Dependency Management</v>
      </c>
      <c r="G6" s="135" t="s">
        <v>816</v>
      </c>
    </row>
    <row r="7" spans="1:7" ht="64" customHeight="1">
      <c r="A7" s="223" t="s">
        <v>819</v>
      </c>
      <c r="B7" s="12" t="s">
        <v>823</v>
      </c>
      <c r="C7" s="12" t="s">
        <v>825</v>
      </c>
      <c r="D7" s="41"/>
      <c r="E7" s="40"/>
      <c r="F7" s="95"/>
      <c r="G7" s="96"/>
    </row>
    <row r="8" spans="1:7" ht="49" customHeight="1">
      <c r="A8" s="224"/>
      <c r="B8" s="12" t="s">
        <v>829</v>
      </c>
      <c r="C8" s="12" t="s">
        <v>831</v>
      </c>
      <c r="D8" s="41"/>
      <c r="E8" s="40"/>
      <c r="F8" s="95"/>
      <c r="G8" s="96"/>
    </row>
    <row r="9" spans="1:7" ht="81" customHeight="1">
      <c r="A9" s="9" t="s">
        <v>833</v>
      </c>
      <c r="B9" s="12" t="s">
        <v>837</v>
      </c>
      <c r="C9" s="12" t="s">
        <v>839</v>
      </c>
      <c r="D9" s="41"/>
      <c r="E9" s="40"/>
      <c r="F9" s="95"/>
      <c r="G9" s="96"/>
    </row>
    <row r="10" spans="1:7" ht="56" customHeight="1">
      <c r="A10" s="263" t="s">
        <v>843</v>
      </c>
      <c r="B10" s="12" t="s">
        <v>844</v>
      </c>
      <c r="C10" s="12" t="s">
        <v>846</v>
      </c>
      <c r="D10" s="39" t="str">
        <f>HYPERLINK("https://www.gov.uk/service-manual/making-software/deployment.html","Deploying software")</f>
        <v>Deploying software</v>
      </c>
      <c r="E10" s="40" t="s">
        <v>851</v>
      </c>
      <c r="F10" s="95"/>
      <c r="G10" s="96"/>
    </row>
    <row r="11" spans="1:7" ht="52" customHeight="1">
      <c r="A11" s="224"/>
      <c r="B11" s="12" t="s">
        <v>854</v>
      </c>
      <c r="C11" s="12" t="s">
        <v>855</v>
      </c>
      <c r="D11" s="41"/>
      <c r="E11" s="40"/>
      <c r="F11" s="95"/>
      <c r="G11" s="96"/>
    </row>
    <row r="12" spans="1:7" ht="80" customHeight="1">
      <c r="A12" s="9" t="s">
        <v>860</v>
      </c>
      <c r="B12" s="12" t="s">
        <v>861</v>
      </c>
      <c r="C12" s="12" t="s">
        <v>862</v>
      </c>
      <c r="D12" s="39" t="str">
        <f>HYPERLINK("https://www.gov.uk/service-manual/making-software/progressive-enhancement.html","Progressive Enhancement")</f>
        <v>Progressive Enhancement</v>
      </c>
      <c r="E12" s="165" t="s">
        <v>875</v>
      </c>
      <c r="F12" s="95"/>
      <c r="G12" s="96"/>
    </row>
    <row r="13" spans="1:7" ht="50" customHeight="1">
      <c r="A13" s="9" t="s">
        <v>884</v>
      </c>
      <c r="B13" s="12" t="s">
        <v>885</v>
      </c>
      <c r="C13" s="12" t="s">
        <v>887</v>
      </c>
      <c r="D13" s="41"/>
      <c r="E13" s="40"/>
      <c r="F13" s="95"/>
      <c r="G13" s="96"/>
    </row>
    <row r="14" spans="1:7" ht="54" customHeight="1">
      <c r="A14" s="9" t="s">
        <v>889</v>
      </c>
      <c r="B14" s="12" t="s">
        <v>890</v>
      </c>
      <c r="C14" s="12" t="s">
        <v>891</v>
      </c>
      <c r="D14" s="41"/>
      <c r="E14" s="40"/>
      <c r="F14" s="95"/>
      <c r="G14" s="96"/>
    </row>
    <row r="15" spans="1:7" ht="41.25" customHeight="1">
      <c r="A15" s="223" t="s">
        <v>893</v>
      </c>
      <c r="B15" s="12" t="s">
        <v>894</v>
      </c>
      <c r="C15" s="12" t="s">
        <v>895</v>
      </c>
      <c r="D15" s="41"/>
      <c r="E15" s="40"/>
      <c r="F15" s="95"/>
      <c r="G15" s="96"/>
    </row>
    <row r="16" spans="1:7" ht="59" customHeight="1">
      <c r="A16" s="224"/>
      <c r="B16" s="12" t="s">
        <v>897</v>
      </c>
      <c r="C16" s="12" t="s">
        <v>898</v>
      </c>
      <c r="D16" s="41"/>
      <c r="E16" s="40"/>
      <c r="F16" s="95"/>
      <c r="G16" s="96"/>
    </row>
    <row r="17" spans="1:7" ht="60" customHeight="1">
      <c r="A17" s="224"/>
      <c r="B17" s="12" t="s">
        <v>900</v>
      </c>
      <c r="C17" s="12" t="s">
        <v>902</v>
      </c>
      <c r="D17" s="41"/>
      <c r="E17" s="40"/>
      <c r="F17" s="95"/>
      <c r="G17" s="96"/>
    </row>
    <row r="18" spans="1:7" ht="51" customHeight="1">
      <c r="A18" s="223" t="s">
        <v>905</v>
      </c>
      <c r="B18" s="12" t="s">
        <v>908</v>
      </c>
      <c r="C18" s="12" t="s">
        <v>909</v>
      </c>
      <c r="D18" s="41"/>
      <c r="E18" s="40"/>
      <c r="F18" s="95"/>
      <c r="G18" s="96"/>
    </row>
    <row r="19" spans="1:7" ht="51" customHeight="1">
      <c r="A19" s="224"/>
      <c r="B19" s="12" t="s">
        <v>910</v>
      </c>
      <c r="C19" s="12" t="s">
        <v>911</v>
      </c>
      <c r="D19" s="41"/>
      <c r="E19" s="40"/>
      <c r="F19" s="95"/>
      <c r="G19" s="96"/>
    </row>
    <row r="20" spans="1:7" ht="57" customHeight="1">
      <c r="A20" s="9" t="s">
        <v>913</v>
      </c>
      <c r="B20" s="12" t="s">
        <v>915</v>
      </c>
      <c r="C20" s="12" t="s">
        <v>916</v>
      </c>
      <c r="D20" s="41"/>
      <c r="E20" s="40"/>
      <c r="F20" s="95"/>
      <c r="G20" s="96"/>
    </row>
    <row r="21" spans="1:7" ht="73" customHeight="1">
      <c r="A21" s="9" t="s">
        <v>920</v>
      </c>
      <c r="B21" s="12" t="s">
        <v>921</v>
      </c>
      <c r="C21" s="12" t="s">
        <v>922</v>
      </c>
      <c r="D21" s="41"/>
      <c r="E21" s="40"/>
      <c r="F21" s="95"/>
      <c r="G21" s="96"/>
    </row>
    <row r="22" spans="1:7" ht="68" customHeight="1">
      <c r="A22" s="9" t="s">
        <v>926</v>
      </c>
      <c r="B22" s="12" t="s">
        <v>927</v>
      </c>
      <c r="C22" s="12" t="s">
        <v>929</v>
      </c>
      <c r="D22" s="41"/>
      <c r="E22" s="40"/>
      <c r="F22" s="95"/>
      <c r="G22" s="96"/>
    </row>
    <row r="23" spans="1:7" ht="63" customHeight="1">
      <c r="A23" s="223" t="s">
        <v>932</v>
      </c>
      <c r="B23" s="12" t="s">
        <v>938</v>
      </c>
      <c r="C23" s="12" t="s">
        <v>940</v>
      </c>
      <c r="D23" s="39" t="str">
        <f>HYPERLINK("https://www.gov.uk/service-manual/the-team/accessibility.html","Accessibility skills")</f>
        <v>Accessibility skills</v>
      </c>
      <c r="E23" s="40" t="s">
        <v>952</v>
      </c>
      <c r="F23" s="95"/>
      <c r="G23" s="96"/>
    </row>
    <row r="24" spans="1:7" ht="68" customHeight="1">
      <c r="A24" s="224"/>
      <c r="B24" s="12" t="s">
        <v>956</v>
      </c>
      <c r="C24" s="12" t="s">
        <v>958</v>
      </c>
      <c r="D24" s="41"/>
      <c r="E24" s="40"/>
      <c r="F24" s="95"/>
      <c r="G24" s="96"/>
    </row>
    <row r="25" spans="1:7" ht="90" customHeight="1">
      <c r="A25" s="9" t="s">
        <v>960</v>
      </c>
      <c r="B25" s="12" t="s">
        <v>962</v>
      </c>
      <c r="C25" s="12" t="s">
        <v>963</v>
      </c>
      <c r="D25" s="39" t="str">
        <f>HYPERLINK("https://www.gov.uk/service-manual/making-software/development-environment.html","Development environments")</f>
        <v>Development environments</v>
      </c>
      <c r="E25" s="40" t="s">
        <v>969</v>
      </c>
      <c r="F25" s="95"/>
      <c r="G25" s="96"/>
    </row>
    <row r="26" spans="1:7" ht="69" customHeight="1">
      <c r="A26" s="223" t="s">
        <v>970</v>
      </c>
      <c r="B26" s="12" t="s">
        <v>971</v>
      </c>
      <c r="C26" s="12" t="s">
        <v>972</v>
      </c>
      <c r="D26" s="39" t="str">
        <f>HYPERLINK("https://www.gov.uk/service-manual/making-software/code-testing.html","Testing code")</f>
        <v>Testing code</v>
      </c>
      <c r="E26" s="40" t="s">
        <v>978</v>
      </c>
      <c r="F26" s="95"/>
      <c r="G26" s="96"/>
    </row>
    <row r="27" spans="1:7" ht="55" customHeight="1">
      <c r="A27" s="224"/>
      <c r="B27" s="12" t="s">
        <v>983</v>
      </c>
      <c r="C27" s="12" t="s">
        <v>984</v>
      </c>
      <c r="D27" s="41"/>
      <c r="E27" s="40"/>
      <c r="F27" s="95"/>
      <c r="G27" s="96"/>
    </row>
    <row r="28" spans="1:7" ht="63" customHeight="1">
      <c r="A28" s="9" t="s">
        <v>988</v>
      </c>
      <c r="B28" s="12" t="s">
        <v>990</v>
      </c>
      <c r="C28" s="12" t="s">
        <v>991</v>
      </c>
      <c r="D28" s="41"/>
      <c r="E28" s="40"/>
      <c r="F28" s="95"/>
      <c r="G28" s="96"/>
    </row>
    <row r="29" spans="1:7" ht="68">
      <c r="A29" s="9" t="s">
        <v>994</v>
      </c>
      <c r="B29" s="12" t="s">
        <v>997</v>
      </c>
      <c r="C29" s="12" t="s">
        <v>998</v>
      </c>
      <c r="D29" s="39" t="str">
        <f>HYPERLINK("https://www.gov.uk/service-manual/making-software/apis.html","APIs")</f>
        <v>APIs</v>
      </c>
      <c r="E29" s="40" t="s">
        <v>1011</v>
      </c>
      <c r="F29" s="95"/>
      <c r="G29" s="96"/>
    </row>
    <row r="30" spans="1:7" ht="79" customHeight="1">
      <c r="A30" s="9" t="s">
        <v>1354</v>
      </c>
      <c r="B30" s="12" t="s">
        <v>1014</v>
      </c>
      <c r="C30" s="12" t="s">
        <v>1015</v>
      </c>
      <c r="D30" s="41"/>
      <c r="E30" s="40"/>
      <c r="F30" s="95"/>
      <c r="G30" s="96"/>
    </row>
    <row r="31" spans="1:7" ht="57" customHeight="1">
      <c r="A31" s="9" t="s">
        <v>1018</v>
      </c>
      <c r="B31" s="12" t="s">
        <v>1019</v>
      </c>
      <c r="C31" s="12" t="s">
        <v>1020</v>
      </c>
      <c r="D31" s="39" t="str">
        <f>HYPERLINK("https://www.gov.uk/service-manual/making-software/version-control.html","Version control")</f>
        <v>Version control</v>
      </c>
      <c r="E31" s="40" t="s">
        <v>1025</v>
      </c>
      <c r="F31" s="95"/>
      <c r="G31" s="96"/>
    </row>
    <row r="32" spans="1:7" ht="68" customHeight="1">
      <c r="A32" s="9" t="s">
        <v>1026</v>
      </c>
      <c r="B32" s="12" t="s">
        <v>1028</v>
      </c>
      <c r="C32" s="12" t="s">
        <v>1029</v>
      </c>
      <c r="D32" s="41"/>
      <c r="E32" s="40"/>
      <c r="F32" s="99"/>
      <c r="G32" s="100"/>
    </row>
    <row r="33" spans="1:7" ht="41.25" customHeight="1">
      <c r="A33" s="215" t="str">
        <f>HYPERLINK("https://www.nationalarchives.gov.uk/doc/open-government-licence/version/3/","All content is available under the Open Government Licence v3.0, except where otherwise stated")</f>
        <v>All content is available under the Open Government Licence v3.0, except where otherwise stated</v>
      </c>
      <c r="B33" s="216"/>
      <c r="C33" s="216"/>
      <c r="D33" s="7"/>
      <c r="E33" s="7"/>
      <c r="F33" s="7"/>
      <c r="G33" s="7"/>
    </row>
  </sheetData>
  <mergeCells count="12">
    <mergeCell ref="F4:G4"/>
    <mergeCell ref="A4:C4"/>
    <mergeCell ref="A33:C33"/>
    <mergeCell ref="A26:A27"/>
    <mergeCell ref="B2:C2"/>
    <mergeCell ref="B3:C3"/>
    <mergeCell ref="A23:A24"/>
    <mergeCell ref="B1:C1"/>
    <mergeCell ref="A10:A11"/>
    <mergeCell ref="A7:A8"/>
    <mergeCell ref="A18:A19"/>
    <mergeCell ref="A15:A17"/>
  </mergeCells>
  <phoneticPr fontId="11" type="noConversion"/>
  <hyperlinks>
    <hyperlink ref="B1" r:id="rId1" display="https://www.gov.uk/service-manual/the-team/developer.html"/>
    <hyperlink ref="D6" r:id="rId2" display="https://www.gov.uk/service-manual/the-team/developer.html"/>
    <hyperlink ref="F6" r:id="rId3" display="https://www.gov.uk/service-manual/making-software/dependency-management"/>
    <hyperlink ref="D10" r:id="rId4" display="https://www.gov.uk/service-manual/making-software/deployment.html"/>
    <hyperlink ref="D12" r:id="rId5" display="https://www.gov.uk/service-manual/making-software/progressive-enhancement.html"/>
    <hyperlink ref="D23" r:id="rId6" display="https://www.gov.uk/service-manual/the-team/accessibility.html"/>
    <hyperlink ref="D25" r:id="rId7" display="https://www.gov.uk/service-manual/making-software/development-environment.html"/>
    <hyperlink ref="D26" r:id="rId8" display="https://www.gov.uk/service-manual/making-software/code-testing.html"/>
    <hyperlink ref="D29" r:id="rId9" display="https://www.gov.uk/service-manual/making-software/apis.html"/>
    <hyperlink ref="D31" r:id="rId10" display="https://www.gov.uk/service-manual/making-software/version-control.html"/>
    <hyperlink ref="A33" r:id="rId11" display="https://www.nationalarchives.gov.uk/doc/open-government-licence/version/3/"/>
  </hyperlinks>
  <pageMargins left="0.75" right="0.75" top="1" bottom="1" header="0.5" footer="0.5"/>
  <pageSetup paperSize="9" orientation="portrait" horizontalDpi="4294967292" verticalDpi="4294967292"/>
  <drawing r:id="rId1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pane ySplit="6" topLeftCell="A7" activePane="bottomLeft" state="frozen"/>
      <selection pane="bottomLeft" activeCell="B7" sqref="B7"/>
    </sheetView>
  </sheetViews>
  <sheetFormatPr baseColWidth="10" defaultColWidth="14.5" defaultRowHeight="15.75" customHeight="1" x14ac:dyDescent="0"/>
  <cols>
    <col min="1" max="1" width="28.5" style="10" customWidth="1"/>
    <col min="2" max="2" width="123.1640625" style="10" customWidth="1"/>
    <col min="3" max="3" width="13.83203125" style="10" customWidth="1"/>
    <col min="4" max="4" width="26.1640625" style="10" customWidth="1"/>
    <col min="5" max="5" width="41" style="10" customWidth="1"/>
    <col min="6" max="6" width="31" style="10" customWidth="1"/>
    <col min="7" max="7" width="39.5" style="10" customWidth="1"/>
    <col min="8" max="16384" width="14.5" style="10"/>
  </cols>
  <sheetData>
    <row r="1" spans="1:7" ht="26.25" customHeight="1">
      <c r="A1" s="1" t="s">
        <v>746</v>
      </c>
      <c r="B1" s="288" t="str">
        <f>HYPERLINK("https://www.gov.uk/service-manual/agile/continuous-delivery.html","Operations Engineering")</f>
        <v>Operations Engineering</v>
      </c>
      <c r="C1" s="271"/>
      <c r="D1" s="46"/>
      <c r="E1" s="47"/>
      <c r="F1" s="47"/>
      <c r="G1" s="48"/>
    </row>
    <row r="2" spans="1:7" ht="92" customHeight="1">
      <c r="A2" s="1" t="s">
        <v>755</v>
      </c>
      <c r="B2" s="283" t="s">
        <v>759</v>
      </c>
      <c r="C2" s="273"/>
      <c r="D2" s="49"/>
      <c r="E2" s="45"/>
      <c r="F2" s="45"/>
      <c r="G2" s="50"/>
    </row>
    <row r="3" spans="1:7" ht="56" customHeight="1">
      <c r="A3" s="1" t="s">
        <v>766</v>
      </c>
      <c r="B3" s="253" t="s">
        <v>1390</v>
      </c>
      <c r="C3" s="254"/>
      <c r="D3" s="49"/>
      <c r="E3" s="45"/>
      <c r="F3" s="45"/>
      <c r="G3" s="50"/>
    </row>
    <row r="4" spans="1:7" ht="50" customHeight="1">
      <c r="A4" s="1" t="s">
        <v>774</v>
      </c>
      <c r="B4" s="253" t="s">
        <v>777</v>
      </c>
      <c r="C4" s="254"/>
      <c r="D4" s="51"/>
      <c r="E4" s="52"/>
      <c r="F4" s="52"/>
      <c r="G4" s="53"/>
    </row>
    <row r="5" spans="1:7" ht="26.25" customHeight="1">
      <c r="A5" s="277" t="s">
        <v>787</v>
      </c>
      <c r="B5" s="278"/>
      <c r="C5" s="279"/>
      <c r="D5" s="15" t="s">
        <v>1350</v>
      </c>
      <c r="E5" s="3"/>
      <c r="F5" s="297" t="s">
        <v>1351</v>
      </c>
      <c r="G5" s="224"/>
    </row>
    <row r="6" spans="1:7" ht="26.25" customHeight="1">
      <c r="A6" s="44" t="s">
        <v>792</v>
      </c>
      <c r="B6" s="1" t="s">
        <v>793</v>
      </c>
      <c r="C6" s="1" t="s">
        <v>794</v>
      </c>
      <c r="D6" s="4" t="s">
        <v>795</v>
      </c>
      <c r="E6" s="4" t="s">
        <v>797</v>
      </c>
      <c r="F6" s="5" t="s">
        <v>799</v>
      </c>
      <c r="G6" s="5" t="s">
        <v>801</v>
      </c>
    </row>
    <row r="7" spans="1:7" ht="75" customHeight="1">
      <c r="A7" s="9" t="s">
        <v>802</v>
      </c>
      <c r="B7" s="11" t="s">
        <v>1432</v>
      </c>
      <c r="C7" s="12" t="s">
        <v>809</v>
      </c>
      <c r="D7" s="41"/>
      <c r="E7" s="41"/>
      <c r="F7" s="34" t="str">
        <f>HYPERLINK("http://www.computerweekly.com/feature/How-to-tame-the-new-IT-beast-called-DevOps?asrc=EM_MDN_32340805&amp;utm_medium=EM&amp;utm_source=MDN&amp;utm_campaign=20140804_Bitcoin%20mining%20firm%20CoinTerra%20signs%20multi-megawatt%20datacentre%20deal_","Computer Weekly")</f>
        <v>Computer Weekly</v>
      </c>
      <c r="G7" s="35" t="s">
        <v>838</v>
      </c>
    </row>
    <row r="8" spans="1:7" ht="216" customHeight="1">
      <c r="A8" s="223" t="s">
        <v>840</v>
      </c>
      <c r="B8" s="12" t="s">
        <v>845</v>
      </c>
      <c r="C8" s="12" t="s">
        <v>847</v>
      </c>
      <c r="D8" s="39" t="str">
        <f>HYPERLINK("https://www.gov.uk/service-manual/operations/hosting.html","Hosting")</f>
        <v>Hosting</v>
      </c>
      <c r="E8" s="41" t="s">
        <v>849</v>
      </c>
      <c r="F8" s="34" t="str">
        <f>HYPERLINK("https://www.gov.uk/service-manual/the-team/web-operations.html","Web operations skills")</f>
        <v>Web operations skills</v>
      </c>
      <c r="G8" s="35" t="s">
        <v>852</v>
      </c>
    </row>
    <row r="9" spans="1:7" ht="62" customHeight="1">
      <c r="A9" s="224"/>
      <c r="B9" s="12" t="s">
        <v>857</v>
      </c>
      <c r="C9" s="12" t="s">
        <v>859</v>
      </c>
      <c r="D9" s="41"/>
      <c r="E9" s="41"/>
      <c r="F9" s="34" t="str">
        <f>HYPERLINK("https://www.gov.uk/service-manual/operations/index.html","Operating a service")</f>
        <v>Operating a service</v>
      </c>
      <c r="G9" s="35" t="s">
        <v>865</v>
      </c>
    </row>
    <row r="10" spans="1:7" ht="73" customHeight="1">
      <c r="A10" s="223" t="s">
        <v>868</v>
      </c>
      <c r="B10" s="12" t="s">
        <v>869</v>
      </c>
      <c r="C10" s="12" t="s">
        <v>870</v>
      </c>
      <c r="D10" s="41"/>
      <c r="E10" s="41"/>
      <c r="F10" s="130" t="str">
        <f>HYPERLINK("https://www.gov.uk/service-manual/operations/web-operations-stories.html","User stories for web operations")</f>
        <v>User stories for web operations</v>
      </c>
      <c r="G10" s="131" t="s">
        <v>880</v>
      </c>
    </row>
    <row r="11" spans="1:7" ht="44.25" customHeight="1">
      <c r="A11" s="224"/>
      <c r="B11" s="12" t="s">
        <v>881</v>
      </c>
      <c r="C11" s="12" t="s">
        <v>882</v>
      </c>
      <c r="D11" s="41"/>
      <c r="E11" s="40"/>
      <c r="F11" s="93"/>
      <c r="G11" s="94"/>
    </row>
    <row r="12" spans="1:7" ht="62" customHeight="1">
      <c r="A12" s="9" t="s">
        <v>883</v>
      </c>
      <c r="B12" s="12" t="s">
        <v>886</v>
      </c>
      <c r="C12" s="12" t="s">
        <v>888</v>
      </c>
      <c r="D12" s="39" t="str">
        <f>HYPERLINK("https://www.gov.uk/service-manual/agile/continuous-delivery.html#deployment","Continuous delivery")</f>
        <v>Continuous delivery</v>
      </c>
      <c r="E12" s="40" t="s">
        <v>896</v>
      </c>
      <c r="F12" s="95"/>
      <c r="G12" s="96"/>
    </row>
    <row r="13" spans="1:7" ht="79" customHeight="1">
      <c r="A13" s="9" t="s">
        <v>899</v>
      </c>
      <c r="B13" s="12" t="s">
        <v>901</v>
      </c>
      <c r="C13" s="12" t="s">
        <v>903</v>
      </c>
      <c r="D13" s="41"/>
      <c r="E13" s="40"/>
      <c r="F13" s="95"/>
      <c r="G13" s="96"/>
    </row>
    <row r="14" spans="1:7" ht="54" customHeight="1">
      <c r="A14" s="223" t="s">
        <v>904</v>
      </c>
      <c r="B14" s="12" t="s">
        <v>906</v>
      </c>
      <c r="C14" s="12" t="s">
        <v>907</v>
      </c>
      <c r="D14" s="39" t="str">
        <f>HYPERLINK("https://www.gov.uk/service-manual/making-software/configuration-management.html","Configuration Management")</f>
        <v>Configuration Management</v>
      </c>
      <c r="E14" s="40" t="s">
        <v>918</v>
      </c>
      <c r="F14" s="95"/>
      <c r="G14" s="96"/>
    </row>
    <row r="15" spans="1:7" ht="50" customHeight="1">
      <c r="A15" s="224"/>
      <c r="B15" s="12" t="s">
        <v>923</v>
      </c>
      <c r="C15" s="12" t="s">
        <v>924</v>
      </c>
      <c r="D15" s="41"/>
      <c r="E15" s="40"/>
      <c r="F15" s="95"/>
      <c r="G15" s="96"/>
    </row>
    <row r="16" spans="1:7" ht="50" customHeight="1">
      <c r="A16" s="224"/>
      <c r="B16" s="12" t="s">
        <v>928</v>
      </c>
      <c r="C16" s="12" t="s">
        <v>930</v>
      </c>
      <c r="D16" s="41"/>
      <c r="E16" s="40"/>
      <c r="F16" s="95"/>
      <c r="G16" s="96"/>
    </row>
    <row r="17" spans="1:7" ht="44" customHeight="1">
      <c r="A17" s="224"/>
      <c r="B17" s="12" t="s">
        <v>935</v>
      </c>
      <c r="C17" s="12" t="s">
        <v>937</v>
      </c>
      <c r="D17" s="41"/>
      <c r="E17" s="40"/>
      <c r="F17" s="95"/>
      <c r="G17" s="96"/>
    </row>
    <row r="18" spans="1:7" ht="48" customHeight="1">
      <c r="A18" s="9" t="s">
        <v>941</v>
      </c>
      <c r="B18" s="12" t="s">
        <v>943</v>
      </c>
      <c r="C18" s="12" t="s">
        <v>944</v>
      </c>
      <c r="D18" s="41"/>
      <c r="E18" s="40"/>
      <c r="F18" s="95"/>
      <c r="G18" s="96"/>
    </row>
    <row r="19" spans="1:7" ht="52" customHeight="1">
      <c r="A19" s="9" t="s">
        <v>947</v>
      </c>
      <c r="B19" s="12" t="s">
        <v>949</v>
      </c>
      <c r="C19" s="12" t="s">
        <v>950</v>
      </c>
      <c r="D19" s="39" t="str">
        <f>HYPERLINK("https://www.gov.uk/service-manual/technology/service-integration.html","Service integration and management")</f>
        <v>Service integration and management</v>
      </c>
      <c r="E19" s="40" t="s">
        <v>953</v>
      </c>
      <c r="F19" s="95"/>
      <c r="G19" s="96"/>
    </row>
    <row r="20" spans="1:7" ht="62" customHeight="1">
      <c r="A20" s="9" t="s">
        <v>954</v>
      </c>
      <c r="B20" s="12" t="s">
        <v>955</v>
      </c>
      <c r="C20" s="12" t="s">
        <v>957</v>
      </c>
      <c r="D20" s="41"/>
      <c r="E20" s="40"/>
      <c r="F20" s="95"/>
      <c r="G20" s="96"/>
    </row>
    <row r="21" spans="1:7" ht="61" customHeight="1">
      <c r="A21" s="9" t="s">
        <v>959</v>
      </c>
      <c r="B21" s="12" t="s">
        <v>967</v>
      </c>
      <c r="C21" s="12" t="s">
        <v>968</v>
      </c>
      <c r="D21" s="39" t="str">
        <f>HYPERLINK("https://www.gov.uk/service-manual/operations/load-and-performance-testing.html","Load and performance testing")</f>
        <v>Load and performance testing</v>
      </c>
      <c r="E21" s="40" t="s">
        <v>973</v>
      </c>
      <c r="F21" s="95"/>
      <c r="G21" s="96"/>
    </row>
    <row r="22" spans="1:7" ht="64" customHeight="1">
      <c r="A22" s="9" t="s">
        <v>974</v>
      </c>
      <c r="B22" s="12" t="s">
        <v>976</v>
      </c>
      <c r="C22" s="12" t="s">
        <v>977</v>
      </c>
      <c r="D22" s="41"/>
      <c r="E22" s="40"/>
      <c r="F22" s="95"/>
      <c r="G22" s="96"/>
    </row>
    <row r="23" spans="1:7" ht="53" customHeight="1">
      <c r="A23" s="9" t="s">
        <v>979</v>
      </c>
      <c r="B23" s="12" t="s">
        <v>981</v>
      </c>
      <c r="C23" s="12" t="s">
        <v>982</v>
      </c>
      <c r="D23" s="41"/>
      <c r="E23" s="40"/>
      <c r="F23" s="95"/>
      <c r="G23" s="96"/>
    </row>
    <row r="24" spans="1:7" ht="60" customHeight="1">
      <c r="A24" s="9" t="s">
        <v>986</v>
      </c>
      <c r="B24" s="12" t="s">
        <v>992</v>
      </c>
      <c r="C24" s="12" t="s">
        <v>995</v>
      </c>
      <c r="D24" s="39" t="str">
        <f>HYPERLINK("https://www.gov.uk/service-manual/technology/end-user-devices.html","End User Devices")</f>
        <v>End User Devices</v>
      </c>
      <c r="E24" s="40" t="s">
        <v>1002</v>
      </c>
      <c r="F24" s="95"/>
      <c r="G24" s="96"/>
    </row>
    <row r="25" spans="1:7" ht="63" customHeight="1">
      <c r="A25" s="9" t="s">
        <v>1003</v>
      </c>
      <c r="B25" s="12" t="s">
        <v>1004</v>
      </c>
      <c r="C25" s="12" t="s">
        <v>1005</v>
      </c>
      <c r="D25" s="41"/>
      <c r="E25" s="40"/>
      <c r="F25" s="95"/>
      <c r="G25" s="96"/>
    </row>
    <row r="26" spans="1:7" ht="59" customHeight="1">
      <c r="A26" s="9" t="s">
        <v>1006</v>
      </c>
      <c r="B26" s="12" t="s">
        <v>1007</v>
      </c>
      <c r="C26" s="12" t="s">
        <v>1009</v>
      </c>
      <c r="D26" s="41"/>
      <c r="E26" s="40"/>
      <c r="F26" s="99"/>
      <c r="G26" s="100"/>
    </row>
    <row r="27" spans="1:7" ht="39" customHeight="1">
      <c r="A27" s="215" t="str">
        <f>HYPERLINK("https://www.nationalarchives.gov.uk/doc/open-government-licence/version/3/","All content is available under the Open Government Licence v3.0, except where otherwise stated")</f>
        <v>All content is available under the Open Government Licence v3.0, except where otherwise stated</v>
      </c>
      <c r="B27" s="216"/>
      <c r="C27" s="216"/>
      <c r="D27" s="7"/>
      <c r="E27" s="7"/>
      <c r="F27" s="7"/>
      <c r="G27" s="7"/>
    </row>
  </sheetData>
  <mergeCells count="10">
    <mergeCell ref="A27:C27"/>
    <mergeCell ref="B4:C4"/>
    <mergeCell ref="A14:A17"/>
    <mergeCell ref="A5:C5"/>
    <mergeCell ref="B2:C2"/>
    <mergeCell ref="B1:C1"/>
    <mergeCell ref="A10:A11"/>
    <mergeCell ref="A8:A9"/>
    <mergeCell ref="F5:G5"/>
    <mergeCell ref="B3:C3"/>
  </mergeCells>
  <phoneticPr fontId="11" type="noConversion"/>
  <hyperlinks>
    <hyperlink ref="B1" r:id="rId1" display="https://www.gov.uk/service-manual/agile/continuous-delivery.html"/>
    <hyperlink ref="F7" r:id="rId2" display="http://www.computerweekly.com/feature/How-to-tame-the-new-IT-beast-called-DevOps?asrc=EM_MDN_32340805&amp;utm_medium=EM&amp;utm_source=MDN&amp;utm_campaign=20140804_Bitcoin mining firm CoinTerra signs multi-megawatt datacentre deal_"/>
    <hyperlink ref="D8" r:id="rId3" display="https://www.gov.uk/service-manual/operations/hosting.html"/>
    <hyperlink ref="F8" r:id="rId4" display="https://www.gov.uk/service-manual/the-team/web-operations.html"/>
    <hyperlink ref="F9" r:id="rId5" display="https://www.gov.uk/service-manual/operations/index.html"/>
    <hyperlink ref="F10" r:id="rId6" display="https://www.gov.uk/service-manual/operations/web-operations-stories.html"/>
    <hyperlink ref="D12" r:id="rId7" location="deployment" display="https://www.gov.uk/service-manual/agile/continuous-delivery.html - deployment"/>
    <hyperlink ref="D14" r:id="rId8" display="https://www.gov.uk/service-manual/making-software/configuration-management.html"/>
    <hyperlink ref="D19" r:id="rId9" display="https://www.gov.uk/service-manual/technology/service-integration.html"/>
    <hyperlink ref="D21" r:id="rId10" display="https://www.gov.uk/service-manual/operations/load-and-performance-testing.html"/>
    <hyperlink ref="D24" r:id="rId11" display="https://www.gov.uk/service-manual/technology/end-user-devices.html"/>
    <hyperlink ref="A27" r:id="rId12" display="https://www.nationalarchives.gov.uk/doc/open-government-licence/version/3/"/>
  </hyperlinks>
  <pageMargins left="0.75" right="0.75" top="1" bottom="1" header="0.5" footer="0.5"/>
  <pageSetup paperSize="9" orientation="portrait" horizontalDpi="4294967292" verticalDpi="4294967292"/>
  <drawing r:id="rId1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pane ySplit="6" topLeftCell="A7" activePane="bottomLeft" state="frozen"/>
      <selection pane="bottomLeft" activeCell="B7" sqref="B7"/>
    </sheetView>
  </sheetViews>
  <sheetFormatPr baseColWidth="10" defaultColWidth="14.5" defaultRowHeight="15.75" customHeight="1" x14ac:dyDescent="0"/>
  <cols>
    <col min="1" max="1" width="27.5" style="10" customWidth="1"/>
    <col min="2" max="2" width="119.83203125" style="10" customWidth="1"/>
    <col min="3" max="3" width="14.5" style="10" customWidth="1"/>
    <col min="4" max="4" width="26.1640625" style="10" customWidth="1"/>
    <col min="5" max="5" width="39.5" style="10" customWidth="1"/>
    <col min="6" max="6" width="27.5" style="10" customWidth="1"/>
    <col min="7" max="7" width="34" style="10" customWidth="1"/>
    <col min="8" max="16384" width="14.5" style="10"/>
  </cols>
  <sheetData>
    <row r="1" spans="1:7" ht="38" customHeight="1">
      <c r="A1" s="1" t="s">
        <v>761</v>
      </c>
      <c r="B1" s="288" t="str">
        <f>HYPERLINK("https://www.gov.uk/service-manual/technology/service-integration.html","Operations Management")</f>
        <v>Operations Management</v>
      </c>
      <c r="C1" s="271"/>
      <c r="D1" s="127"/>
      <c r="E1" s="47"/>
      <c r="F1" s="47"/>
      <c r="G1" s="48"/>
    </row>
    <row r="2" spans="1:7" ht="51" customHeight="1">
      <c r="A2" s="1" t="s">
        <v>790</v>
      </c>
      <c r="B2" s="283" t="s">
        <v>791</v>
      </c>
      <c r="C2" s="273"/>
      <c r="D2" s="67"/>
      <c r="E2" s="45"/>
      <c r="F2" s="45"/>
      <c r="G2" s="50"/>
    </row>
    <row r="3" spans="1:7" ht="52" customHeight="1">
      <c r="A3" s="1" t="s">
        <v>796</v>
      </c>
      <c r="B3" s="253" t="s">
        <v>798</v>
      </c>
      <c r="C3" s="254"/>
      <c r="D3" s="67"/>
      <c r="E3" s="45"/>
      <c r="F3" s="45"/>
      <c r="G3" s="50"/>
    </row>
    <row r="4" spans="1:7" ht="52" customHeight="1" thickBot="1">
      <c r="A4" s="1" t="s">
        <v>803</v>
      </c>
      <c r="B4" s="253" t="s">
        <v>805</v>
      </c>
      <c r="C4" s="254"/>
      <c r="D4" s="68"/>
      <c r="E4" s="52"/>
      <c r="F4" s="52"/>
      <c r="G4" s="53"/>
    </row>
    <row r="5" spans="1:7" ht="26.25" customHeight="1">
      <c r="A5" s="277" t="s">
        <v>812</v>
      </c>
      <c r="B5" s="278"/>
      <c r="C5" s="279"/>
      <c r="D5" s="15" t="s">
        <v>1350</v>
      </c>
      <c r="E5" s="2"/>
      <c r="F5" s="239" t="s">
        <v>1351</v>
      </c>
      <c r="G5" s="240"/>
    </row>
    <row r="6" spans="1:7" ht="26.25" customHeight="1">
      <c r="A6" s="44" t="s">
        <v>817</v>
      </c>
      <c r="B6" s="1" t="s">
        <v>818</v>
      </c>
      <c r="C6" s="1" t="s">
        <v>820</v>
      </c>
      <c r="D6" s="4" t="s">
        <v>821</v>
      </c>
      <c r="E6" s="15" t="s">
        <v>822</v>
      </c>
      <c r="F6" s="36" t="s">
        <v>826</v>
      </c>
      <c r="G6" s="37" t="s">
        <v>827</v>
      </c>
    </row>
    <row r="7" spans="1:7" ht="91" customHeight="1">
      <c r="A7" s="9" t="s">
        <v>828</v>
      </c>
      <c r="B7" s="11" t="s">
        <v>1433</v>
      </c>
      <c r="C7" s="11" t="s">
        <v>832</v>
      </c>
      <c r="D7" s="41"/>
      <c r="E7" s="40"/>
      <c r="F7" s="121" t="str">
        <f>HYPERLINK("https://www.gov.uk/service-manual/operations/web-operations-stories.html","User stories for web operations")</f>
        <v>User stories for web operations</v>
      </c>
      <c r="G7" s="166" t="s">
        <v>848</v>
      </c>
    </row>
    <row r="8" spans="1:7" ht="51" customHeight="1" thickBot="1">
      <c r="A8" s="333" t="s">
        <v>1401</v>
      </c>
      <c r="B8" s="11" t="s">
        <v>1402</v>
      </c>
      <c r="C8" s="11" t="s">
        <v>1090</v>
      </c>
      <c r="D8" s="39" t="str">
        <f>HYPERLINK("https://www.gov.uk/service-manual/operations/hosting.html","Hosting")</f>
        <v>Hosting</v>
      </c>
      <c r="E8" s="40" t="s">
        <v>1096</v>
      </c>
      <c r="F8" s="134" t="str">
        <f>HYPERLINK("http://www.computerweekly.com/feature/How-to-tame-the-new-IT-beast-called-DevOps?asrc=EM_MDN_32340805&amp;utm_medium=EM&amp;utm_source=MDN&amp;utm_campaign=20140804_Bitcoin%20mining%20firm%20CoinTerra%20signs%20multi-megawatt%20datacentre%20deal_","Computer Weekly")</f>
        <v>Computer Weekly</v>
      </c>
      <c r="G8" s="135" t="s">
        <v>1123</v>
      </c>
    </row>
    <row r="9" spans="1:7" ht="79" customHeight="1">
      <c r="A9" s="282"/>
      <c r="B9" s="11" t="s">
        <v>1097</v>
      </c>
      <c r="C9" s="11" t="s">
        <v>1098</v>
      </c>
      <c r="D9" s="41"/>
      <c r="E9" s="40"/>
      <c r="F9" s="95"/>
      <c r="G9" s="96"/>
    </row>
    <row r="10" spans="1:7" ht="60" customHeight="1">
      <c r="A10" s="26" t="s">
        <v>1099</v>
      </c>
      <c r="B10" s="11" t="s">
        <v>1100</v>
      </c>
      <c r="C10" s="11" t="s">
        <v>1101</v>
      </c>
      <c r="D10" s="41"/>
      <c r="E10" s="40"/>
      <c r="F10" s="95"/>
      <c r="G10" s="96"/>
    </row>
    <row r="11" spans="1:7" ht="51" customHeight="1">
      <c r="A11" s="9" t="s">
        <v>1102</v>
      </c>
      <c r="B11" s="11" t="s">
        <v>1104</v>
      </c>
      <c r="C11" s="11" t="s">
        <v>1106</v>
      </c>
      <c r="D11" s="41"/>
      <c r="E11" s="40"/>
      <c r="F11" s="95"/>
      <c r="G11" s="96"/>
    </row>
    <row r="12" spans="1:7" ht="63" customHeight="1">
      <c r="A12" s="9" t="s">
        <v>1110</v>
      </c>
      <c r="B12" s="11" t="s">
        <v>1111</v>
      </c>
      <c r="C12" s="11" t="s">
        <v>1112</v>
      </c>
      <c r="D12" s="41"/>
      <c r="E12" s="40"/>
      <c r="F12" s="95"/>
      <c r="G12" s="96"/>
    </row>
    <row r="13" spans="1:7" ht="61" customHeight="1">
      <c r="A13" s="9" t="s">
        <v>1116</v>
      </c>
      <c r="B13" s="11" t="s">
        <v>1117</v>
      </c>
      <c r="C13" s="11" t="s">
        <v>1118</v>
      </c>
      <c r="D13" s="41"/>
      <c r="E13" s="40"/>
      <c r="F13" s="116"/>
      <c r="G13" s="138"/>
    </row>
    <row r="14" spans="1:7" ht="61" customHeight="1">
      <c r="A14" s="9" t="s">
        <v>1125</v>
      </c>
      <c r="B14" s="11" t="s">
        <v>1129</v>
      </c>
      <c r="C14" s="11" t="s">
        <v>1130</v>
      </c>
      <c r="D14" s="41"/>
      <c r="E14" s="40"/>
      <c r="F14" s="95"/>
      <c r="G14" s="96"/>
    </row>
    <row r="15" spans="1:7" ht="58" customHeight="1">
      <c r="A15" s="9" t="s">
        <v>1133</v>
      </c>
      <c r="B15" s="11" t="s">
        <v>1137</v>
      </c>
      <c r="C15" s="11" t="s">
        <v>1138</v>
      </c>
      <c r="D15" s="39" t="str">
        <f>HYPERLINK("https://www.gov.uk/service-manual/measurement/other-kpis.html","Key performance indicators")</f>
        <v>Key performance indicators</v>
      </c>
      <c r="E15" s="40" t="s">
        <v>1141</v>
      </c>
      <c r="F15" s="95"/>
      <c r="G15" s="96"/>
    </row>
    <row r="16" spans="1:7" ht="52" customHeight="1">
      <c r="A16" s="9" t="s">
        <v>1143</v>
      </c>
      <c r="B16" s="11" t="s">
        <v>1147</v>
      </c>
      <c r="C16" s="11" t="s">
        <v>1148</v>
      </c>
      <c r="D16" s="41"/>
      <c r="E16" s="40"/>
      <c r="F16" s="95"/>
      <c r="G16" s="96"/>
    </row>
    <row r="17" spans="1:7" ht="74" customHeight="1">
      <c r="A17" s="9" t="s">
        <v>1150</v>
      </c>
      <c r="B17" s="12" t="s">
        <v>1153</v>
      </c>
      <c r="C17" s="12" t="s">
        <v>1154</v>
      </c>
      <c r="D17" s="41"/>
      <c r="E17" s="40"/>
      <c r="F17" s="95"/>
      <c r="G17" s="96"/>
    </row>
    <row r="18" spans="1:7" ht="50" customHeight="1">
      <c r="A18" s="9" t="s">
        <v>1156</v>
      </c>
      <c r="B18" s="11" t="s">
        <v>1162</v>
      </c>
      <c r="C18" s="11" t="s">
        <v>1163</v>
      </c>
      <c r="D18" s="41"/>
      <c r="E18" s="40"/>
      <c r="F18" s="99"/>
      <c r="G18" s="100"/>
    </row>
    <row r="19" spans="1:7" ht="39.75" customHeight="1">
      <c r="A19" s="215" t="str">
        <f>HYPERLINK("https://www.nationalarchives.gov.uk/doc/open-government-licence/version/3/","All content is available under the Open Government Licence v3.0, except where otherwise stated")</f>
        <v>All content is available under the Open Government Licence v3.0, except where otherwise stated</v>
      </c>
      <c r="B19" s="216"/>
      <c r="C19" s="216"/>
      <c r="D19" s="7"/>
      <c r="E19" s="7"/>
      <c r="F19" s="7"/>
      <c r="G19" s="7"/>
    </row>
  </sheetData>
  <mergeCells count="8">
    <mergeCell ref="A19:C19"/>
    <mergeCell ref="F5:G5"/>
    <mergeCell ref="B1:C1"/>
    <mergeCell ref="B2:C2"/>
    <mergeCell ref="B3:C3"/>
    <mergeCell ref="B4:C4"/>
    <mergeCell ref="A5:C5"/>
    <mergeCell ref="A8:A9"/>
  </mergeCells>
  <phoneticPr fontId="11" type="noConversion"/>
  <hyperlinks>
    <hyperlink ref="B1" r:id="rId1" display="https://www.gov.uk/service-manual/technology/service-integration.html"/>
    <hyperlink ref="F7" r:id="rId2" display="https://www.gov.uk/service-manual/operations/web-operations-stories.html"/>
    <hyperlink ref="D8" r:id="rId3" display="https://www.gov.uk/service-manual/operations/hosting.html"/>
    <hyperlink ref="F8" r:id="rId4" display="http://www.computerweekly.com/feature/How-to-tame-the-new-IT-beast-called-DevOps?asrc=EM_MDN_32340805&amp;utm_medium=EM&amp;utm_source=MDN&amp;utm_campaign=20140804_Bitcoin mining firm CoinTerra signs multi-megawatt datacentre deal_"/>
    <hyperlink ref="D15" r:id="rId5" display="https://www.gov.uk/service-manual/measurement/other-kpis.html"/>
    <hyperlink ref="A19" r:id="rId6" display="https://www.nationalarchives.gov.uk/doc/open-government-licence/version/3/"/>
  </hyperlinks>
  <pageMargins left="0.75" right="0.75" top="1" bottom="1" header="0.5" footer="0.5"/>
  <pageSetup paperSize="9" orientation="portrait" horizontalDpi="4294967292" verticalDpi="4294967292"/>
  <drawing r:id="rId7"/>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B15" sqref="B15"/>
    </sheetView>
  </sheetViews>
  <sheetFormatPr baseColWidth="10" defaultColWidth="14.5" defaultRowHeight="15.75" customHeight="1" x14ac:dyDescent="0"/>
  <cols>
    <col min="1" max="1" width="25.83203125" style="10" customWidth="1"/>
    <col min="2" max="2" width="112.1640625" style="10" customWidth="1"/>
    <col min="3" max="3" width="12" style="10" customWidth="1"/>
    <col min="4" max="4" width="31.83203125" style="10" customWidth="1"/>
    <col min="5" max="5" width="49.6640625" style="10" customWidth="1"/>
    <col min="6" max="6" width="36" style="10" customWidth="1"/>
    <col min="7" max="7" width="40.6640625" style="10" customWidth="1"/>
    <col min="8" max="16384" width="14.5" style="10"/>
  </cols>
  <sheetData>
    <row r="1" spans="1:7" ht="38" customHeight="1">
      <c r="A1" s="14" t="s">
        <v>892</v>
      </c>
      <c r="B1" s="270" t="str">
        <f>HYPERLINK("https://www.gov.uk/service-manual/making-software/testing-in-agile.html","Quality Assurance and Testing")</f>
        <v>Quality Assurance and Testing</v>
      </c>
      <c r="C1" s="271"/>
      <c r="D1" s="127"/>
      <c r="E1" s="47"/>
      <c r="F1" s="47"/>
      <c r="G1" s="48"/>
    </row>
    <row r="2" spans="1:7" ht="58" customHeight="1">
      <c r="A2" s="14" t="s">
        <v>912</v>
      </c>
      <c r="B2" s="272" t="s">
        <v>914</v>
      </c>
      <c r="C2" s="273"/>
      <c r="D2" s="67"/>
      <c r="E2" s="45"/>
      <c r="F2" s="45"/>
      <c r="G2" s="50"/>
    </row>
    <row r="3" spans="1:7" ht="52" customHeight="1" thickBot="1">
      <c r="A3" s="14" t="s">
        <v>917</v>
      </c>
      <c r="B3" s="274" t="s">
        <v>919</v>
      </c>
      <c r="C3" s="254"/>
      <c r="D3" s="68"/>
      <c r="E3" s="52"/>
      <c r="F3" s="45"/>
      <c r="G3" s="50"/>
    </row>
    <row r="4" spans="1:7" ht="26.25" customHeight="1">
      <c r="A4" s="277" t="s">
        <v>925</v>
      </c>
      <c r="B4" s="278"/>
      <c r="C4" s="279"/>
      <c r="D4" s="15" t="s">
        <v>1350</v>
      </c>
      <c r="E4" s="2"/>
      <c r="F4" s="239" t="s">
        <v>1351</v>
      </c>
      <c r="G4" s="240"/>
    </row>
    <row r="5" spans="1:7" ht="26.25" customHeight="1">
      <c r="A5" s="76" t="s">
        <v>931</v>
      </c>
      <c r="B5" s="14" t="s">
        <v>933</v>
      </c>
      <c r="C5" s="14" t="s">
        <v>934</v>
      </c>
      <c r="D5" s="4" t="s">
        <v>936</v>
      </c>
      <c r="E5" s="15" t="s">
        <v>939</v>
      </c>
      <c r="F5" s="36" t="s">
        <v>942</v>
      </c>
      <c r="G5" s="37" t="s">
        <v>945</v>
      </c>
    </row>
    <row r="6" spans="1:7" ht="41.25" customHeight="1" thickBot="1">
      <c r="A6" s="9" t="s">
        <v>946</v>
      </c>
      <c r="B6" s="12" t="s">
        <v>948</v>
      </c>
      <c r="C6" s="12" t="s">
        <v>951</v>
      </c>
      <c r="D6" s="164" t="str">
        <f>HYPERLINK("https://www.gov.uk/service-manual/agile/writing-user-stories.html","Writing user stories")</f>
        <v>Writing user stories</v>
      </c>
      <c r="E6" s="40" t="s">
        <v>961</v>
      </c>
      <c r="F6" s="168" t="s">
        <v>1368</v>
      </c>
      <c r="G6" s="135" t="s">
        <v>1369</v>
      </c>
    </row>
    <row r="7" spans="1:7" ht="41.25" customHeight="1">
      <c r="A7" s="223" t="s">
        <v>964</v>
      </c>
      <c r="B7" s="12" t="s">
        <v>965</v>
      </c>
      <c r="C7" s="12" t="s">
        <v>966</v>
      </c>
      <c r="D7" s="39" t="str">
        <f>HYPERLINK("https://www.gov.uk/service-manual/making-software/code-testing.html","Testing code")</f>
        <v>Testing code</v>
      </c>
      <c r="E7" s="40" t="s">
        <v>975</v>
      </c>
      <c r="F7" s="95"/>
      <c r="G7" s="96"/>
    </row>
    <row r="8" spans="1:7" ht="47" customHeight="1">
      <c r="A8" s="224"/>
      <c r="B8" s="11" t="s">
        <v>1404</v>
      </c>
      <c r="C8" s="12" t="s">
        <v>980</v>
      </c>
      <c r="D8" s="41"/>
      <c r="E8" s="40"/>
      <c r="F8" s="95"/>
      <c r="G8" s="96"/>
    </row>
    <row r="9" spans="1:7" ht="41.25" customHeight="1">
      <c r="A9" s="223" t="s">
        <v>985</v>
      </c>
      <c r="B9" s="12" t="s">
        <v>987</v>
      </c>
      <c r="C9" s="12" t="s">
        <v>989</v>
      </c>
      <c r="D9" s="41"/>
      <c r="E9" s="40"/>
      <c r="F9" s="95"/>
      <c r="G9" s="96"/>
    </row>
    <row r="10" spans="1:7" ht="44" customHeight="1">
      <c r="A10" s="224"/>
      <c r="B10" s="12" t="s">
        <v>993</v>
      </c>
      <c r="C10" s="12" t="s">
        <v>996</v>
      </c>
      <c r="D10" s="41"/>
      <c r="E10" s="40"/>
      <c r="F10" s="95"/>
      <c r="G10" s="96"/>
    </row>
    <row r="11" spans="1:7" ht="57" customHeight="1">
      <c r="A11" s="9" t="s">
        <v>999</v>
      </c>
      <c r="B11" s="12" t="s">
        <v>1000</v>
      </c>
      <c r="C11" s="12" t="s">
        <v>1001</v>
      </c>
      <c r="D11" s="39" t="str">
        <f>HYPERLINK("https://www.gov.uk/service-manual/making-software/testing-in-agile.html","Testing in an Agile Environment")</f>
        <v>Testing in an Agile Environment</v>
      </c>
      <c r="E11" s="40" t="s">
        <v>1008</v>
      </c>
      <c r="F11" s="95"/>
      <c r="G11" s="96"/>
    </row>
    <row r="12" spans="1:7" ht="62" customHeight="1">
      <c r="A12" s="9" t="s">
        <v>1010</v>
      </c>
      <c r="B12" s="12" t="s">
        <v>1405</v>
      </c>
      <c r="C12" s="12" t="s">
        <v>1012</v>
      </c>
      <c r="D12" s="41"/>
      <c r="E12" s="87"/>
      <c r="F12" s="95"/>
      <c r="G12" s="96"/>
    </row>
    <row r="13" spans="1:7" ht="48" customHeight="1">
      <c r="A13" s="223" t="s">
        <v>1013</v>
      </c>
      <c r="B13" s="12" t="s">
        <v>1016</v>
      </c>
      <c r="C13" s="12" t="s">
        <v>1017</v>
      </c>
      <c r="D13" s="39" t="str">
        <f>HYPERLINK("https://www.gov.uk/service-manual/operations/penetration-testing.html","Penetration Testing")</f>
        <v>Penetration Testing</v>
      </c>
      <c r="E13" s="40" t="s">
        <v>1021</v>
      </c>
      <c r="F13" s="95"/>
      <c r="G13" s="96"/>
    </row>
    <row r="14" spans="1:7" ht="41.25" customHeight="1">
      <c r="A14" s="224"/>
      <c r="B14" s="12" t="s">
        <v>1022</v>
      </c>
      <c r="C14" s="12" t="s">
        <v>1023</v>
      </c>
      <c r="D14" s="80"/>
      <c r="E14" s="40"/>
      <c r="F14" s="95"/>
      <c r="G14" s="96"/>
    </row>
    <row r="15" spans="1:7" ht="60" customHeight="1">
      <c r="A15" s="223" t="s">
        <v>1024</v>
      </c>
      <c r="B15" s="12" t="s">
        <v>1406</v>
      </c>
      <c r="C15" s="12" t="s">
        <v>1027</v>
      </c>
      <c r="D15" s="39" t="str">
        <f>HYPERLINK("http://www.kaner.com/pdfs/QAIExploring.pdf","Tutorial in Exploratory Testing")</f>
        <v>Tutorial in Exploratory Testing</v>
      </c>
      <c r="E15" s="40" t="s">
        <v>1030</v>
      </c>
      <c r="F15" s="95"/>
      <c r="G15" s="96"/>
    </row>
    <row r="16" spans="1:7" ht="68" customHeight="1">
      <c r="A16" s="224"/>
      <c r="B16" s="12" t="s">
        <v>1031</v>
      </c>
      <c r="C16" s="12" t="s">
        <v>1032</v>
      </c>
      <c r="D16" s="39" t="str">
        <f>HYPERLINK("https://www.gov.uk/service-manual/user-centred-design/user-research/lab-based-user-testing.html","Lab-based user testing")</f>
        <v>Lab-based user testing</v>
      </c>
      <c r="E16" s="40" t="s">
        <v>1033</v>
      </c>
      <c r="F16" s="95"/>
      <c r="G16" s="96"/>
    </row>
    <row r="17" spans="1:7" ht="51" customHeight="1">
      <c r="A17" s="224"/>
      <c r="B17" s="12" t="s">
        <v>1034</v>
      </c>
      <c r="C17" s="12" t="s">
        <v>1035</v>
      </c>
      <c r="D17" s="41"/>
      <c r="E17" s="40"/>
      <c r="F17" s="95"/>
      <c r="G17" s="96"/>
    </row>
    <row r="18" spans="1:7" ht="60" customHeight="1">
      <c r="A18" s="223" t="s">
        <v>1036</v>
      </c>
      <c r="B18" s="12" t="s">
        <v>1037</v>
      </c>
      <c r="C18" s="12" t="s">
        <v>1038</v>
      </c>
      <c r="D18" s="39" t="str">
        <f>HYPERLINK("https://www.gov.uk/service-manual/user-centred-design/user-research/accessibility-testing.html","Accessibility Testing")</f>
        <v>Accessibility Testing</v>
      </c>
      <c r="E18" s="40" t="s">
        <v>1039</v>
      </c>
      <c r="F18" s="95"/>
      <c r="G18" s="96"/>
    </row>
    <row r="19" spans="1:7" ht="52" customHeight="1">
      <c r="A19" s="224"/>
      <c r="B19" s="12" t="s">
        <v>1407</v>
      </c>
      <c r="C19" s="12" t="s">
        <v>1040</v>
      </c>
      <c r="D19" s="41"/>
      <c r="E19" s="40"/>
      <c r="F19" s="95"/>
      <c r="G19" s="96"/>
    </row>
    <row r="20" spans="1:7" ht="78" customHeight="1">
      <c r="A20" s="9" t="s">
        <v>1041</v>
      </c>
      <c r="B20" s="12" t="s">
        <v>1042</v>
      </c>
      <c r="C20" s="12" t="s">
        <v>1043</v>
      </c>
      <c r="D20" s="39" t="str">
        <f>HYPERLINK("https://www.gov.uk/service-manual/operations/load-and-performance-testing.html","Load and performance testing")</f>
        <v>Load and performance testing</v>
      </c>
      <c r="E20" s="40" t="s">
        <v>1044</v>
      </c>
      <c r="F20" s="95"/>
      <c r="G20" s="96"/>
    </row>
    <row r="21" spans="1:7" ht="77" customHeight="1">
      <c r="A21" s="9" t="s">
        <v>1045</v>
      </c>
      <c r="B21" s="12" t="s">
        <v>1046</v>
      </c>
      <c r="C21" s="12" t="s">
        <v>1047</v>
      </c>
      <c r="D21" s="41"/>
      <c r="E21" s="40"/>
      <c r="F21" s="95"/>
      <c r="G21" s="96"/>
    </row>
    <row r="22" spans="1:7" ht="78" customHeight="1">
      <c r="A22" s="9" t="s">
        <v>1048</v>
      </c>
      <c r="B22" s="12" t="s">
        <v>1049</v>
      </c>
      <c r="C22" s="12" t="s">
        <v>1050</v>
      </c>
      <c r="D22" s="41"/>
      <c r="E22" s="40"/>
      <c r="F22" s="95"/>
      <c r="G22" s="96"/>
    </row>
    <row r="23" spans="1:7" ht="80" customHeight="1">
      <c r="A23" s="9" t="s">
        <v>1051</v>
      </c>
      <c r="B23" s="12" t="s">
        <v>1052</v>
      </c>
      <c r="C23" s="12" t="s">
        <v>1053</v>
      </c>
      <c r="D23" s="41"/>
      <c r="E23" s="40"/>
      <c r="F23" s="95"/>
      <c r="G23" s="96"/>
    </row>
    <row r="24" spans="1:7" ht="51" customHeight="1">
      <c r="A24" s="24" t="s">
        <v>1403</v>
      </c>
      <c r="B24" s="12" t="s">
        <v>1054</v>
      </c>
      <c r="C24" s="12" t="s">
        <v>1055</v>
      </c>
      <c r="D24" s="41"/>
      <c r="E24" s="40"/>
      <c r="F24" s="95"/>
      <c r="G24" s="96"/>
    </row>
    <row r="25" spans="1:7" ht="76" customHeight="1">
      <c r="A25" s="9" t="s">
        <v>1056</v>
      </c>
      <c r="B25" s="12" t="s">
        <v>1057</v>
      </c>
      <c r="C25" s="12" t="s">
        <v>1058</v>
      </c>
      <c r="D25" s="41"/>
      <c r="E25" s="40"/>
      <c r="F25" s="95"/>
      <c r="G25" s="96"/>
    </row>
    <row r="26" spans="1:7" ht="63" customHeight="1">
      <c r="A26" s="9" t="s">
        <v>1059</v>
      </c>
      <c r="B26" s="12" t="s">
        <v>1060</v>
      </c>
      <c r="C26" s="12" t="s">
        <v>1061</v>
      </c>
      <c r="D26" s="39" t="str">
        <f>HYPERLINK("https://github.com/alphagov","GDS Code repository")</f>
        <v>GDS Code repository</v>
      </c>
      <c r="E26" s="40" t="s">
        <v>1063</v>
      </c>
      <c r="F26" s="95"/>
      <c r="G26" s="96"/>
    </row>
    <row r="27" spans="1:7" ht="50" customHeight="1">
      <c r="A27" s="9" t="s">
        <v>1064</v>
      </c>
      <c r="B27" s="12" t="s">
        <v>1065</v>
      </c>
      <c r="C27" s="12" t="s">
        <v>1066</v>
      </c>
      <c r="D27" s="41"/>
      <c r="E27" s="40"/>
      <c r="F27" s="95"/>
      <c r="G27" s="96"/>
    </row>
    <row r="28" spans="1:7" ht="63" customHeight="1">
      <c r="A28" s="9" t="s">
        <v>1067</v>
      </c>
      <c r="B28" s="12" t="s">
        <v>1068</v>
      </c>
      <c r="C28" s="12" t="s">
        <v>1069</v>
      </c>
      <c r="D28" s="41"/>
      <c r="E28" s="40"/>
      <c r="F28" s="99"/>
      <c r="G28" s="100"/>
    </row>
    <row r="29" spans="1:7" ht="41.25" customHeight="1">
      <c r="A29" s="215" t="str">
        <f>HYPERLINK("https://www.nationalarchives.gov.uk/doc/open-government-licence/version/3/","All content is available under the Open Government Licence v3.0, except where otherwise stated")</f>
        <v>All content is available under the Open Government Licence v3.0, except where otherwise stated</v>
      </c>
      <c r="B29" s="216"/>
      <c r="C29" s="216"/>
      <c r="D29" s="7"/>
      <c r="E29" s="7"/>
      <c r="F29" s="7"/>
      <c r="G29" s="7"/>
    </row>
  </sheetData>
  <mergeCells count="11">
    <mergeCell ref="A29:C29"/>
    <mergeCell ref="A13:A14"/>
    <mergeCell ref="A15:A17"/>
    <mergeCell ref="A7:A8"/>
    <mergeCell ref="A9:A10"/>
    <mergeCell ref="B1:C1"/>
    <mergeCell ref="B2:C2"/>
    <mergeCell ref="B3:C3"/>
    <mergeCell ref="F4:G4"/>
    <mergeCell ref="A18:A19"/>
    <mergeCell ref="A4:C4"/>
  </mergeCells>
  <phoneticPr fontId="11" type="noConversion"/>
  <hyperlinks>
    <hyperlink ref="B1" r:id="rId1" display="https://www.gov.uk/service-manual/making-software/testing-in-agile.html"/>
    <hyperlink ref="D6" r:id="rId2" display="https://www.gov.uk/service-manual/agile/writing-user-stories.html"/>
    <hyperlink ref="D7" r:id="rId3" display="https://www.gov.uk/service-manual/making-software/code-testing.html"/>
    <hyperlink ref="D11" r:id="rId4" display="https://www.gov.uk/service-manual/making-software/testing-in-agile.html"/>
    <hyperlink ref="D13" r:id="rId5" display="https://www.gov.uk/service-manual/operations/penetration-testing.html"/>
    <hyperlink ref="D15" r:id="rId6" display="http://www.kaner.com/pdfs/QAIExploring.pdf"/>
    <hyperlink ref="D16" r:id="rId7" display="https://www.gov.uk/service-manual/user-centred-design/user-research/lab-based-user-testing.html"/>
    <hyperlink ref="D18" r:id="rId8" display="https://www.gov.uk/service-manual/user-centred-design/user-research/accessibility-testing.html"/>
    <hyperlink ref="D20" r:id="rId9" display="https://www.gov.uk/service-manual/operations/load-and-performance-testing.html"/>
    <hyperlink ref="D26" r:id="rId10" display="https://github.com/alphagov"/>
    <hyperlink ref="A29" r:id="rId11" display="https://www.nationalarchives.gov.uk/doc/open-government-licence/version/3/"/>
    <hyperlink ref="F6" r:id="rId12"/>
  </hyperlinks>
  <pageMargins left="0.75" right="0.75" top="1" bottom="1" header="0.5" footer="0.5"/>
  <pageSetup paperSize="9" orientation="portrait" horizontalDpi="4294967292" verticalDpi="4294967292"/>
  <drawing r:id="rId1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pane ySplit="5" topLeftCell="A6" activePane="bottomLeft" state="frozen"/>
      <selection pane="bottomLeft" activeCell="C6" sqref="C6"/>
    </sheetView>
  </sheetViews>
  <sheetFormatPr baseColWidth="10" defaultColWidth="14.5" defaultRowHeight="17" x14ac:dyDescent="0"/>
  <cols>
    <col min="1" max="1" width="22.5" style="10" customWidth="1"/>
    <col min="2" max="2" width="109.5" style="10" customWidth="1"/>
    <col min="3" max="3" width="12.33203125" style="10" customWidth="1"/>
    <col min="4" max="4" width="32.83203125" style="10" customWidth="1"/>
    <col min="5" max="5" width="54.5" style="10" customWidth="1"/>
    <col min="6" max="6" width="27.5" style="10" customWidth="1"/>
    <col min="7" max="7" width="36.5" style="10" customWidth="1"/>
    <col min="8" max="16384" width="14.5" style="10"/>
  </cols>
  <sheetData>
    <row r="1" spans="1:7" ht="28" customHeight="1">
      <c r="A1" s="54" t="s">
        <v>0</v>
      </c>
      <c r="B1" s="233" t="s">
        <v>1434</v>
      </c>
      <c r="C1" s="234"/>
      <c r="D1" s="47"/>
      <c r="E1" s="47"/>
      <c r="F1" s="47"/>
      <c r="G1" s="48"/>
    </row>
    <row r="2" spans="1:7" ht="79" customHeight="1">
      <c r="A2" s="55" t="s">
        <v>9</v>
      </c>
      <c r="B2" s="235" t="s">
        <v>10</v>
      </c>
      <c r="C2" s="236"/>
      <c r="D2" s="45"/>
      <c r="E2" s="45"/>
      <c r="F2" s="45"/>
      <c r="G2" s="50"/>
    </row>
    <row r="3" spans="1:7" ht="32" customHeight="1" thickBot="1">
      <c r="A3" s="56" t="s">
        <v>17</v>
      </c>
      <c r="B3" s="237" t="s">
        <v>18</v>
      </c>
      <c r="C3" s="238"/>
      <c r="D3" s="52"/>
      <c r="E3" s="52"/>
      <c r="F3" s="52"/>
      <c r="G3" s="53"/>
    </row>
    <row r="4" spans="1:7" ht="27" customHeight="1">
      <c r="A4" s="249" t="s">
        <v>24</v>
      </c>
      <c r="B4" s="250"/>
      <c r="C4" s="251"/>
      <c r="D4" s="248" t="s">
        <v>1350</v>
      </c>
      <c r="E4" s="248"/>
      <c r="F4" s="239" t="s">
        <v>1351</v>
      </c>
      <c r="G4" s="240"/>
    </row>
    <row r="5" spans="1:7" ht="29" customHeight="1">
      <c r="A5" s="43" t="s">
        <v>39</v>
      </c>
      <c r="B5" s="1" t="s">
        <v>40</v>
      </c>
      <c r="C5" s="1" t="s">
        <v>41</v>
      </c>
      <c r="D5" s="4" t="s">
        <v>42</v>
      </c>
      <c r="E5" s="15" t="s">
        <v>43</v>
      </c>
      <c r="F5" s="36" t="s">
        <v>44</v>
      </c>
      <c r="G5" s="37" t="s">
        <v>45</v>
      </c>
    </row>
    <row r="6" spans="1:7" ht="102">
      <c r="A6" s="243" t="s">
        <v>1447</v>
      </c>
      <c r="B6" s="11" t="s">
        <v>46</v>
      </c>
      <c r="C6" s="11" t="s">
        <v>1477</v>
      </c>
      <c r="D6" s="39" t="str">
        <f>HYPERLINK("https://www.gov.uk/government/collections/government-digital-strategy-reports-and-research","Government Digital Strategy: reports and research")</f>
        <v>Government Digital Strategy: reports and research</v>
      </c>
      <c r="E6" s="40" t="s">
        <v>1356</v>
      </c>
      <c r="F6" s="60" t="str">
        <f>HYPERLINK("https://www.gov.uk/government/publications/digital-skills-in-the-civil-service/an-introductory-guide-to-open-internet-tools-for-civil-servants#using-internet-tools-to-develop-your-digital-skills-and-productivity","An introductory guide to open internet tools for civil servants")</f>
        <v>An introductory guide to open internet tools for civil servants</v>
      </c>
      <c r="G6" s="38" t="s">
        <v>65</v>
      </c>
    </row>
    <row r="7" spans="1:7" ht="63" customHeight="1">
      <c r="A7" s="244"/>
      <c r="B7" s="11" t="s">
        <v>66</v>
      </c>
      <c r="C7" s="11" t="s">
        <v>1448</v>
      </c>
      <c r="D7" s="39" t="str">
        <f>HYPERLINK("https://www.gov.uk/transformation","Digital Transformation")</f>
        <v>Digital Transformation</v>
      </c>
      <c r="E7" s="40" t="s">
        <v>69</v>
      </c>
      <c r="F7" s="200" t="s">
        <v>1413</v>
      </c>
      <c r="G7" s="64" t="s">
        <v>70</v>
      </c>
    </row>
    <row r="8" spans="1:7" ht="56" customHeight="1">
      <c r="A8" s="244"/>
      <c r="B8" s="246" t="s">
        <v>71</v>
      </c>
      <c r="C8" s="246" t="s">
        <v>1449</v>
      </c>
      <c r="D8" s="39" t="str">
        <f>HYPERLINK("https://governmenttechnology.blog.gov.uk/2014/12/08/guest-post-adopting-open-document-format-in-the-home-office/","Adopting ODF")</f>
        <v>Adopting ODF</v>
      </c>
      <c r="E8" s="40" t="s">
        <v>76</v>
      </c>
      <c r="F8" s="63" t="str">
        <f>HYPERLINK("http://digitalbusinessacademyuk.com/courses-list","Digital Business Academy")</f>
        <v>Digital Business Academy</v>
      </c>
      <c r="G8" s="64" t="s">
        <v>79</v>
      </c>
    </row>
    <row r="9" spans="1:7" ht="103" thickBot="1">
      <c r="A9" s="244"/>
      <c r="B9" s="247"/>
      <c r="C9" s="247"/>
      <c r="D9" s="39" t="str">
        <f>HYPERLINK("https://governmenttechnology.blog.gov.uk/2014/10/07/getting-to-grips-with-document-formats/","Getting to grips with document formats.")</f>
        <v>Getting to grips with document formats.</v>
      </c>
      <c r="E9" s="40" t="s">
        <v>1349</v>
      </c>
      <c r="F9" s="65" t="str">
        <f>HYPERLINK("https://gcn.civilservice.gov.uk/competency-framework/","Government Communication Professional Competency Framework")</f>
        <v>Government Communication Professional Competency Framework</v>
      </c>
      <c r="G9" s="66" t="s">
        <v>101</v>
      </c>
    </row>
    <row r="10" spans="1:7" ht="49" customHeight="1">
      <c r="A10" s="244"/>
      <c r="B10" s="12" t="s">
        <v>80</v>
      </c>
      <c r="C10" s="11" t="s">
        <v>1450</v>
      </c>
      <c r="D10" s="41"/>
      <c r="E10" s="40"/>
      <c r="F10" s="61"/>
      <c r="G10" s="62"/>
    </row>
    <row r="11" spans="1:7" ht="62" customHeight="1">
      <c r="A11" s="244"/>
      <c r="B11" s="11" t="s">
        <v>84</v>
      </c>
      <c r="C11" s="11" t="s">
        <v>1451</v>
      </c>
      <c r="D11" s="39" t="str">
        <f>HYPERLINK("https://www.gov.uk/government/publications/government-digital-strategy-action-8","Government Digital Strategy: action 8 - increasing digital take-up")</f>
        <v>Government Digital Strategy: action 8 - increasing digital take-up</v>
      </c>
      <c r="E11" s="40" t="s">
        <v>86</v>
      </c>
      <c r="F11" s="61"/>
      <c r="G11" s="62"/>
    </row>
    <row r="12" spans="1:7" ht="63" customHeight="1">
      <c r="A12" s="244"/>
      <c r="B12" s="241" t="s">
        <v>87</v>
      </c>
      <c r="C12" s="252" t="s">
        <v>1452</v>
      </c>
      <c r="D12" s="39" t="str">
        <f>HYPERLINK("https://www.gov.uk/government/publications/government-digital-inclusion-strategy/government-digital-inclusion-strategy","Government Digital Inclusion Strategy")</f>
        <v>Government Digital Inclusion Strategy</v>
      </c>
      <c r="E12" s="40" t="s">
        <v>89</v>
      </c>
      <c r="F12" s="61"/>
      <c r="G12" s="62"/>
    </row>
    <row r="13" spans="1:7" ht="33" customHeight="1">
      <c r="A13" s="244"/>
      <c r="B13" s="242"/>
      <c r="C13" s="232"/>
      <c r="D13" s="39" t="str">
        <f>HYPERLINK("http://www.youtube.com/watch?v=ALvIYIC1IqE&amp;index=71&amp;list=UUSNK6abAoM6Kj0SkHOStNLg","Digital Inclusion in a nutshell")</f>
        <v>Digital Inclusion in a nutshell</v>
      </c>
      <c r="E13" s="40" t="s">
        <v>91</v>
      </c>
      <c r="F13" s="61"/>
      <c r="G13" s="62"/>
    </row>
    <row r="14" spans="1:7" ht="35" customHeight="1">
      <c r="A14" s="245"/>
      <c r="B14" s="230"/>
      <c r="C14" s="232"/>
      <c r="D14" s="39" t="str">
        <f>HYPERLINK("http://www.youtube.com/watch?v=CnCCmwxdPWQ&amp;list=UUSNK6abAoM6Kj0SkHOStNLg","What is Assisted Digital?")</f>
        <v>What is Assisted Digital?</v>
      </c>
      <c r="E14" s="40" t="s">
        <v>96</v>
      </c>
      <c r="F14" s="61"/>
      <c r="G14" s="62"/>
    </row>
    <row r="15" spans="1:7" ht="43" customHeight="1">
      <c r="A15" s="223" t="s">
        <v>1436</v>
      </c>
      <c r="B15" s="11" t="s">
        <v>97</v>
      </c>
      <c r="C15" s="11" t="s">
        <v>1453</v>
      </c>
      <c r="D15" s="39" t="str">
        <f>HYPERLINK("https://www.gov.uk/service-manual/agile/index.html","Agile")</f>
        <v>Agile</v>
      </c>
      <c r="E15" s="40" t="s">
        <v>98</v>
      </c>
      <c r="F15" s="61"/>
      <c r="G15" s="62"/>
    </row>
    <row r="16" spans="1:7" ht="34">
      <c r="A16" s="224"/>
      <c r="B16" s="11" t="s">
        <v>99</v>
      </c>
      <c r="C16" s="11" t="s">
        <v>1454</v>
      </c>
      <c r="D16" s="41"/>
      <c r="E16" s="40"/>
      <c r="F16" s="61"/>
      <c r="G16" s="62"/>
    </row>
    <row r="17" spans="1:7" ht="44" customHeight="1">
      <c r="A17" s="224"/>
      <c r="B17" s="11" t="s">
        <v>102</v>
      </c>
      <c r="C17" s="11" t="s">
        <v>1455</v>
      </c>
      <c r="D17" s="39" t="str">
        <f>HYPERLINK("http://agilemanifesto.org/principles.html","Agile Manifesto")</f>
        <v>Agile Manifesto</v>
      </c>
      <c r="E17" s="40" t="s">
        <v>110</v>
      </c>
      <c r="F17" s="61"/>
      <c r="G17" s="62"/>
    </row>
    <row r="18" spans="1:7" ht="51" customHeight="1">
      <c r="A18" s="224"/>
      <c r="B18" s="11" t="s">
        <v>111</v>
      </c>
      <c r="C18" s="11" t="s">
        <v>1456</v>
      </c>
      <c r="D18" s="39" t="str">
        <f>HYPERLINK("https://www.gov.uk/service-manual/agile/what-agile-looks-like.html","What an agile project looks like.")</f>
        <v>What an agile project looks like.</v>
      </c>
      <c r="E18" s="40" t="s">
        <v>113</v>
      </c>
      <c r="F18" s="61"/>
      <c r="G18" s="62"/>
    </row>
    <row r="19" spans="1:7" ht="67" customHeight="1">
      <c r="A19" s="9" t="s">
        <v>1437</v>
      </c>
      <c r="B19" s="12" t="s">
        <v>115</v>
      </c>
      <c r="C19" s="11" t="s">
        <v>1457</v>
      </c>
      <c r="D19" s="39" t="str">
        <f>HYPERLINK("https://www.gov.uk/service-manual/the-team","The team")</f>
        <v>The team</v>
      </c>
      <c r="E19" s="40" t="s">
        <v>116</v>
      </c>
      <c r="F19" s="61"/>
      <c r="G19" s="62"/>
    </row>
    <row r="20" spans="1:7" ht="74" customHeight="1">
      <c r="A20" s="223" t="s">
        <v>1438</v>
      </c>
      <c r="B20" s="11" t="s">
        <v>117</v>
      </c>
      <c r="C20" s="11" t="s">
        <v>1458</v>
      </c>
      <c r="D20" s="39" t="str">
        <f>HYPERLINK("https://www.gov.uk/service-manual/user-centred-design/index.html","User-centred design")</f>
        <v>User-centred design</v>
      </c>
      <c r="E20" s="40" t="s">
        <v>119</v>
      </c>
      <c r="F20" s="61"/>
      <c r="G20" s="62"/>
    </row>
    <row r="21" spans="1:7" ht="95" customHeight="1">
      <c r="A21" s="224"/>
      <c r="B21" s="11" t="s">
        <v>124</v>
      </c>
      <c r="C21" s="11" t="s">
        <v>1459</v>
      </c>
      <c r="D21" s="39" t="str">
        <f>HYPERLINK("https://www.gov.uk/service-manual/user-centred-design/user-research/index.html","User research.")</f>
        <v>User research.</v>
      </c>
      <c r="E21" s="40" t="s">
        <v>133</v>
      </c>
      <c r="F21" s="61"/>
      <c r="G21" s="62"/>
    </row>
    <row r="22" spans="1:7" ht="41" customHeight="1">
      <c r="A22" s="224"/>
      <c r="B22" s="11" t="s">
        <v>137</v>
      </c>
      <c r="C22" s="11" t="s">
        <v>1460</v>
      </c>
      <c r="D22" s="39" t="str">
        <f>HYPERLINK("https://www.gov.uk/service-manual/agile/writing-user-stories.html","Writing user stories")</f>
        <v>Writing user stories</v>
      </c>
      <c r="E22" s="40" t="s">
        <v>143</v>
      </c>
      <c r="F22" s="61"/>
      <c r="G22" s="62"/>
    </row>
    <row r="23" spans="1:7" ht="51">
      <c r="A23" s="9" t="s">
        <v>1439</v>
      </c>
      <c r="B23" s="11" t="s">
        <v>144</v>
      </c>
      <c r="C23" s="11" t="s">
        <v>1461</v>
      </c>
      <c r="D23" s="39" t="str">
        <f>HYPERLINK("https://www.gov.uk/design-principles","Government Digital Service Design Principles")</f>
        <v>Government Digital Service Design Principles</v>
      </c>
      <c r="E23" s="40" t="s">
        <v>146</v>
      </c>
      <c r="F23" s="61"/>
      <c r="G23" s="62"/>
    </row>
    <row r="24" spans="1:7" ht="62" customHeight="1">
      <c r="A24" s="9" t="s">
        <v>1440</v>
      </c>
      <c r="B24" s="11" t="s">
        <v>147</v>
      </c>
      <c r="C24" s="11" t="s">
        <v>1462</v>
      </c>
      <c r="D24" s="39" t="str">
        <f>HYPERLINK("https://www.gov.uk/service-manual/digital-by-default","Digital by Default Service Standard")</f>
        <v>Digital by Default Service Standard</v>
      </c>
      <c r="E24" s="40" t="s">
        <v>148</v>
      </c>
      <c r="F24" s="61"/>
      <c r="G24" s="62"/>
    </row>
    <row r="25" spans="1:7" ht="48" customHeight="1">
      <c r="A25" s="223" t="s">
        <v>1441</v>
      </c>
      <c r="B25" s="11" t="s">
        <v>149</v>
      </c>
      <c r="C25" s="11" t="s">
        <v>1463</v>
      </c>
      <c r="D25" s="39" t="str">
        <f>HYPERLINK("https://civilservice.blog.gov.uk/2014/10/02/why-commercial-matters/","Why commercial matters")</f>
        <v>Why commercial matters</v>
      </c>
      <c r="E25" s="40" t="s">
        <v>150</v>
      </c>
      <c r="F25" s="61"/>
      <c r="G25" s="62"/>
    </row>
    <row r="26" spans="1:7" ht="51">
      <c r="A26" s="224"/>
      <c r="B26" s="11" t="s">
        <v>151</v>
      </c>
      <c r="C26" s="11" t="s">
        <v>1464</v>
      </c>
      <c r="D26" s="39" t="str">
        <f>HYPERLINK("http://www.scotland.gov.uk/Topics/Government/Procurement/buyer-information/spdlowlevel/EUGuidance","Guidance on Legislation affecting Public Sector Procurement")</f>
        <v>Guidance on Legislation affecting Public Sector Procurement</v>
      </c>
      <c r="E26" s="40" t="s">
        <v>152</v>
      </c>
      <c r="F26" s="61"/>
      <c r="G26" s="62"/>
    </row>
    <row r="27" spans="1:7" ht="65" customHeight="1">
      <c r="A27" s="224"/>
      <c r="B27" s="11" t="s">
        <v>153</v>
      </c>
      <c r="C27" s="11" t="s">
        <v>1465</v>
      </c>
      <c r="D27" s="41"/>
      <c r="E27" s="40"/>
      <c r="F27" s="61"/>
      <c r="G27" s="62"/>
    </row>
    <row r="28" spans="1:7" ht="46" customHeight="1">
      <c r="A28" s="224"/>
      <c r="B28" s="11" t="s">
        <v>154</v>
      </c>
      <c r="C28" s="11" t="s">
        <v>1466</v>
      </c>
      <c r="D28" s="39" t="str">
        <f>HYPERLINK("https://www.digitalmarketplace.service.gov.uk/","Digital Marketplace")</f>
        <v>Digital Marketplace</v>
      </c>
      <c r="E28" s="40" t="s">
        <v>155</v>
      </c>
      <c r="F28" s="61"/>
      <c r="G28" s="62"/>
    </row>
    <row r="29" spans="1:7" ht="68">
      <c r="A29" s="9" t="s">
        <v>1442</v>
      </c>
      <c r="B29" s="12" t="s">
        <v>160</v>
      </c>
      <c r="C29" s="11" t="s">
        <v>1467</v>
      </c>
      <c r="D29" s="39" t="str">
        <f>HYPERLINK("https://www.gov.uk/government/publications/open-standards-for-government","Open standards for government")</f>
        <v>Open standards for government</v>
      </c>
      <c r="E29" s="40" t="s">
        <v>162</v>
      </c>
      <c r="F29" s="61"/>
      <c r="G29" s="62"/>
    </row>
    <row r="30" spans="1:7" ht="46" customHeight="1">
      <c r="A30" s="223" t="s">
        <v>1443</v>
      </c>
      <c r="B30" s="11" t="s">
        <v>163</v>
      </c>
      <c r="C30" s="11" t="s">
        <v>1468</v>
      </c>
      <c r="D30" s="41"/>
      <c r="E30" s="40"/>
      <c r="F30" s="61"/>
      <c r="G30" s="62"/>
    </row>
    <row r="31" spans="1:7" ht="45" customHeight="1">
      <c r="A31" s="224"/>
      <c r="B31" s="11" t="s">
        <v>164</v>
      </c>
      <c r="C31" s="11" t="s">
        <v>1469</v>
      </c>
      <c r="D31" s="41"/>
      <c r="E31" s="40"/>
      <c r="F31" s="61"/>
      <c r="G31" s="62"/>
    </row>
    <row r="32" spans="1:7" ht="56" customHeight="1">
      <c r="A32" s="223" t="s">
        <v>1444</v>
      </c>
      <c r="B32" s="11" t="s">
        <v>165</v>
      </c>
      <c r="C32" s="11" t="s">
        <v>1470</v>
      </c>
      <c r="D32" s="39" t="str">
        <f>HYPERLINK("https://www.gov.uk/government/publications/government-security-classifications","Government Security Classifications guidance")</f>
        <v>Government Security Classifications guidance</v>
      </c>
      <c r="E32" s="40" t="s">
        <v>169</v>
      </c>
      <c r="F32" s="61"/>
      <c r="G32" s="62"/>
    </row>
    <row r="33" spans="1:7" ht="63" customHeight="1">
      <c r="A33" s="224"/>
      <c r="B33" s="11" t="s">
        <v>170</v>
      </c>
      <c r="C33" s="11" t="s">
        <v>1471</v>
      </c>
      <c r="D33" s="39" t="str">
        <f>HYPERLINK("https://identityassurance.blog.gov.uk/","Identity Assurance")</f>
        <v>Identity Assurance</v>
      </c>
      <c r="E33" s="40" t="s">
        <v>195</v>
      </c>
      <c r="F33" s="61"/>
      <c r="G33" s="62"/>
    </row>
    <row r="34" spans="1:7" ht="45" customHeight="1">
      <c r="A34" s="224"/>
      <c r="B34" s="11" t="s">
        <v>198</v>
      </c>
      <c r="C34" s="11" t="s">
        <v>1472</v>
      </c>
      <c r="D34" s="39" t="str">
        <f>HYPERLINK("https://www.gov.uk/service-manual/identity-assurance","GOV.UK Verify guidance")</f>
        <v>GOV.UK Verify guidance</v>
      </c>
      <c r="E34" s="40" t="s">
        <v>204</v>
      </c>
      <c r="F34" s="61"/>
      <c r="G34" s="62"/>
    </row>
    <row r="35" spans="1:7" ht="63" customHeight="1">
      <c r="A35" s="231" t="s">
        <v>1445</v>
      </c>
      <c r="B35" s="229" t="s">
        <v>205</v>
      </c>
      <c r="C35" s="226" t="s">
        <v>1473</v>
      </c>
      <c r="D35" s="169" t="s">
        <v>1391</v>
      </c>
      <c r="E35" s="42" t="s">
        <v>211</v>
      </c>
      <c r="F35" s="61"/>
      <c r="G35" s="62"/>
    </row>
    <row r="36" spans="1:7" ht="41" customHeight="1">
      <c r="A36" s="232"/>
      <c r="B36" s="230"/>
      <c r="C36" s="227"/>
      <c r="D36" s="39" t="str">
        <f>HYPERLINK("http://www.youtube.com/watch?v=kB1aoOUrO5g&amp;list=UUSNK6abAoM6Kj0SkHOStNLg&amp;index=111","Using social media in public services")</f>
        <v>Using social media in public services</v>
      </c>
      <c r="E36" s="42" t="s">
        <v>212</v>
      </c>
      <c r="F36" s="61"/>
      <c r="G36" s="62"/>
    </row>
    <row r="37" spans="1:7" ht="49" customHeight="1">
      <c r="A37" s="224"/>
      <c r="B37" s="12" t="s">
        <v>213</v>
      </c>
      <c r="C37" s="11" t="s">
        <v>1474</v>
      </c>
      <c r="D37" s="41"/>
      <c r="E37" s="40"/>
      <c r="F37" s="61"/>
      <c r="G37" s="62"/>
    </row>
    <row r="38" spans="1:7" ht="108" customHeight="1">
      <c r="A38" s="224"/>
      <c r="B38" s="12" t="s">
        <v>214</v>
      </c>
      <c r="C38" s="11" t="s">
        <v>1475</v>
      </c>
      <c r="D38" s="39" t="str">
        <f>HYPERLINK("https://www.gov.uk/government/publications/social-media-guidance-for-civil-servants","Social Media Guidance for Civil Servants")</f>
        <v>Social Media Guidance for Civil Servants</v>
      </c>
      <c r="E38" s="40" t="s">
        <v>215</v>
      </c>
      <c r="F38" s="61"/>
      <c r="G38" s="62"/>
    </row>
    <row r="39" spans="1:7" ht="44" customHeight="1">
      <c r="A39" s="223" t="s">
        <v>1446</v>
      </c>
      <c r="B39" s="228" t="s">
        <v>216</v>
      </c>
      <c r="C39" s="226" t="s">
        <v>1476</v>
      </c>
      <c r="D39" s="39" t="s">
        <v>1348</v>
      </c>
      <c r="E39" s="40" t="s">
        <v>217</v>
      </c>
      <c r="F39" s="61"/>
      <c r="G39" s="62"/>
    </row>
    <row r="40" spans="1:7" ht="85">
      <c r="A40" s="224"/>
      <c r="B40" s="227"/>
      <c r="C40" s="227"/>
      <c r="D40" s="39" t="str">
        <f>HYPERLINK("https://gcn.civilservice.gov.uk/","Government Communication Service")</f>
        <v>Government Communication Service</v>
      </c>
      <c r="E40" s="40" t="s">
        <v>218</v>
      </c>
      <c r="F40" s="58"/>
      <c r="G40" s="59"/>
    </row>
    <row r="41" spans="1:7" ht="42" customHeight="1">
      <c r="A41" s="225" t="str">
        <f>HYPERLINK("https://www.nationalarchives.gov.uk/doc/open-government-licence/version/3/","All content is available under the Open Government Licence v3.0, except where otherwise stated")</f>
        <v>All content is available under the Open Government Licence v3.0, except where otherwise stated</v>
      </c>
      <c r="B41" s="216"/>
      <c r="C41" s="216"/>
      <c r="D41" s="7"/>
      <c r="E41" s="7"/>
      <c r="F41" s="7"/>
      <c r="G41" s="7"/>
    </row>
  </sheetData>
  <mergeCells count="23">
    <mergeCell ref="F4:G4"/>
    <mergeCell ref="A30:A31"/>
    <mergeCell ref="A25:A28"/>
    <mergeCell ref="A20:A22"/>
    <mergeCell ref="B12:B14"/>
    <mergeCell ref="A6:A14"/>
    <mergeCell ref="B8:B9"/>
    <mergeCell ref="C8:C9"/>
    <mergeCell ref="D4:E4"/>
    <mergeCell ref="A4:C4"/>
    <mergeCell ref="C12:C14"/>
    <mergeCell ref="A32:A34"/>
    <mergeCell ref="A15:A18"/>
    <mergeCell ref="B1:C1"/>
    <mergeCell ref="B2:C2"/>
    <mergeCell ref="B3:C3"/>
    <mergeCell ref="A39:A40"/>
    <mergeCell ref="A41:C41"/>
    <mergeCell ref="C39:C40"/>
    <mergeCell ref="B39:B40"/>
    <mergeCell ref="C35:C36"/>
    <mergeCell ref="B35:B36"/>
    <mergeCell ref="A35:A38"/>
  </mergeCells>
  <phoneticPr fontId="11" type="noConversion"/>
  <hyperlinks>
    <hyperlink ref="D6" r:id="rId1" display="https://www.gov.uk/government/collections/government-digital-strategy-reports-and-research"/>
    <hyperlink ref="F6" r:id="rId2" location="using-internet-tools-to-develop-your-digital-skills-and-productivity" display="https://www.gov.uk/government/publications/digital-skills-in-the-civil-service/an-introductory-guide-to-open-internet-tools-for-civil-servants - using-internet-tools-to-develop-your-digital-skills-and-productivity"/>
    <hyperlink ref="D7" r:id="rId3" display="https://www.gov.uk/transformation"/>
    <hyperlink ref="F7" r:id="rId4"/>
    <hyperlink ref="D8" r:id="rId5" display="https://governmenttechnology.blog.gov.uk/2014/12/08/guest-post-adopting-open-document-format-in-the-home-office/"/>
    <hyperlink ref="D9" r:id="rId6" display="https://governmenttechnology.blog.gov.uk/2014/10/07/getting-to-grips-with-document-formats/"/>
    <hyperlink ref="F8" r:id="rId7" display="http://digitalbusinessacademyuk.com/courses-list"/>
    <hyperlink ref="D11" r:id="rId8" display="https://www.gov.uk/government/publications/government-digital-strategy-action-8"/>
    <hyperlink ref="D12" r:id="rId9" display="https://www.gov.uk/government/publications/government-digital-inclusion-strategy/government-digital-inclusion-strategy"/>
    <hyperlink ref="D13" r:id="rId10" display="http://www.youtube.com/watch?v=ALvIYIC1IqE&amp;index=71&amp;list=UUSNK6abAoM6Kj0SkHOStNLg"/>
    <hyperlink ref="D14" r:id="rId11" display="http://www.youtube.com/watch?v=CnCCmwxdPWQ&amp;list=UUSNK6abAoM6Kj0SkHOStNLg"/>
    <hyperlink ref="D15" r:id="rId12" display="https://www.gov.uk/service-manual/agile/index.html"/>
    <hyperlink ref="F9" r:id="rId13" display="https://gcn.civilservice.gov.uk/competency-framework/"/>
    <hyperlink ref="D17" r:id="rId14" display="http://agilemanifesto.org/principles.html"/>
    <hyperlink ref="D18" r:id="rId15" display="https://www.gov.uk/service-manual/agile/what-agile-looks-like.html"/>
    <hyperlink ref="D19" r:id="rId16" display="https://www.gov.uk/service-manual/the-team"/>
    <hyperlink ref="D20" r:id="rId17" display="https://www.gov.uk/service-manual/user-centred-design/index.html"/>
    <hyperlink ref="D21" r:id="rId18" display="https://www.gov.uk/service-manual/user-centred-design/user-research/index.html"/>
    <hyperlink ref="D22" r:id="rId19" display="https://www.gov.uk/service-manual/agile/writing-user-stories.html"/>
    <hyperlink ref="D23" r:id="rId20" display="https://www.gov.uk/design-principles"/>
    <hyperlink ref="D24" r:id="rId21" display="https://www.gov.uk/service-manual/digital-by-default"/>
    <hyperlink ref="D25" r:id="rId22" display="https://civilservice.blog.gov.uk/2014/10/02/why-commercial-matters/"/>
    <hyperlink ref="D26" r:id="rId23" display="http://www.scotland.gov.uk/Topics/Government/Procurement/buyer-information/spdlowlevel/EUGuidance"/>
    <hyperlink ref="D28" r:id="rId24" display="https://www.digitalmarketplace.service.gov.uk/"/>
    <hyperlink ref="D29" r:id="rId25" display="https://www.gov.uk/government/publications/open-standards-for-government"/>
    <hyperlink ref="D32" r:id="rId26" display="https://www.gov.uk/government/publications/government-security-classifications"/>
    <hyperlink ref="D33" r:id="rId27" display="https://identityassurance.blog.gov.uk/"/>
    <hyperlink ref="D34" r:id="rId28" display="https://www.gov.uk/service-manual/identity-assurance"/>
    <hyperlink ref="D36" r:id="rId29" display="http://www.youtube.com/watch?v=kB1aoOUrO5g&amp;list=UUSNK6abAoM6Kj0SkHOStNLg&amp;index=111"/>
    <hyperlink ref="D38" r:id="rId30" display="https://www.gov.uk/government/publications/social-media-guidance-for-civil-servants"/>
    <hyperlink ref="D39" r:id="rId31"/>
    <hyperlink ref="D40" r:id="rId32" display="https://gcn.civilservice.gov.uk/"/>
    <hyperlink ref="A41" r:id="rId33" display="https://www.nationalarchives.gov.uk/doc/open-government-licence/version/3/"/>
    <hyperlink ref="D35" r:id="rId34"/>
  </hyperlinks>
  <pageMargins left="0.75" right="0.75" top="1" bottom="1" header="0.5" footer="0.5"/>
  <pageSetup paperSize="9" orientation="portrait" horizontalDpi="4294967292" verticalDpi="4294967292"/>
  <drawing r:id="rId3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pane ySplit="6" topLeftCell="A7" activePane="bottomLeft" state="frozen"/>
      <selection pane="bottomLeft" activeCell="B3" sqref="B3:C3"/>
    </sheetView>
  </sheetViews>
  <sheetFormatPr baseColWidth="10" defaultColWidth="14.5" defaultRowHeight="17" x14ac:dyDescent="0"/>
  <cols>
    <col min="1" max="1" width="22.6640625" style="10" customWidth="1"/>
    <col min="2" max="2" width="115.5" style="10" customWidth="1"/>
    <col min="3" max="3" width="11.6640625" style="10" customWidth="1"/>
    <col min="4" max="4" width="26.1640625" style="10" customWidth="1"/>
    <col min="5" max="5" width="39.5" style="10" customWidth="1"/>
    <col min="6" max="7" width="37.1640625" style="10" customWidth="1"/>
    <col min="8" max="16384" width="14.5" style="10"/>
  </cols>
  <sheetData>
    <row r="1" spans="1:7" ht="41" customHeight="1">
      <c r="A1" s="14" t="s">
        <v>11</v>
      </c>
      <c r="B1" s="256" t="str">
        <f>HYPERLINK("https://www.gov.uk/service-manual/agile/index.html","Agile Delivery")</f>
        <v>Agile Delivery</v>
      </c>
      <c r="C1" s="257"/>
      <c r="D1" s="46"/>
      <c r="E1" s="47"/>
      <c r="F1" s="47"/>
      <c r="G1" s="48"/>
    </row>
    <row r="2" spans="1:7" ht="79" customHeight="1">
      <c r="A2" s="14" t="s">
        <v>14</v>
      </c>
      <c r="B2" s="261" t="s">
        <v>16</v>
      </c>
      <c r="C2" s="262"/>
      <c r="D2" s="49"/>
      <c r="E2" s="45"/>
      <c r="F2" s="45"/>
      <c r="G2" s="50"/>
    </row>
    <row r="3" spans="1:7" ht="55" customHeight="1">
      <c r="A3" s="14" t="s">
        <v>25</v>
      </c>
      <c r="B3" s="253" t="s">
        <v>1410</v>
      </c>
      <c r="C3" s="254"/>
      <c r="D3" s="57" t="str">
        <f>HYPERLINK("https://civilservicelearning.civilservice.gov.uk/professions/project-delivery","Project Delivery")</f>
        <v>Project Delivery</v>
      </c>
      <c r="E3" s="45"/>
      <c r="F3" s="45"/>
      <c r="G3" s="50"/>
    </row>
    <row r="4" spans="1:7" ht="42" customHeight="1" thickBot="1">
      <c r="A4" s="14" t="s">
        <v>26</v>
      </c>
      <c r="B4" s="253" t="s">
        <v>27</v>
      </c>
      <c r="C4" s="254"/>
      <c r="D4" s="51"/>
      <c r="E4" s="52"/>
      <c r="F4" s="45"/>
      <c r="G4" s="50"/>
    </row>
    <row r="5" spans="1:7" ht="24" customHeight="1">
      <c r="A5" s="258" t="s">
        <v>28</v>
      </c>
      <c r="B5" s="259"/>
      <c r="C5" s="260"/>
      <c r="D5" s="15" t="s">
        <v>1350</v>
      </c>
      <c r="E5" s="2"/>
      <c r="F5" s="239" t="s">
        <v>1351</v>
      </c>
      <c r="G5" s="240"/>
    </row>
    <row r="6" spans="1:7" ht="33" customHeight="1">
      <c r="A6" s="76" t="s">
        <v>29</v>
      </c>
      <c r="B6" s="14" t="s">
        <v>30</v>
      </c>
      <c r="C6" s="14" t="s">
        <v>31</v>
      </c>
      <c r="D6" s="4" t="s">
        <v>32</v>
      </c>
      <c r="E6" s="15" t="s">
        <v>33</v>
      </c>
      <c r="F6" s="36" t="s">
        <v>34</v>
      </c>
      <c r="G6" s="37" t="s">
        <v>35</v>
      </c>
    </row>
    <row r="7" spans="1:7" ht="79" customHeight="1">
      <c r="A7" s="223" t="s">
        <v>36</v>
      </c>
      <c r="B7" s="12" t="s">
        <v>37</v>
      </c>
      <c r="C7" s="12" t="s">
        <v>38</v>
      </c>
      <c r="D7" s="39"/>
      <c r="E7" s="40"/>
      <c r="F7" s="121" t="str">
        <f>HYPERLINK("https://www.gov.uk/service-manual/agile/features-of-agile.html","Features of agile")</f>
        <v>Features of agile</v>
      </c>
      <c r="G7" s="124" t="s">
        <v>47</v>
      </c>
    </row>
    <row r="8" spans="1:7" ht="44" customHeight="1">
      <c r="A8" s="224"/>
      <c r="B8" s="12" t="s">
        <v>48</v>
      </c>
      <c r="C8" s="12" t="s">
        <v>49</v>
      </c>
      <c r="D8" s="41"/>
      <c r="E8" s="40"/>
      <c r="F8" s="121" t="str">
        <f>HYPERLINK("https://www.gov.uk/service-manual/agile/what-agile-looks-like.html","What agile looks like")</f>
        <v>What agile looks like</v>
      </c>
      <c r="G8" s="124" t="s">
        <v>50</v>
      </c>
    </row>
    <row r="9" spans="1:7" ht="49" customHeight="1">
      <c r="A9" s="231" t="s">
        <v>51</v>
      </c>
      <c r="B9" s="229" t="s">
        <v>54</v>
      </c>
      <c r="C9" s="255" t="s">
        <v>57</v>
      </c>
      <c r="D9" s="39" t="str">
        <f>HYPERLINK("https://www.gov.uk/service-manual/agile/writing-user-stories.html","Writing user stories")</f>
        <v>Writing user stories</v>
      </c>
      <c r="E9" s="40" t="s">
        <v>63</v>
      </c>
      <c r="F9" s="121" t="str">
        <f>HYPERLINK("https://www.gov.uk/service-manual/agile/training-and-learning.html","Training and learning about agile")</f>
        <v>Training and learning about agile</v>
      </c>
      <c r="G9" s="124" t="s">
        <v>77</v>
      </c>
    </row>
    <row r="10" spans="1:7" ht="84" customHeight="1" thickBot="1">
      <c r="A10" s="232"/>
      <c r="B10" s="230"/>
      <c r="C10" s="232"/>
      <c r="D10" s="128" t="str">
        <f>HYPERLINK("http://www.mindtheproduct.com/2014/07/experiments-roadmapping-gov-uk/?utm_campaign=coschedule&amp;utm_source=twitter&amp;utm_medium=MindTheProduct&amp;utm_content=Experiments+in+roadmapping+at+GOV.UK","Experiments in roadmapping at GOV.UK")</f>
        <v>Experiments in roadmapping at GOV.UK</v>
      </c>
      <c r="E10" s="129" t="s">
        <v>64</v>
      </c>
      <c r="F10" s="145" t="str">
        <f>HYPERLINK("http://www.servicedesigntools.org/","Service Design Tools")</f>
        <v>Service Design Tools</v>
      </c>
      <c r="G10" s="135" t="s">
        <v>88</v>
      </c>
    </row>
    <row r="11" spans="1:7" ht="64" customHeight="1">
      <c r="A11" s="223" t="s">
        <v>72</v>
      </c>
      <c r="B11" s="12" t="s">
        <v>73</v>
      </c>
      <c r="C11" s="12" t="s">
        <v>74</v>
      </c>
      <c r="D11" s="69"/>
      <c r="E11" s="144"/>
      <c r="F11" s="116"/>
      <c r="G11" s="138"/>
    </row>
    <row r="12" spans="1:7" ht="63" customHeight="1">
      <c r="A12" s="224"/>
      <c r="B12" s="229" t="s">
        <v>78</v>
      </c>
      <c r="C12" s="255" t="s">
        <v>82</v>
      </c>
      <c r="D12" s="39" t="str">
        <f>HYPERLINK("https://www.gov.uk/service-manual/agile/features-of-agile.html","Features of agile")</f>
        <v>Features of agile</v>
      </c>
      <c r="E12" s="40" t="s">
        <v>83</v>
      </c>
      <c r="F12" s="116"/>
      <c r="G12" s="138"/>
    </row>
    <row r="13" spans="1:7" ht="69" customHeight="1">
      <c r="A13" s="224"/>
      <c r="B13" s="242"/>
      <c r="C13" s="232"/>
      <c r="D13" s="143" t="str">
        <f>HYPERLINK("http://www.agilelearninglabs.com/resources/scrum-introduction/","Introduction to scrum")</f>
        <v>Introduction to scrum</v>
      </c>
      <c r="E13" s="40" t="s">
        <v>90</v>
      </c>
      <c r="F13" s="116"/>
      <c r="G13" s="138"/>
    </row>
    <row r="14" spans="1:7" ht="91" customHeight="1">
      <c r="A14" s="224"/>
      <c r="B14" s="230"/>
      <c r="C14" s="232"/>
      <c r="D14" s="143" t="str">
        <f>HYPERLINK("https://www.gov.uk/service-manual/agile/running-retrospectives","Running retrospectives")</f>
        <v>Running retrospectives</v>
      </c>
      <c r="E14" s="40" t="s">
        <v>92</v>
      </c>
      <c r="F14" s="116"/>
      <c r="G14" s="138"/>
    </row>
    <row r="15" spans="1:7" ht="59" customHeight="1">
      <c r="A15" s="9" t="s">
        <v>93</v>
      </c>
      <c r="B15" s="12" t="s">
        <v>94</v>
      </c>
      <c r="C15" s="12" t="s">
        <v>95</v>
      </c>
      <c r="D15" s="164" t="str">
        <f>HYPERLINK("https://www.gov.uk/service-manual/agile/quality.html","Quality")</f>
        <v>Quality</v>
      </c>
      <c r="E15" s="40" t="s">
        <v>103</v>
      </c>
      <c r="F15" s="95"/>
      <c r="G15" s="96"/>
    </row>
    <row r="16" spans="1:7" ht="63" customHeight="1">
      <c r="A16" s="9" t="s">
        <v>104</v>
      </c>
      <c r="B16" s="12" t="s">
        <v>105</v>
      </c>
      <c r="C16" s="12" t="s">
        <v>106</v>
      </c>
      <c r="D16" s="41"/>
      <c r="E16" s="40"/>
      <c r="F16" s="95"/>
      <c r="G16" s="96"/>
    </row>
    <row r="17" spans="1:7" ht="43" customHeight="1">
      <c r="A17" s="223" t="s">
        <v>107</v>
      </c>
      <c r="B17" s="12" t="s">
        <v>108</v>
      </c>
      <c r="C17" s="12" t="s">
        <v>109</v>
      </c>
      <c r="D17" s="170" t="str">
        <f>HYPERLINK("https://www.gov.uk/service-manual/agile/continuous-delivery.html","Continuous delivery")</f>
        <v>Continuous delivery</v>
      </c>
      <c r="E17" s="144"/>
      <c r="F17" s="95"/>
      <c r="G17" s="96"/>
    </row>
    <row r="18" spans="1:7" ht="213" customHeight="1">
      <c r="A18" s="224"/>
      <c r="B18" s="12" t="s">
        <v>118</v>
      </c>
      <c r="C18" s="12" t="s">
        <v>120</v>
      </c>
      <c r="D18" s="41"/>
      <c r="E18" s="40"/>
      <c r="F18" s="95"/>
      <c r="G18" s="96"/>
    </row>
    <row r="19" spans="1:7" ht="59" customHeight="1">
      <c r="A19" s="9" t="s">
        <v>121</v>
      </c>
      <c r="B19" s="12" t="s">
        <v>122</v>
      </c>
      <c r="C19" s="12" t="s">
        <v>123</v>
      </c>
      <c r="D19" s="41"/>
      <c r="E19" s="40"/>
      <c r="F19" s="95"/>
      <c r="G19" s="96"/>
    </row>
    <row r="20" spans="1:7" ht="51">
      <c r="A20" s="9" t="s">
        <v>125</v>
      </c>
      <c r="B20" s="12" t="s">
        <v>126</v>
      </c>
      <c r="C20" s="12" t="s">
        <v>127</v>
      </c>
      <c r="D20" s="41"/>
      <c r="E20" s="40"/>
      <c r="F20" s="95"/>
      <c r="G20" s="96"/>
    </row>
    <row r="21" spans="1:7" ht="62" customHeight="1">
      <c r="A21" s="9" t="s">
        <v>128</v>
      </c>
      <c r="B21" s="12" t="s">
        <v>1392</v>
      </c>
      <c r="C21" s="12" t="s">
        <v>129</v>
      </c>
      <c r="D21" s="41"/>
      <c r="E21" s="40"/>
      <c r="F21" s="95"/>
      <c r="G21" s="96"/>
    </row>
    <row r="22" spans="1:7" ht="55" customHeight="1">
      <c r="A22" s="223" t="s">
        <v>130</v>
      </c>
      <c r="B22" s="12" t="s">
        <v>131</v>
      </c>
      <c r="C22" s="12" t="s">
        <v>132</v>
      </c>
      <c r="D22" s="41"/>
      <c r="E22" s="40"/>
      <c r="F22" s="95"/>
      <c r="G22" s="96"/>
    </row>
    <row r="23" spans="1:7" ht="56" customHeight="1">
      <c r="A23" s="224"/>
      <c r="B23" s="12" t="s">
        <v>135</v>
      </c>
      <c r="C23" s="12" t="s">
        <v>136</v>
      </c>
      <c r="D23" s="41"/>
      <c r="E23" s="40"/>
      <c r="F23" s="95"/>
      <c r="G23" s="96"/>
    </row>
    <row r="24" spans="1:7" ht="53" customHeight="1">
      <c r="A24" s="264" t="s">
        <v>138</v>
      </c>
      <c r="B24" s="16" t="s">
        <v>141</v>
      </c>
      <c r="C24" s="16" t="s">
        <v>142</v>
      </c>
      <c r="D24" s="83"/>
      <c r="E24" s="90"/>
      <c r="F24" s="97"/>
      <c r="G24" s="98"/>
    </row>
    <row r="25" spans="1:7" ht="52" customHeight="1">
      <c r="A25" s="230"/>
      <c r="B25" s="17" t="s">
        <v>159</v>
      </c>
      <c r="C25" s="18" t="s">
        <v>161</v>
      </c>
      <c r="D25" s="85"/>
      <c r="E25" s="91"/>
      <c r="F25" s="97"/>
      <c r="G25" s="98"/>
    </row>
    <row r="26" spans="1:7" ht="51">
      <c r="A26" s="19" t="s">
        <v>171</v>
      </c>
      <c r="B26" s="12" t="s">
        <v>177</v>
      </c>
      <c r="C26" s="12" t="s">
        <v>178</v>
      </c>
      <c r="D26" s="41"/>
      <c r="E26" s="40"/>
      <c r="F26" s="95"/>
      <c r="G26" s="96"/>
    </row>
    <row r="27" spans="1:7" ht="47" customHeight="1">
      <c r="A27" s="9" t="s">
        <v>179</v>
      </c>
      <c r="B27" s="12" t="s">
        <v>182</v>
      </c>
      <c r="C27" s="12" t="s">
        <v>183</v>
      </c>
      <c r="D27" s="41"/>
      <c r="E27" s="40"/>
      <c r="F27" s="95"/>
      <c r="G27" s="96"/>
    </row>
    <row r="28" spans="1:7" ht="65" customHeight="1">
      <c r="A28" s="9" t="s">
        <v>184</v>
      </c>
      <c r="B28" s="12" t="s">
        <v>187</v>
      </c>
      <c r="C28" s="12" t="s">
        <v>188</v>
      </c>
      <c r="D28" s="41"/>
      <c r="E28" s="40"/>
      <c r="F28" s="95"/>
      <c r="G28" s="96"/>
    </row>
    <row r="29" spans="1:7" ht="59" customHeight="1">
      <c r="A29" s="263" t="s">
        <v>194</v>
      </c>
      <c r="B29" s="12" t="s">
        <v>196</v>
      </c>
      <c r="C29" s="12" t="s">
        <v>197</v>
      </c>
      <c r="D29" s="39" t="str">
        <f>HYPERLINK("https://www.gov.uk/service-manual/the-team/index.html","The team")</f>
        <v>The team</v>
      </c>
      <c r="E29" s="40" t="s">
        <v>199</v>
      </c>
      <c r="F29" s="95"/>
      <c r="G29" s="96"/>
    </row>
    <row r="30" spans="1:7" ht="50" customHeight="1">
      <c r="A30" s="224"/>
      <c r="B30" s="12" t="s">
        <v>200</v>
      </c>
      <c r="C30" s="12" t="s">
        <v>201</v>
      </c>
      <c r="D30" s="41"/>
      <c r="E30" s="40"/>
      <c r="F30" s="95"/>
      <c r="G30" s="96"/>
    </row>
    <row r="31" spans="1:7" ht="55" customHeight="1">
      <c r="A31" s="224"/>
      <c r="B31" s="12" t="s">
        <v>202</v>
      </c>
      <c r="C31" s="12" t="s">
        <v>203</v>
      </c>
      <c r="D31" s="41"/>
      <c r="E31" s="40"/>
      <c r="F31" s="95"/>
      <c r="G31" s="96"/>
    </row>
    <row r="32" spans="1:7" ht="52" customHeight="1">
      <c r="A32" s="263" t="s">
        <v>206</v>
      </c>
      <c r="B32" s="12" t="s">
        <v>207</v>
      </c>
      <c r="C32" s="12" t="s">
        <v>208</v>
      </c>
      <c r="D32" s="41"/>
      <c r="E32" s="40"/>
      <c r="F32" s="95"/>
      <c r="G32" s="96"/>
    </row>
    <row r="33" spans="1:7" ht="56" customHeight="1">
      <c r="A33" s="224"/>
      <c r="B33" s="20" t="s">
        <v>209</v>
      </c>
      <c r="C33" s="20" t="s">
        <v>210</v>
      </c>
      <c r="D33" s="41"/>
      <c r="E33" s="40"/>
      <c r="F33" s="99"/>
      <c r="G33" s="100"/>
    </row>
    <row r="34" spans="1:7" ht="35" customHeight="1">
      <c r="A34" s="225" t="str">
        <f>HYPERLINK("https://www.nationalarchives.gov.uk/doc/open-government-licence/version/3/","All content is available under the Open Government Licence v3.0, except where otherwise stated")</f>
        <v>All content is available under the Open Government Licence v3.0, except where otherwise stated</v>
      </c>
      <c r="B34" s="216"/>
      <c r="C34" s="216"/>
      <c r="D34" s="7"/>
      <c r="E34" s="7"/>
      <c r="F34" s="7"/>
      <c r="G34" s="7"/>
    </row>
  </sheetData>
  <mergeCells count="19">
    <mergeCell ref="C12:C14"/>
    <mergeCell ref="F5:G5"/>
    <mergeCell ref="A34:C34"/>
    <mergeCell ref="A11:A14"/>
    <mergeCell ref="A17:A18"/>
    <mergeCell ref="A7:A8"/>
    <mergeCell ref="A9:A10"/>
    <mergeCell ref="B12:B14"/>
    <mergeCell ref="A32:A33"/>
    <mergeCell ref="A29:A31"/>
    <mergeCell ref="A24:A25"/>
    <mergeCell ref="A22:A23"/>
    <mergeCell ref="B3:C3"/>
    <mergeCell ref="B9:B10"/>
    <mergeCell ref="C9:C10"/>
    <mergeCell ref="B1:C1"/>
    <mergeCell ref="A5:C5"/>
    <mergeCell ref="B4:C4"/>
    <mergeCell ref="B2:C2"/>
  </mergeCells>
  <phoneticPr fontId="11" type="noConversion"/>
  <hyperlinks>
    <hyperlink ref="B1" r:id="rId1" display="https://www.gov.uk/service-manual/agile/index.html"/>
    <hyperlink ref="D3" r:id="rId2" display="https://civilservicelearning.civilservice.gov.uk/professions/project-delivery"/>
    <hyperlink ref="F7" r:id="rId3" display="https://www.gov.uk/service-manual/agile/features-of-agile.html"/>
    <hyperlink ref="F8" r:id="rId4" display="https://www.gov.uk/service-manual/agile/what-agile-looks-like.html"/>
    <hyperlink ref="D9" r:id="rId5" display="https://www.gov.uk/service-manual/agile/writing-user-stories.html"/>
    <hyperlink ref="D10" r:id="rId6" display="http://www.mindtheproduct.com/2014/07/experiments-roadmapping-gov-uk/?utm_campaign=coschedule&amp;utm_source=twitter&amp;utm_medium=MindTheProduct&amp;utm_content=Experiments+in+roadmapping+at+GOV.UK"/>
    <hyperlink ref="F9" r:id="rId7" display="https://www.gov.uk/service-manual/agile/training-and-learning.html"/>
    <hyperlink ref="D12" r:id="rId8" display="https://www.gov.uk/service-manual/agile/features-of-agile.html"/>
    <hyperlink ref="F10" r:id="rId9" display="http://www.servicedesigntools.org/"/>
    <hyperlink ref="D13" r:id="rId10" display="http://www.agilelearninglabs.com/resources/scrum-introduction/"/>
    <hyperlink ref="D14" r:id="rId11" display="https://www.gov.uk/service-manual/agile/running-retrospectives"/>
    <hyperlink ref="D15" r:id="rId12" display="https://www.gov.uk/service-manual/agile/quality.html"/>
    <hyperlink ref="D17" r:id="rId13" display="https://www.gov.uk/service-manual/agile/continuous-delivery.html"/>
    <hyperlink ref="D29" r:id="rId14" display="https://www.gov.uk/service-manual/the-team/index.html"/>
    <hyperlink ref="A34" r:id="rId15" display="https://www.nationalarchives.gov.uk/doc/open-government-licence/version/3/"/>
  </hyperlinks>
  <pageMargins left="0.75" right="0.75" top="1" bottom="1" header="0.5" footer="0.5"/>
  <pageSetup paperSize="9" orientation="portrait" horizontalDpi="4294967292" verticalDpi="4294967292"/>
  <drawing r:id="rId16"/>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pane ySplit="6" topLeftCell="A7" activePane="bottomLeft" state="frozen"/>
      <selection pane="bottomLeft" activeCell="B15" sqref="B15"/>
    </sheetView>
  </sheetViews>
  <sheetFormatPr baseColWidth="10" defaultColWidth="14.5" defaultRowHeight="17" x14ac:dyDescent="0"/>
  <cols>
    <col min="1" max="1" width="22.5" style="10" customWidth="1"/>
    <col min="2" max="2" width="115.33203125" style="10" customWidth="1"/>
    <col min="3" max="3" width="12" style="10" customWidth="1"/>
    <col min="4" max="4" width="32.1640625" style="10" customWidth="1"/>
    <col min="5" max="5" width="39.5" style="10" customWidth="1"/>
    <col min="6" max="6" width="35.33203125" style="10" customWidth="1"/>
    <col min="7" max="7" width="36.83203125" style="10" customWidth="1"/>
    <col min="8" max="16384" width="14.5" style="10"/>
  </cols>
  <sheetData>
    <row r="1" spans="1:7" ht="35" customHeight="1">
      <c r="A1" s="1" t="s">
        <v>12</v>
      </c>
      <c r="B1" s="268" t="str">
        <f>HYPERLINK("https://www.gov.uk/service-manual/technology/spending-controls.html","Commercial and Procurement")</f>
        <v>Commercial and Procurement</v>
      </c>
      <c r="C1" s="269"/>
      <c r="D1" s="46"/>
      <c r="E1" s="47"/>
      <c r="F1" s="47"/>
      <c r="G1" s="48"/>
    </row>
    <row r="2" spans="1:7" ht="72" customHeight="1">
      <c r="A2" s="1" t="s">
        <v>13</v>
      </c>
      <c r="B2" s="261" t="s">
        <v>15</v>
      </c>
      <c r="C2" s="262"/>
      <c r="D2" s="67"/>
      <c r="E2" s="45"/>
      <c r="F2" s="45"/>
      <c r="G2" s="50"/>
    </row>
    <row r="3" spans="1:7" ht="54" customHeight="1">
      <c r="A3" s="1" t="s">
        <v>19</v>
      </c>
      <c r="B3" s="253" t="s">
        <v>20</v>
      </c>
      <c r="C3" s="254"/>
      <c r="D3" s="67"/>
      <c r="E3" s="45"/>
      <c r="F3" s="45"/>
      <c r="G3" s="50"/>
    </row>
    <row r="4" spans="1:7" ht="44" customHeight="1">
      <c r="A4" s="1" t="s">
        <v>21</v>
      </c>
      <c r="B4" s="253" t="s">
        <v>22</v>
      </c>
      <c r="C4" s="254"/>
      <c r="D4" s="68"/>
      <c r="E4" s="52"/>
      <c r="F4" s="52"/>
      <c r="G4" s="53"/>
    </row>
    <row r="5" spans="1:7" ht="24" customHeight="1">
      <c r="A5" s="258" t="s">
        <v>23</v>
      </c>
      <c r="B5" s="259"/>
      <c r="C5" s="260"/>
      <c r="D5" s="15" t="s">
        <v>1350</v>
      </c>
      <c r="E5" s="3"/>
      <c r="F5" s="13" t="s">
        <v>1351</v>
      </c>
      <c r="G5" s="21"/>
    </row>
    <row r="6" spans="1:7" ht="30" customHeight="1">
      <c r="A6" s="44" t="s">
        <v>52</v>
      </c>
      <c r="B6" s="1" t="s">
        <v>53</v>
      </c>
      <c r="C6" s="1" t="s">
        <v>55</v>
      </c>
      <c r="D6" s="15" t="s">
        <v>56</v>
      </c>
      <c r="E6" s="15" t="s">
        <v>58</v>
      </c>
      <c r="F6" s="5" t="s">
        <v>59</v>
      </c>
      <c r="G6" s="5" t="s">
        <v>60</v>
      </c>
    </row>
    <row r="7" spans="1:7" ht="51">
      <c r="A7" s="9" t="s">
        <v>1393</v>
      </c>
      <c r="B7" s="12" t="s">
        <v>61</v>
      </c>
      <c r="C7" s="12" t="s">
        <v>62</v>
      </c>
      <c r="D7" s="69"/>
      <c r="E7" s="69"/>
      <c r="F7" s="34" t="str">
        <f>HYPERLINK("https://www.gov.uk/service-manual/technology/code-of-practice","Technology code of practice")</f>
        <v>Technology code of practice</v>
      </c>
      <c r="G7" s="35" t="s">
        <v>1421</v>
      </c>
    </row>
    <row r="8" spans="1:7" ht="80" customHeight="1">
      <c r="A8" s="231" t="s">
        <v>1386</v>
      </c>
      <c r="B8" s="229" t="s">
        <v>67</v>
      </c>
      <c r="C8" s="255" t="s">
        <v>68</v>
      </c>
      <c r="D8" s="70" t="str">
        <f>HYPERLINK("https://www.gov.uk/digital-marketplace","Digital Marketplace")</f>
        <v>Digital Marketplace</v>
      </c>
      <c r="E8" s="71" t="s">
        <v>75</v>
      </c>
      <c r="F8" s="34" t="str">
        <f>HYPERLINK("https://civilserviceleaders.blog.gov.uk/2014/11/07/how-do-you-rate-your-commercial-skills/","How do you rate your commercial skills?")</f>
        <v>How do you rate your commercial skills?</v>
      </c>
      <c r="G8" s="35" t="s">
        <v>81</v>
      </c>
    </row>
    <row r="9" spans="1:7" ht="80" customHeight="1">
      <c r="A9" s="244"/>
      <c r="B9" s="266"/>
      <c r="C9" s="267"/>
      <c r="D9" s="70" t="s">
        <v>1387</v>
      </c>
      <c r="E9" s="71" t="s">
        <v>1388</v>
      </c>
      <c r="F9" s="74" t="str">
        <f>HYPERLINK("https://civilservice.blog.gov.uk/2014/10/28/courses-to-improve-your-commercial-skills/","Courses to improve your commercial skills")</f>
        <v>Courses to improve your commercial skills</v>
      </c>
      <c r="G9" s="75" t="s">
        <v>100</v>
      </c>
    </row>
    <row r="10" spans="1:7" ht="78" customHeight="1">
      <c r="A10" s="232"/>
      <c r="B10" s="230"/>
      <c r="C10" s="232"/>
      <c r="D10" s="70" t="str">
        <f>HYPERLINK("https://www.digitalmarketplace.service.gov.uk/buyers-guide","Digital Marketplace Buyers' Guide")</f>
        <v>Digital Marketplace Buyers' Guide</v>
      </c>
      <c r="E10" s="71" t="s">
        <v>85</v>
      </c>
      <c r="F10" s="74" t="str">
        <f>HYPERLINK("https://www.gov.uk/service-manual/technology/spending-controls.html","Spending controls")</f>
        <v>Spending controls</v>
      </c>
      <c r="G10" s="75" t="s">
        <v>139</v>
      </c>
    </row>
    <row r="11" spans="1:7" ht="56" customHeight="1">
      <c r="A11" s="264" t="s">
        <v>1380</v>
      </c>
      <c r="B11" s="22" t="s">
        <v>112</v>
      </c>
      <c r="C11" s="16" t="s">
        <v>114</v>
      </c>
      <c r="D11" s="70" t="str">
        <f>HYPERLINK("https://www.gov.uk/government/collections/procurement-policy-notes","Government procurement policy notes")</f>
        <v>Government procurement policy notes</v>
      </c>
      <c r="E11" s="71" t="s">
        <v>134</v>
      </c>
      <c r="F11" s="74" t="str">
        <f>HYPERLINK("https://www.gov.uk/service-manual/governance/funding-your-digital-service","Funding your digital service")</f>
        <v>Funding your digital service</v>
      </c>
      <c r="G11" s="75" t="s">
        <v>156</v>
      </c>
    </row>
    <row r="12" spans="1:7" ht="40" customHeight="1">
      <c r="A12" s="242"/>
      <c r="B12" s="17" t="s">
        <v>140</v>
      </c>
      <c r="C12" s="18" t="s">
        <v>145</v>
      </c>
      <c r="D12" s="69"/>
      <c r="E12" s="69"/>
      <c r="F12" s="74" t="str">
        <f>HYPERLINK("https://www.gov.uk/service-manual/the-team/working-with-specialists.html","Working with specialist suppliers")</f>
        <v>Working with specialist suppliers</v>
      </c>
      <c r="G12" s="75" t="s">
        <v>166</v>
      </c>
    </row>
    <row r="13" spans="1:7" ht="34">
      <c r="A13" s="230"/>
      <c r="B13" s="17" t="s">
        <v>157</v>
      </c>
      <c r="C13" s="18" t="s">
        <v>158</v>
      </c>
      <c r="D13" s="71"/>
      <c r="E13" s="72"/>
      <c r="F13" s="130" t="str">
        <f>HYPERLINK("https://digitalmarketplace.blog.gov.uk/","Digital Marketplace blog")</f>
        <v>Digital Marketplace blog</v>
      </c>
      <c r="G13" s="131" t="s">
        <v>172</v>
      </c>
    </row>
    <row r="14" spans="1:7" ht="46" customHeight="1">
      <c r="A14" s="223" t="s">
        <v>1381</v>
      </c>
      <c r="B14" s="12" t="s">
        <v>167</v>
      </c>
      <c r="C14" s="12" t="s">
        <v>168</v>
      </c>
      <c r="D14" s="73"/>
      <c r="E14" s="40"/>
      <c r="F14" s="93"/>
      <c r="G14" s="94"/>
    </row>
    <row r="15" spans="1:7" ht="58" customHeight="1">
      <c r="A15" s="224"/>
      <c r="B15" s="12" t="s">
        <v>173</v>
      </c>
      <c r="C15" s="12" t="s">
        <v>174</v>
      </c>
      <c r="D15" s="73"/>
      <c r="E15" s="40"/>
      <c r="F15" s="95"/>
      <c r="G15" s="96"/>
    </row>
    <row r="16" spans="1:7" ht="85" customHeight="1">
      <c r="A16" s="9" t="s">
        <v>1382</v>
      </c>
      <c r="B16" s="12" t="s">
        <v>175</v>
      </c>
      <c r="C16" s="12" t="s">
        <v>176</v>
      </c>
      <c r="D16" s="73"/>
      <c r="E16" s="40"/>
      <c r="F16" s="95"/>
      <c r="G16" s="96"/>
    </row>
    <row r="17" spans="1:7" ht="68" customHeight="1">
      <c r="A17" s="9" t="s">
        <v>1383</v>
      </c>
      <c r="B17" s="12" t="s">
        <v>180</v>
      </c>
      <c r="C17" s="12" t="s">
        <v>181</v>
      </c>
      <c r="D17" s="73"/>
      <c r="E17" s="40"/>
      <c r="F17" s="95"/>
      <c r="G17" s="96"/>
    </row>
    <row r="18" spans="1:7" ht="144" customHeight="1">
      <c r="A18" s="9" t="s">
        <v>1384</v>
      </c>
      <c r="B18" s="12" t="s">
        <v>185</v>
      </c>
      <c r="C18" s="12" t="s">
        <v>186</v>
      </c>
      <c r="D18" s="39"/>
      <c r="E18" s="40"/>
      <c r="F18" s="95"/>
      <c r="G18" s="96"/>
    </row>
    <row r="19" spans="1:7" ht="56" customHeight="1">
      <c r="A19" s="265" t="s">
        <v>1385</v>
      </c>
      <c r="B19" s="12" t="s">
        <v>189</v>
      </c>
      <c r="C19" s="12" t="s">
        <v>190</v>
      </c>
      <c r="D19" s="39" t="str">
        <f>HYPERLINK("https://www.gov.uk/service-manual/governance/index.html","Governance")</f>
        <v>Governance</v>
      </c>
      <c r="E19" s="40" t="s">
        <v>191</v>
      </c>
      <c r="F19" s="95"/>
      <c r="G19" s="96"/>
    </row>
    <row r="20" spans="1:7" ht="73" customHeight="1">
      <c r="A20" s="227"/>
      <c r="B20" s="12" t="s">
        <v>192</v>
      </c>
      <c r="C20" s="12" t="s">
        <v>193</v>
      </c>
      <c r="D20" s="73"/>
      <c r="E20" s="40"/>
      <c r="F20" s="99"/>
      <c r="G20" s="100"/>
    </row>
    <row r="21" spans="1:7" ht="35" customHeight="1">
      <c r="A21" s="225" t="str">
        <f>HYPERLINK("https://www.nationalarchives.gov.uk/doc/open-government-licence/version/3/","All content is available under the Open Government Licence v3.0, except where otherwise stated")</f>
        <v>All content is available under the Open Government Licence v3.0, except where otherwise stated</v>
      </c>
      <c r="B21" s="216"/>
      <c r="C21" s="216"/>
      <c r="D21" s="23"/>
      <c r="E21" s="7"/>
      <c r="F21" s="7"/>
      <c r="G21" s="7"/>
    </row>
  </sheetData>
  <mergeCells count="12">
    <mergeCell ref="B1:C1"/>
    <mergeCell ref="B2:C2"/>
    <mergeCell ref="B3:C3"/>
    <mergeCell ref="B4:C4"/>
    <mergeCell ref="A5:C5"/>
    <mergeCell ref="A19:A20"/>
    <mergeCell ref="A21:C21"/>
    <mergeCell ref="A14:A15"/>
    <mergeCell ref="B8:B10"/>
    <mergeCell ref="C8:C10"/>
    <mergeCell ref="A11:A13"/>
    <mergeCell ref="A8:A10"/>
  </mergeCells>
  <phoneticPr fontId="11" type="noConversion"/>
  <hyperlinks>
    <hyperlink ref="B1" r:id="rId1" display="https://www.gov.uk/service-manual/technology/spending-controls.html"/>
    <hyperlink ref="F7" r:id="rId2" display="https://www.gov.uk/service-manual/technology/code-of-practice"/>
    <hyperlink ref="D8" r:id="rId3" display="https://www.gov.uk/digital-marketplace"/>
    <hyperlink ref="F8" r:id="rId4" display="https://civilserviceleaders.blog.gov.uk/2014/11/07/how-do-you-rate-your-commercial-skills/"/>
    <hyperlink ref="D10" r:id="rId5" display="https://www.digitalmarketplace.service.gov.uk/buyers-guide"/>
    <hyperlink ref="F9" r:id="rId6" display="https://civilservice.blog.gov.uk/2014/10/28/courses-to-improve-your-commercial-skills/"/>
    <hyperlink ref="D11" r:id="rId7" display="https://www.gov.uk/government/collections/procurement-policy-notes"/>
    <hyperlink ref="F10" r:id="rId8" display="https://www.gov.uk/service-manual/technology/spending-controls.html"/>
    <hyperlink ref="F11" r:id="rId9" display="https://www.gov.uk/service-manual/governance/funding-your-digital-service"/>
    <hyperlink ref="F12" r:id="rId10" display="https://www.gov.uk/service-manual/the-team/working-with-specialists.html"/>
    <hyperlink ref="F13" r:id="rId11" display="https://digitalmarketplace.blog.gov.uk/"/>
    <hyperlink ref="D19" r:id="rId12" display="https://www.gov.uk/service-manual/governance/index.html"/>
    <hyperlink ref="A21" r:id="rId13" display="https://www.nationalarchives.gov.uk/doc/open-government-licence/version/3/"/>
    <hyperlink ref="C1" r:id="rId14" display="https://www.gov.uk/service-manual/technology/spending-controls.html"/>
    <hyperlink ref="D9" r:id="rId15"/>
  </hyperlinks>
  <pageMargins left="0.75" right="0.75" top="1" bottom="1" header="0.5" footer="0.5"/>
  <pageSetup paperSize="9" orientation="portrait" horizontalDpi="4294967292" verticalDpi="4294967292"/>
  <drawing r:id="rId16"/>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pane ySplit="5" topLeftCell="A6" activePane="bottomLeft" state="frozen"/>
      <selection pane="bottomLeft" activeCell="B2" sqref="B2:C2"/>
    </sheetView>
  </sheetViews>
  <sheetFormatPr baseColWidth="10" defaultColWidth="14.5" defaultRowHeight="15.75" customHeight="1" x14ac:dyDescent="0"/>
  <cols>
    <col min="1" max="1" width="24.33203125" style="10" customWidth="1"/>
    <col min="2" max="2" width="123" style="10" customWidth="1"/>
    <col min="3" max="3" width="11" style="10" customWidth="1"/>
    <col min="4" max="4" width="37.1640625" style="25" customWidth="1"/>
    <col min="5" max="5" width="45.6640625" style="10" customWidth="1"/>
    <col min="6" max="6" width="35.83203125" style="10" customWidth="1"/>
    <col min="7" max="7" width="50.1640625" style="10" customWidth="1"/>
    <col min="8" max="16384" width="14.5" style="10"/>
  </cols>
  <sheetData>
    <row r="1" spans="1:7" ht="37" customHeight="1">
      <c r="A1" s="14" t="s">
        <v>219</v>
      </c>
      <c r="B1" s="270" t="str">
        <f>HYPERLINK("https://www.gov.uk/service-manual/the-team/recruitment/scs-orgdesign.html","Digital Leadership")</f>
        <v>Digital Leadership</v>
      </c>
      <c r="C1" s="271"/>
      <c r="D1" s="46"/>
      <c r="E1" s="47"/>
      <c r="F1" s="47"/>
      <c r="G1" s="48"/>
    </row>
    <row r="2" spans="1:7" ht="103" customHeight="1">
      <c r="A2" s="14" t="s">
        <v>220</v>
      </c>
      <c r="B2" s="272" t="s">
        <v>1435</v>
      </c>
      <c r="C2" s="273"/>
      <c r="D2" s="49"/>
      <c r="E2" s="45"/>
      <c r="F2" s="45"/>
      <c r="G2" s="50"/>
    </row>
    <row r="3" spans="1:7" ht="54" customHeight="1" thickBot="1">
      <c r="A3" s="14" t="s">
        <v>221</v>
      </c>
      <c r="B3" s="274" t="s">
        <v>222</v>
      </c>
      <c r="C3" s="254"/>
      <c r="D3" s="51"/>
      <c r="E3" s="52"/>
      <c r="F3" s="45"/>
      <c r="G3" s="50"/>
    </row>
    <row r="4" spans="1:7" ht="30" customHeight="1">
      <c r="A4" s="277" t="s">
        <v>223</v>
      </c>
      <c r="B4" s="278"/>
      <c r="C4" s="279"/>
      <c r="D4" s="77" t="s">
        <v>1350</v>
      </c>
      <c r="E4" s="101"/>
      <c r="F4" s="239" t="s">
        <v>1351</v>
      </c>
      <c r="G4" s="240"/>
    </row>
    <row r="5" spans="1:7" ht="26.25" customHeight="1">
      <c r="A5" s="76" t="s">
        <v>225</v>
      </c>
      <c r="B5" s="14" t="s">
        <v>226</v>
      </c>
      <c r="C5" s="14" t="s">
        <v>227</v>
      </c>
      <c r="D5" s="4" t="s">
        <v>228</v>
      </c>
      <c r="E5" s="15" t="s">
        <v>229</v>
      </c>
      <c r="F5" s="102" t="s">
        <v>230</v>
      </c>
      <c r="G5" s="103" t="s">
        <v>231</v>
      </c>
    </row>
    <row r="6" spans="1:7" ht="66" customHeight="1">
      <c r="A6" s="223" t="s">
        <v>232</v>
      </c>
      <c r="B6" s="12" t="s">
        <v>233</v>
      </c>
      <c r="C6" s="12" t="s">
        <v>234</v>
      </c>
      <c r="D6" s="79"/>
      <c r="E6" s="87"/>
      <c r="F6" s="104" t="str">
        <f>HYPERLINK("https://www.gov.uk/government/publications/leading-and-managing-change-people-impact-assessment","HMRC People Impact Assessment")</f>
        <v>HMRC People Impact Assessment</v>
      </c>
      <c r="G6" s="106" t="s">
        <v>240</v>
      </c>
    </row>
    <row r="7" spans="1:7" ht="151" customHeight="1">
      <c r="A7" s="224"/>
      <c r="B7" s="12" t="s">
        <v>1395</v>
      </c>
      <c r="C7" s="12" t="s">
        <v>235</v>
      </c>
      <c r="D7" s="41"/>
      <c r="E7" s="40"/>
      <c r="F7" s="104" t="str">
        <f>HYPERLINK("https://www.gov.uk/service-manual/technology/index.html","Guidance for CTOs")</f>
        <v>Guidance for CTOs</v>
      </c>
      <c r="G7" s="105" t="s">
        <v>289</v>
      </c>
    </row>
    <row r="8" spans="1:7" ht="64" customHeight="1">
      <c r="A8" s="224"/>
      <c r="B8" s="12" t="s">
        <v>1396</v>
      </c>
      <c r="C8" s="12" t="s">
        <v>260</v>
      </c>
      <c r="D8" s="41"/>
      <c r="E8" s="40"/>
      <c r="F8" s="104" t="str">
        <f>HYPERLINK("https://www.gov.uk/service-manual/the-team/recruitment/scs-orgdesign.html","Technology leadership")</f>
        <v>Technology leadership</v>
      </c>
      <c r="G8" s="105" t="s">
        <v>301</v>
      </c>
    </row>
    <row r="9" spans="1:7" ht="98" customHeight="1">
      <c r="A9" s="223" t="s">
        <v>271</v>
      </c>
      <c r="B9" s="12" t="s">
        <v>276</v>
      </c>
      <c r="C9" s="12" t="s">
        <v>277</v>
      </c>
      <c r="D9" s="39" t="str">
        <f>HYPERLINK("https://www.gov.uk/government/publications/civil-service-capabilities-plan-leading-and-managing-change/civil-service-capabilities-plan-leading-and-managing-change","Civil Service Capabilities Plan: leading and managing change")</f>
        <v>Civil Service Capabilities Plan: leading and managing change</v>
      </c>
      <c r="E9" s="40" t="s">
        <v>283</v>
      </c>
      <c r="F9" s="104" t="str">
        <f>HYPERLINK("https://civilservicelearning.civilservice.gov.uk/management-essentials","Management Essentials")</f>
        <v>Management Essentials</v>
      </c>
      <c r="G9" s="105" t="s">
        <v>306</v>
      </c>
    </row>
    <row r="10" spans="1:7" ht="97" customHeight="1" thickBot="1">
      <c r="A10" s="224"/>
      <c r="B10" s="12" t="s">
        <v>291</v>
      </c>
      <c r="C10" s="12" t="s">
        <v>292</v>
      </c>
      <c r="D10" s="39" t="str">
        <f>HYPERLINK("https://www.gov.uk/service-manual/technology/culture-that-supports-change.html","Creating a culture that supports change")</f>
        <v>Creating a culture that supports change</v>
      </c>
      <c r="E10" s="40" t="s">
        <v>296</v>
      </c>
      <c r="F10" s="201" t="s">
        <v>1414</v>
      </c>
      <c r="G10" s="107" t="s">
        <v>1415</v>
      </c>
    </row>
    <row r="11" spans="1:7" ht="89" customHeight="1">
      <c r="A11" s="224"/>
      <c r="B11" s="12" t="s">
        <v>302</v>
      </c>
      <c r="C11" s="12" t="s">
        <v>303</v>
      </c>
      <c r="D11" s="41"/>
      <c r="E11" s="40"/>
      <c r="F11" s="34" t="str">
        <f>HYPERLINK("https://www.gov.uk/service-manual/technology/code-of-practice","Technology code of practice")</f>
        <v>Technology code of practice</v>
      </c>
      <c r="G11" s="35" t="s">
        <v>1421</v>
      </c>
    </row>
    <row r="12" spans="1:7" ht="87" customHeight="1">
      <c r="A12" s="224"/>
      <c r="B12" s="12" t="s">
        <v>309</v>
      </c>
      <c r="C12" s="12" t="s">
        <v>310</v>
      </c>
      <c r="D12" s="39" t="str">
        <f>HYPERLINK("https://governmenttechnology.blog.gov.uk/2014/12/08/guest-post-adopting-open-document-format-in-the-home-office/","Adopting ODF")</f>
        <v>Adopting ODF</v>
      </c>
      <c r="E12" s="40" t="s">
        <v>313</v>
      </c>
      <c r="F12" s="195"/>
      <c r="G12" s="196"/>
    </row>
    <row r="13" spans="1:7" ht="89" customHeight="1">
      <c r="A13" s="24" t="s">
        <v>318</v>
      </c>
      <c r="B13" s="12" t="s">
        <v>328</v>
      </c>
      <c r="C13" s="12" t="s">
        <v>329</v>
      </c>
      <c r="D13" s="41"/>
      <c r="E13" s="88"/>
      <c r="F13" s="95"/>
      <c r="G13" s="96"/>
    </row>
    <row r="14" spans="1:7" ht="89" customHeight="1">
      <c r="A14" s="223" t="s">
        <v>343</v>
      </c>
      <c r="B14" s="12" t="s">
        <v>345</v>
      </c>
      <c r="C14" s="12" t="s">
        <v>347</v>
      </c>
      <c r="D14" s="41"/>
      <c r="E14" s="40"/>
      <c r="F14" s="95"/>
      <c r="G14" s="96"/>
    </row>
    <row r="15" spans="1:7" ht="79" customHeight="1">
      <c r="A15" s="224"/>
      <c r="B15" s="12" t="s">
        <v>349</v>
      </c>
      <c r="C15" s="12" t="s">
        <v>351</v>
      </c>
      <c r="D15" s="41"/>
      <c r="E15" s="40"/>
      <c r="F15" s="95"/>
      <c r="G15" s="96"/>
    </row>
    <row r="16" spans="1:7" ht="81" customHeight="1">
      <c r="A16" s="275" t="s">
        <v>353</v>
      </c>
      <c r="B16" s="12" t="s">
        <v>361</v>
      </c>
      <c r="C16" s="12" t="s">
        <v>362</v>
      </c>
      <c r="D16" s="41"/>
      <c r="E16" s="40"/>
      <c r="F16" s="95"/>
      <c r="G16" s="96"/>
    </row>
    <row r="17" spans="1:7" ht="76" customHeight="1">
      <c r="A17" s="276"/>
      <c r="B17" s="12" t="s">
        <v>365</v>
      </c>
      <c r="C17" s="12" t="s">
        <v>366</v>
      </c>
      <c r="D17" s="41"/>
      <c r="E17" s="40"/>
      <c r="F17" s="95"/>
      <c r="G17" s="96"/>
    </row>
    <row r="18" spans="1:7" ht="71" customHeight="1">
      <c r="A18" s="276"/>
      <c r="B18" s="12" t="s">
        <v>367</v>
      </c>
      <c r="C18" s="12" t="s">
        <v>368</v>
      </c>
      <c r="D18" s="41"/>
      <c r="E18" s="40"/>
      <c r="F18" s="95"/>
      <c r="G18" s="96"/>
    </row>
    <row r="19" spans="1:7" ht="64" customHeight="1">
      <c r="A19" s="227"/>
      <c r="B19" s="22" t="s">
        <v>369</v>
      </c>
      <c r="C19" s="22" t="s">
        <v>370</v>
      </c>
      <c r="D19" s="81"/>
      <c r="E19" s="89"/>
      <c r="F19" s="95"/>
      <c r="G19" s="96"/>
    </row>
    <row r="20" spans="1:7" ht="68" customHeight="1">
      <c r="A20" s="9" t="s">
        <v>372</v>
      </c>
      <c r="B20" s="12" t="s">
        <v>373</v>
      </c>
      <c r="C20" s="12" t="s">
        <v>374</v>
      </c>
      <c r="D20" s="39" t="str">
        <f>HYPERLINK("https://www.gov.uk/service-manual/agile/index.html","Agile")</f>
        <v>Agile</v>
      </c>
      <c r="E20" s="40" t="s">
        <v>377</v>
      </c>
      <c r="F20" s="95"/>
      <c r="G20" s="96"/>
    </row>
    <row r="21" spans="1:7" ht="97" customHeight="1">
      <c r="A21" s="9" t="s">
        <v>382</v>
      </c>
      <c r="B21" s="12" t="s">
        <v>383</v>
      </c>
      <c r="C21" s="12" t="s">
        <v>384</v>
      </c>
      <c r="D21" s="39"/>
      <c r="E21" s="40"/>
      <c r="F21" s="95"/>
      <c r="G21" s="96"/>
    </row>
    <row r="22" spans="1:7" ht="57" customHeight="1">
      <c r="A22" s="265" t="s">
        <v>388</v>
      </c>
      <c r="B22" s="22" t="s">
        <v>389</v>
      </c>
      <c r="C22" s="16" t="s">
        <v>391</v>
      </c>
      <c r="D22" s="82"/>
      <c r="E22" s="90"/>
      <c r="F22" s="97"/>
      <c r="G22" s="98"/>
    </row>
    <row r="23" spans="1:7" ht="48" customHeight="1">
      <c r="A23" s="227"/>
      <c r="B23" s="17" t="s">
        <v>394</v>
      </c>
      <c r="C23" s="18" t="s">
        <v>395</v>
      </c>
      <c r="D23" s="84"/>
      <c r="E23" s="91"/>
      <c r="F23" s="97"/>
      <c r="G23" s="98"/>
    </row>
    <row r="24" spans="1:7" ht="72" customHeight="1">
      <c r="A24" s="9" t="s">
        <v>396</v>
      </c>
      <c r="B24" s="12" t="s">
        <v>397</v>
      </c>
      <c r="C24" s="12" t="s">
        <v>398</v>
      </c>
      <c r="D24" s="39" t="str">
        <f>HYPERLINK("https://www.gov.uk/service-manual/governance/index.html","Governance")</f>
        <v>Governance</v>
      </c>
      <c r="E24" s="40" t="s">
        <v>406</v>
      </c>
      <c r="F24" s="95"/>
      <c r="G24" s="96"/>
    </row>
    <row r="25" spans="1:7" ht="67" customHeight="1">
      <c r="A25" s="223" t="s">
        <v>409</v>
      </c>
      <c r="B25" s="12" t="s">
        <v>410</v>
      </c>
      <c r="C25" s="12" t="s">
        <v>411</v>
      </c>
      <c r="D25" s="41"/>
      <c r="E25" s="40"/>
      <c r="F25" s="95"/>
      <c r="G25" s="96"/>
    </row>
    <row r="26" spans="1:7" ht="67" customHeight="1">
      <c r="A26" s="224"/>
      <c r="B26" s="12" t="s">
        <v>412</v>
      </c>
      <c r="C26" s="12" t="s">
        <v>413</v>
      </c>
      <c r="D26" s="39"/>
      <c r="E26" s="40"/>
      <c r="F26" s="95"/>
      <c r="G26" s="96"/>
    </row>
    <row r="27" spans="1:7" ht="47" customHeight="1">
      <c r="A27" s="223" t="s">
        <v>414</v>
      </c>
      <c r="B27" s="12" t="s">
        <v>415</v>
      </c>
      <c r="C27" s="12" t="s">
        <v>416</v>
      </c>
      <c r="D27" s="41"/>
      <c r="E27" s="40"/>
      <c r="F27" s="95"/>
      <c r="G27" s="96"/>
    </row>
    <row r="28" spans="1:7" ht="170" customHeight="1">
      <c r="A28" s="224"/>
      <c r="B28" s="12" t="s">
        <v>418</v>
      </c>
      <c r="C28" s="12" t="s">
        <v>419</v>
      </c>
      <c r="D28" s="41"/>
      <c r="E28" s="40"/>
      <c r="F28" s="95"/>
      <c r="G28" s="96"/>
    </row>
    <row r="29" spans="1:7" ht="72" customHeight="1">
      <c r="A29" s="223" t="s">
        <v>420</v>
      </c>
      <c r="B29" s="12" t="s">
        <v>421</v>
      </c>
      <c r="C29" s="12" t="s">
        <v>422</v>
      </c>
      <c r="D29" s="39" t="str">
        <f>HYPERLINK("https://www.gov.uk/service-manual/communications/increasing-digital-takeup.html","Increasing digital take-up")</f>
        <v>Increasing digital take-up</v>
      </c>
      <c r="E29" s="40" t="s">
        <v>424</v>
      </c>
      <c r="F29" s="95"/>
      <c r="G29" s="96"/>
    </row>
    <row r="30" spans="1:7" ht="90" customHeight="1">
      <c r="A30" s="224"/>
      <c r="B30" s="12" t="s">
        <v>425</v>
      </c>
      <c r="C30" s="12" t="s">
        <v>426</v>
      </c>
      <c r="D30" s="39" t="str">
        <f>HYPERLINK("https://www.gov.uk/government/publications/government-digital-inclusion-strategy/government-digital-inclusion-strategy","Government Digital Inclusion Strategy")</f>
        <v>Government Digital Inclusion Strategy</v>
      </c>
      <c r="E30" s="40" t="s">
        <v>432</v>
      </c>
      <c r="F30" s="95"/>
      <c r="G30" s="96"/>
    </row>
    <row r="31" spans="1:7" ht="79" customHeight="1">
      <c r="A31" s="224"/>
      <c r="B31" s="12" t="s">
        <v>434</v>
      </c>
      <c r="C31" s="12" t="s">
        <v>435</v>
      </c>
      <c r="D31" s="41"/>
      <c r="E31" s="40"/>
      <c r="F31" s="95"/>
      <c r="G31" s="96"/>
    </row>
    <row r="32" spans="1:7" ht="126" customHeight="1">
      <c r="A32" s="264" t="s">
        <v>436</v>
      </c>
      <c r="B32" s="229" t="s">
        <v>437</v>
      </c>
      <c r="C32" s="281" t="s">
        <v>438</v>
      </c>
      <c r="D32" s="70" t="str">
        <f>HYPERLINK("https://gdssocialmedia.blog.gov.uk/playbook/","GDS Social Media Playbook")</f>
        <v>GDS Social Media Playbook</v>
      </c>
      <c r="E32" s="86" t="s">
        <v>442</v>
      </c>
      <c r="F32" s="95"/>
      <c r="G32" s="96"/>
    </row>
    <row r="33" spans="1:7" ht="65" customHeight="1">
      <c r="A33" s="280"/>
      <c r="B33" s="242"/>
      <c r="C33" s="282"/>
      <c r="D33" s="70" t="str">
        <f>HYPERLINK("http://www.theguardian.com/public-leaders-network/2014/nov/24/civil-service-director-twitter-paul-maltby","Why I tweet and who I follow")</f>
        <v>Why I tweet and who I follow</v>
      </c>
      <c r="E33" s="92" t="s">
        <v>451</v>
      </c>
      <c r="F33" s="99"/>
      <c r="G33" s="100"/>
    </row>
    <row r="34" spans="1:7" ht="42" customHeight="1">
      <c r="A34" s="215" t="str">
        <f>HYPERLINK("https://www.nationalarchives.gov.uk/doc/open-government-licence/version/3/","All content is available under the Open Government Licence v3.0, except where otherwise stated")</f>
        <v>All content is available under the Open Government Licence v3.0, except where otherwise stated</v>
      </c>
      <c r="B34" s="216"/>
      <c r="C34" s="216"/>
      <c r="D34" s="7"/>
      <c r="E34" s="7"/>
      <c r="F34" s="7"/>
      <c r="G34" s="7"/>
    </row>
  </sheetData>
  <mergeCells count="17">
    <mergeCell ref="A32:A33"/>
    <mergeCell ref="A34:C34"/>
    <mergeCell ref="A25:A26"/>
    <mergeCell ref="A27:A28"/>
    <mergeCell ref="C32:C33"/>
    <mergeCell ref="B32:B33"/>
    <mergeCell ref="A29:A31"/>
    <mergeCell ref="F4:G4"/>
    <mergeCell ref="A22:A23"/>
    <mergeCell ref="A16:A19"/>
    <mergeCell ref="A14:A15"/>
    <mergeCell ref="A4:C4"/>
    <mergeCell ref="B1:C1"/>
    <mergeCell ref="B2:C2"/>
    <mergeCell ref="B3:C3"/>
    <mergeCell ref="A6:A8"/>
    <mergeCell ref="A9:A12"/>
  </mergeCells>
  <phoneticPr fontId="11" type="noConversion"/>
  <hyperlinks>
    <hyperlink ref="B1" r:id="rId1" display="https://www.gov.uk/service-manual/the-team/recruitment/scs-orgdesign.html"/>
    <hyperlink ref="F6" r:id="rId2" display="https://www.gov.uk/government/publications/leading-and-managing-change-people-impact-assessment"/>
    <hyperlink ref="D9" r:id="rId3" display="https://www.gov.uk/government/publications/civil-service-capabilities-plan-leading-and-managing-change/civil-service-capabilities-plan-leading-and-managing-change"/>
    <hyperlink ref="D10" r:id="rId4" display="https://www.gov.uk/service-manual/technology/culture-that-supports-change.html"/>
    <hyperlink ref="D12" r:id="rId5" display="https://governmenttechnology.blog.gov.uk/2014/12/08/guest-post-adopting-open-document-format-in-the-home-office/"/>
    <hyperlink ref="D20" r:id="rId6" display="https://www.gov.uk/service-manual/agile/index.html"/>
    <hyperlink ref="D24" r:id="rId7" display="https://www.gov.uk/service-manual/governance/index.html"/>
    <hyperlink ref="D29" r:id="rId8" display="https://www.gov.uk/service-manual/communications/increasing-digital-takeup.html"/>
    <hyperlink ref="D30" r:id="rId9" display="https://www.gov.uk/government/publications/government-digital-inclusion-strategy/government-digital-inclusion-strategy"/>
    <hyperlink ref="D32" r:id="rId10" display="https://gdssocialmedia.blog.gov.uk/playbook/"/>
    <hyperlink ref="D33" r:id="rId11" display="http://www.theguardian.com/public-leaders-network/2014/nov/24/civil-service-director-twitter-paul-maltby"/>
    <hyperlink ref="A34" r:id="rId12" display="https://www.nationalarchives.gov.uk/doc/open-government-licence/version/3/"/>
    <hyperlink ref="F7" r:id="rId13" display="https://www.gov.uk/service-manual/technology/culture-that-supports-change.html"/>
    <hyperlink ref="F8" r:id="rId14" display="http://www.ted.com/watch/ted-institute/ted-ibm/charlene-li-giving-up-control"/>
    <hyperlink ref="F9" r:id="rId15" display="https://www.gov.uk/service-manual/agile/index.html"/>
    <hyperlink ref="F10" r:id="rId16"/>
    <hyperlink ref="F11" r:id="rId17" display="https://www.gov.uk/service-manual/technology/code-of-practice"/>
  </hyperlinks>
  <pageMargins left="0.75" right="0.75" top="1" bottom="1" header="0.5" footer="0.5"/>
  <pageSetup paperSize="9" orientation="portrait" horizontalDpi="4294967292" verticalDpi="4294967292"/>
  <drawing r:id="rId18"/>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workbookViewId="0">
      <pane ySplit="6" topLeftCell="A7" activePane="bottomLeft" state="frozen"/>
      <selection pane="bottomLeft" activeCell="F9" sqref="F9"/>
    </sheetView>
  </sheetViews>
  <sheetFormatPr baseColWidth="10" defaultColWidth="14.5" defaultRowHeight="15.75" customHeight="1" x14ac:dyDescent="0"/>
  <cols>
    <col min="1" max="1" width="26.1640625" style="10" customWidth="1"/>
    <col min="2" max="2" width="114.1640625" style="10" customWidth="1"/>
    <col min="3" max="3" width="12.5" style="10" customWidth="1"/>
    <col min="4" max="4" width="33.5" style="10" customWidth="1"/>
    <col min="5" max="5" width="48.6640625" style="10" customWidth="1"/>
    <col min="6" max="6" width="33.83203125" style="10" customWidth="1"/>
    <col min="7" max="7" width="56.5" style="33" customWidth="1"/>
    <col min="8" max="21" width="0" style="10" hidden="1"/>
    <col min="22" max="16384" width="14.5" style="10"/>
  </cols>
  <sheetData>
    <row r="1" spans="1:7" ht="32" customHeight="1">
      <c r="A1" s="1" t="s">
        <v>224</v>
      </c>
      <c r="B1" s="288" t="str">
        <f>HYPERLINK("https://www.gov.uk/service-manual/operations/service-management.html","Service Management")</f>
        <v>Service Management</v>
      </c>
      <c r="C1" s="271"/>
      <c r="D1" s="46"/>
      <c r="E1" s="47"/>
      <c r="F1" s="109"/>
      <c r="G1" s="110"/>
    </row>
    <row r="2" spans="1:7" ht="60" customHeight="1">
      <c r="A2" s="1" t="s">
        <v>236</v>
      </c>
      <c r="B2" s="283" t="s">
        <v>237</v>
      </c>
      <c r="C2" s="273"/>
      <c r="D2" s="111"/>
      <c r="E2" s="45"/>
      <c r="F2" s="108"/>
      <c r="G2" s="112"/>
    </row>
    <row r="3" spans="1:7" ht="63" customHeight="1">
      <c r="A3" s="1" t="s">
        <v>238</v>
      </c>
      <c r="B3" s="284" t="s">
        <v>1411</v>
      </c>
      <c r="C3" s="285"/>
      <c r="D3" s="111"/>
      <c r="E3" s="45"/>
      <c r="F3" s="108"/>
      <c r="G3" s="112"/>
    </row>
    <row r="4" spans="1:7" ht="42" customHeight="1" thickBot="1">
      <c r="A4" s="1" t="s">
        <v>247</v>
      </c>
      <c r="B4" s="286" t="s">
        <v>249</v>
      </c>
      <c r="C4" s="287"/>
      <c r="D4" s="113"/>
      <c r="E4" s="52"/>
      <c r="F4" s="108"/>
      <c r="G4" s="112"/>
    </row>
    <row r="5" spans="1:7" ht="27.75" customHeight="1">
      <c r="A5" s="277" t="s">
        <v>264</v>
      </c>
      <c r="B5" s="278"/>
      <c r="C5" s="279"/>
      <c r="D5" s="77" t="s">
        <v>1350</v>
      </c>
      <c r="E5" s="101"/>
      <c r="F5" s="239" t="s">
        <v>1351</v>
      </c>
      <c r="G5" s="240"/>
    </row>
    <row r="6" spans="1:7" ht="29.25" customHeight="1">
      <c r="A6" s="44" t="s">
        <v>265</v>
      </c>
      <c r="B6" s="1" t="s">
        <v>267</v>
      </c>
      <c r="C6" s="1" t="s">
        <v>269</v>
      </c>
      <c r="D6" s="4" t="s">
        <v>270</v>
      </c>
      <c r="E6" s="15" t="s">
        <v>272</v>
      </c>
      <c r="F6" s="36" t="s">
        <v>273</v>
      </c>
      <c r="G6" s="120" t="s">
        <v>274</v>
      </c>
    </row>
    <row r="7" spans="1:7" ht="83" customHeight="1">
      <c r="A7" s="9" t="s">
        <v>275</v>
      </c>
      <c r="B7" s="11" t="s">
        <v>278</v>
      </c>
      <c r="C7" s="11" t="s">
        <v>279</v>
      </c>
      <c r="D7" s="41"/>
      <c r="E7" s="40"/>
      <c r="F7" s="121" t="str">
        <f>HYPERLINK("https://www.gov.uk/service-manual/the-team/learning-and-development/service-manager-induction.html","Service Manager Induction Programme")</f>
        <v>Service Manager Induction Programme</v>
      </c>
      <c r="G7" s="122" t="s">
        <v>1416</v>
      </c>
    </row>
    <row r="8" spans="1:7" ht="61" customHeight="1">
      <c r="A8" s="9" t="s">
        <v>293</v>
      </c>
      <c r="B8" s="11" t="s">
        <v>294</v>
      </c>
      <c r="C8" s="11" t="s">
        <v>295</v>
      </c>
      <c r="D8" s="39" t="str">
        <f>HYPERLINK("https://www.gov.uk/service-manual/user-centred-design/user-needs.html","User needs")</f>
        <v>User needs</v>
      </c>
      <c r="E8" s="40" t="s">
        <v>298</v>
      </c>
      <c r="F8" s="123" t="str">
        <f>HYPERLINK("https://www.gov.uk/service-manual/the-team/learning-and-development/open-programme","Service Manager Open Programme")</f>
        <v>Service Manager Open Programme</v>
      </c>
      <c r="G8" s="122" t="s">
        <v>304</v>
      </c>
    </row>
    <row r="9" spans="1:7" ht="74" customHeight="1">
      <c r="A9" s="9" t="s">
        <v>305</v>
      </c>
      <c r="B9" s="11" t="s">
        <v>307</v>
      </c>
      <c r="C9" s="11" t="s">
        <v>308</v>
      </c>
      <c r="D9" s="39" t="str">
        <f>HYPERLINK("https://www.gov.uk/service-manual/user-centred-design/service-user-experience.html","What your service should look like")</f>
        <v>What your service should look like</v>
      </c>
      <c r="E9" s="40" t="s">
        <v>314</v>
      </c>
      <c r="F9" s="123" t="str">
        <f>HYPERLINK("https://www.gov.uk/service-manual/service-managers","Resources for Service Managers")</f>
        <v>Resources for Service Managers</v>
      </c>
      <c r="G9" s="122" t="s">
        <v>315</v>
      </c>
    </row>
    <row r="10" spans="1:7" ht="68">
      <c r="A10" s="9" t="s">
        <v>317</v>
      </c>
      <c r="B10" s="11" t="s">
        <v>320</v>
      </c>
      <c r="C10" s="11" t="s">
        <v>321</v>
      </c>
      <c r="D10" s="39" t="str">
        <f>HYPERLINK("https://www.gov.uk/service-manual/digital-by-default/index.html","Digital by Default Service Standard")</f>
        <v>Digital by Default Service Standard</v>
      </c>
      <c r="E10" s="40" t="s">
        <v>325</v>
      </c>
      <c r="F10" s="121" t="str">
        <f>HYPERLINK("https://civilservicelearning.civilservice.gov.uk/management-essentials","Management Essentials")</f>
        <v>Management Essentials</v>
      </c>
      <c r="G10" s="124" t="s">
        <v>327</v>
      </c>
    </row>
    <row r="11" spans="1:7" ht="67" customHeight="1" thickBot="1">
      <c r="A11" s="9" t="s">
        <v>331</v>
      </c>
      <c r="B11" s="11" t="s">
        <v>337</v>
      </c>
      <c r="C11" s="11" t="s">
        <v>339</v>
      </c>
      <c r="D11" s="41"/>
      <c r="E11" s="40"/>
      <c r="F11" s="125" t="str">
        <f>HYPERLINK("https://www.gov.uk/government/publications/the-green-book-appraisal-and-evaluation-in-central-governent/agile-systems-projects-a-clarification-of-business-case-guidance","Business Guidance.")</f>
        <v>Business Guidance.</v>
      </c>
      <c r="G11" s="126" t="s">
        <v>399</v>
      </c>
    </row>
    <row r="12" spans="1:7" ht="64" customHeight="1">
      <c r="A12" s="26" t="s">
        <v>341</v>
      </c>
      <c r="B12" s="11" t="s">
        <v>354</v>
      </c>
      <c r="C12" s="11" t="s">
        <v>355</v>
      </c>
      <c r="D12" s="39" t="str">
        <f>HYPERLINK("https://www.gov.uk/service-manual/governance/governance-principles","Governance principles")</f>
        <v>Governance principles</v>
      </c>
      <c r="E12" s="40" t="s">
        <v>358</v>
      </c>
      <c r="F12" s="116"/>
      <c r="G12" s="117"/>
    </row>
    <row r="13" spans="1:7" ht="53" customHeight="1">
      <c r="A13" s="19" t="s">
        <v>360</v>
      </c>
      <c r="B13" s="11" t="s">
        <v>363</v>
      </c>
      <c r="C13" s="11" t="s">
        <v>364</v>
      </c>
      <c r="D13" s="39" t="str">
        <f>HYPERLINK("https://www.gov.uk/service-manual/the-team/index.html","The team")</f>
        <v>The team</v>
      </c>
      <c r="E13" s="40" t="s">
        <v>371</v>
      </c>
      <c r="F13" s="116"/>
      <c r="G13" s="117"/>
    </row>
    <row r="14" spans="1:7" ht="72" customHeight="1">
      <c r="A14" s="9" t="s">
        <v>1397</v>
      </c>
      <c r="B14" s="11" t="s">
        <v>375</v>
      </c>
      <c r="C14" s="11" t="s">
        <v>376</v>
      </c>
      <c r="D14" s="39" t="str">
        <f>HYPERLINK("https://www.gov.uk/service-manual/communications/index.html","Communications")</f>
        <v>Communications</v>
      </c>
      <c r="E14" s="40" t="s">
        <v>378</v>
      </c>
      <c r="F14" s="116"/>
      <c r="G14" s="117"/>
    </row>
    <row r="15" spans="1:7" ht="45" customHeight="1">
      <c r="A15" s="223" t="s">
        <v>379</v>
      </c>
      <c r="B15" s="11" t="s">
        <v>380</v>
      </c>
      <c r="C15" s="11" t="s">
        <v>381</v>
      </c>
      <c r="D15" s="39"/>
      <c r="E15" s="40"/>
      <c r="F15" s="116"/>
      <c r="G15" s="117"/>
    </row>
    <row r="16" spans="1:7" ht="54" customHeight="1">
      <c r="A16" s="224"/>
      <c r="B16" s="11" t="s">
        <v>385</v>
      </c>
      <c r="C16" s="11" t="s">
        <v>386</v>
      </c>
      <c r="D16" s="39" t="str">
        <f>HYPERLINK("https://www.gov.uk/service-manual/assisted-digital/index.html","Assisted Digital")</f>
        <v>Assisted Digital</v>
      </c>
      <c r="E16" s="40" t="s">
        <v>387</v>
      </c>
      <c r="F16" s="116"/>
      <c r="G16" s="117"/>
    </row>
    <row r="17" spans="1:21" ht="68">
      <c r="A17" s="9" t="s">
        <v>390</v>
      </c>
      <c r="B17" s="11" t="s">
        <v>392</v>
      </c>
      <c r="C17" s="11" t="s">
        <v>393</v>
      </c>
      <c r="D17" s="41"/>
      <c r="E17" s="40"/>
      <c r="F17" s="116"/>
      <c r="G17" s="117"/>
    </row>
    <row r="18" spans="1:21" ht="62" customHeight="1">
      <c r="A18" s="223" t="s">
        <v>400</v>
      </c>
      <c r="B18" s="11" t="s">
        <v>401</v>
      </c>
      <c r="C18" s="11" t="s">
        <v>402</v>
      </c>
      <c r="D18" s="41"/>
      <c r="E18" s="40"/>
      <c r="F18" s="116"/>
      <c r="G18" s="117"/>
    </row>
    <row r="19" spans="1:21" ht="59" customHeight="1">
      <c r="A19" s="224"/>
      <c r="B19" s="11" t="s">
        <v>403</v>
      </c>
      <c r="C19" s="11" t="s">
        <v>404</v>
      </c>
      <c r="D19" s="41"/>
      <c r="E19" s="40"/>
      <c r="F19" s="116"/>
      <c r="G19" s="117"/>
    </row>
    <row r="20" spans="1:21" ht="64" customHeight="1">
      <c r="A20" s="9" t="s">
        <v>405</v>
      </c>
      <c r="B20" s="11" t="s">
        <v>407</v>
      </c>
      <c r="C20" s="11" t="s">
        <v>408</v>
      </c>
      <c r="D20" s="39" t="str">
        <f>HYPERLINK("https://www.gov.uk/government/publications/community-development-handbook/community-development-handbook","Community Development Handbook")</f>
        <v>Community Development Handbook</v>
      </c>
      <c r="E20" s="40" t="s">
        <v>417</v>
      </c>
      <c r="F20" s="118"/>
      <c r="G20" s="119"/>
    </row>
    <row r="21" spans="1:21" ht="26" customHeight="1">
      <c r="A21" s="215" t="str">
        <f>HYPERLINK("https://www.nationalarchives.gov.uk/doc/open-government-licence/version/3/","All content is available under the Open Government Licence v3.0, except where otherwise stated")</f>
        <v>All content is available under the Open Government Licence v3.0, except where otherwise stated</v>
      </c>
      <c r="B21" s="216"/>
      <c r="C21" s="216"/>
      <c r="D21" s="7"/>
      <c r="E21" s="7"/>
      <c r="F21" s="27"/>
      <c r="G21" s="32"/>
      <c r="H21" s="27"/>
      <c r="I21" s="27"/>
      <c r="J21" s="27"/>
      <c r="K21" s="27"/>
      <c r="L21" s="27"/>
      <c r="M21" s="27"/>
      <c r="N21" s="27"/>
      <c r="O21" s="27"/>
      <c r="P21" s="27"/>
      <c r="Q21" s="27"/>
      <c r="R21" s="27"/>
      <c r="S21" s="27"/>
      <c r="T21" s="27"/>
      <c r="U21" s="27"/>
    </row>
  </sheetData>
  <mergeCells count="9">
    <mergeCell ref="B1:C1"/>
    <mergeCell ref="A18:A19"/>
    <mergeCell ref="A21:C21"/>
    <mergeCell ref="B2:C2"/>
    <mergeCell ref="B3:C3"/>
    <mergeCell ref="B4:C4"/>
    <mergeCell ref="F5:G5"/>
    <mergeCell ref="A15:A16"/>
    <mergeCell ref="A5:C5"/>
  </mergeCells>
  <phoneticPr fontId="11" type="noConversion"/>
  <hyperlinks>
    <hyperlink ref="B1" r:id="rId1" display="https://www.gov.uk/service-manual/operations/service-management.html"/>
    <hyperlink ref="F7" r:id="rId2" display="https://www.gov.uk/service-manual/the-team/learning-and-development/service-manager-induction.html"/>
    <hyperlink ref="D8" r:id="rId3" display="https://www.gov.uk/service-manual/user-centred-design/user-needs.html"/>
    <hyperlink ref="F8" r:id="rId4" display="https://www.gov.uk/service-manual/the-team/learning-and-development/open-programme"/>
    <hyperlink ref="D9" r:id="rId5" display="https://www.gov.uk/service-manual/user-centred-design/service-user-experience.html"/>
    <hyperlink ref="F9" r:id="rId6" display="https://www.gov.uk/service-manual/service-managers"/>
    <hyperlink ref="D10" r:id="rId7" display="https://www.gov.uk/service-manual/digital-by-default/index.html"/>
    <hyperlink ref="F10" r:id="rId8" display="https://civilservicelearning.civilservice.gov.uk/management-essentials"/>
    <hyperlink ref="D12" r:id="rId9" display="https://www.gov.uk/service-manual/governance/governance-principles"/>
    <hyperlink ref="D13" r:id="rId10" display="https://www.gov.uk/service-manual/the-team/index.html"/>
    <hyperlink ref="D14" r:id="rId11" display="https://www.gov.uk/service-manual/communications/index.html"/>
    <hyperlink ref="D16" r:id="rId12" display="https://www.gov.uk/service-manual/assisted-digital/index.html"/>
    <hyperlink ref="F11" r:id="rId13" display="https://www.gov.uk/government/publications/the-green-book-appraisal-and-evaluation-in-central-governent/agile-systems-projects-a-clarification-of-business-case-guidance"/>
    <hyperlink ref="D20" r:id="rId14" display="https://www.gov.uk/government/publications/community-development-handbook/community-development-handbook"/>
    <hyperlink ref="A21" r:id="rId15" display="https://www.nationalarchives.gov.uk/doc/open-government-licence/version/3/"/>
  </hyperlinks>
  <pageMargins left="0.75" right="0.75" top="1" bottom="1" header="0.5" footer="0.5"/>
  <pageSetup paperSize="9" orientation="portrait" horizontalDpi="4294967292" verticalDpi="4294967292"/>
  <drawing r:id="rId16"/>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pane ySplit="6" topLeftCell="A7" activePane="bottomLeft" state="frozen"/>
      <selection pane="bottomLeft" activeCell="I7" sqref="I7"/>
    </sheetView>
  </sheetViews>
  <sheetFormatPr baseColWidth="10" defaultColWidth="14.5" defaultRowHeight="17" x14ac:dyDescent="0"/>
  <cols>
    <col min="1" max="1" width="26.1640625" style="10" customWidth="1"/>
    <col min="2" max="2" width="112.5" style="10" customWidth="1"/>
    <col min="3" max="3" width="11.5" style="10" customWidth="1"/>
    <col min="4" max="4" width="26.1640625" style="10" customWidth="1"/>
    <col min="5" max="5" width="43" style="10" customWidth="1"/>
    <col min="6" max="6" width="34.33203125" style="10" customWidth="1"/>
    <col min="7" max="7" width="44.33203125" style="10" customWidth="1"/>
    <col min="8" max="16384" width="14.5" style="10"/>
  </cols>
  <sheetData>
    <row r="1" spans="1:7" ht="30" customHeight="1">
      <c r="A1" s="1" t="s">
        <v>239</v>
      </c>
      <c r="B1" s="288" t="str">
        <f>HYPERLINK("https://gds.blog.gov.uk/2012/07/27/what-ive-learned-so-far-doing-product-management-in-government/","Product Management")</f>
        <v>Product Management</v>
      </c>
      <c r="C1" s="271"/>
      <c r="D1" s="127"/>
      <c r="E1" s="47"/>
      <c r="F1" s="47"/>
      <c r="G1" s="48"/>
    </row>
    <row r="2" spans="1:7" ht="57" customHeight="1">
      <c r="A2" s="1" t="s">
        <v>241</v>
      </c>
      <c r="B2" s="283" t="s">
        <v>242</v>
      </c>
      <c r="C2" s="273"/>
      <c r="D2" s="67"/>
      <c r="E2" s="45"/>
      <c r="F2" s="45"/>
      <c r="G2" s="50"/>
    </row>
    <row r="3" spans="1:7" ht="43" customHeight="1">
      <c r="A3" s="1" t="s">
        <v>243</v>
      </c>
      <c r="B3" s="253" t="s">
        <v>244</v>
      </c>
      <c r="C3" s="254"/>
      <c r="D3" s="67"/>
      <c r="E3" s="45"/>
      <c r="F3" s="45"/>
      <c r="G3" s="50"/>
    </row>
    <row r="4" spans="1:7" ht="37" customHeight="1" thickBot="1">
      <c r="A4" s="1" t="s">
        <v>245</v>
      </c>
      <c r="B4" s="253" t="s">
        <v>246</v>
      </c>
      <c r="C4" s="254"/>
      <c r="D4" s="68"/>
      <c r="E4" s="52"/>
      <c r="F4" s="52"/>
      <c r="G4" s="53"/>
    </row>
    <row r="5" spans="1:7" ht="28" customHeight="1">
      <c r="A5" s="277" t="s">
        <v>248</v>
      </c>
      <c r="B5" s="278"/>
      <c r="C5" s="279"/>
      <c r="D5" s="15" t="s">
        <v>1350</v>
      </c>
      <c r="E5" s="2"/>
      <c r="F5" s="239" t="s">
        <v>1351</v>
      </c>
      <c r="G5" s="240"/>
    </row>
    <row r="6" spans="1:7" ht="29" customHeight="1" thickBot="1">
      <c r="A6" s="44" t="s">
        <v>250</v>
      </c>
      <c r="B6" s="1" t="s">
        <v>251</v>
      </c>
      <c r="C6" s="1" t="s">
        <v>252</v>
      </c>
      <c r="D6" s="4" t="s">
        <v>253</v>
      </c>
      <c r="E6" s="15" t="s">
        <v>254</v>
      </c>
      <c r="F6" s="102" t="s">
        <v>255</v>
      </c>
      <c r="G6" s="103" t="s">
        <v>256</v>
      </c>
    </row>
    <row r="7" spans="1:7" ht="68">
      <c r="A7" s="223" t="s">
        <v>257</v>
      </c>
      <c r="B7" s="11" t="s">
        <v>258</v>
      </c>
      <c r="C7" s="12" t="s">
        <v>259</v>
      </c>
      <c r="D7" s="39" t="str">
        <f>HYPERLINK("https://www.gov.uk/service-manual/user-centred-design/user-needs.html","User needs")</f>
        <v>User needs</v>
      </c>
      <c r="E7" s="40" t="s">
        <v>261</v>
      </c>
      <c r="F7" s="204" t="str">
        <f>HYPERLINK("http://www.servicedesigntools.org/","Service Design Tools")</f>
        <v>Service Design Tools</v>
      </c>
      <c r="G7" s="212" t="s">
        <v>1418</v>
      </c>
    </row>
    <row r="8" spans="1:7" ht="50" customHeight="1">
      <c r="A8" s="224"/>
      <c r="B8" s="11" t="s">
        <v>262</v>
      </c>
      <c r="C8" s="12" t="s">
        <v>263</v>
      </c>
      <c r="D8" s="41"/>
      <c r="E8" s="40"/>
      <c r="F8" s="121" t="str">
        <f>HYPERLINK("http://www.mountaingoatsoftware.com/system/asset/file/259/User-Stories-Applied-Mike-Cohn.pdf","User stories applied for Agile software development.")</f>
        <v>User stories applied for Agile software development.</v>
      </c>
      <c r="G8" s="124" t="s">
        <v>1419</v>
      </c>
    </row>
    <row r="9" spans="1:7" ht="64" customHeight="1">
      <c r="A9" s="224"/>
      <c r="B9" s="11" t="s">
        <v>266</v>
      </c>
      <c r="C9" s="12" t="s">
        <v>268</v>
      </c>
      <c r="D9" s="41"/>
      <c r="E9" s="40"/>
      <c r="F9" s="121" t="str">
        <f>HYPERLINK("http://www.mindtheproduct.com/2011/10/what-exactly-is-a-product-manager/","What exactly is product management?")</f>
        <v>What exactly is product management?</v>
      </c>
      <c r="G9" s="124" t="s">
        <v>280</v>
      </c>
    </row>
    <row r="10" spans="1:7" ht="50" customHeight="1">
      <c r="A10" s="224"/>
      <c r="B10" s="11" t="s">
        <v>281</v>
      </c>
      <c r="C10" s="12" t="s">
        <v>282</v>
      </c>
      <c r="D10" s="41"/>
      <c r="E10" s="40"/>
      <c r="F10" s="210" t="str">
        <f>HYPERLINK("http://digitalbusinessacademyuk.com/course/3","Digital Business Academy: Develop and Manage an Online Product")</f>
        <v>Digital Business Academy: Develop and Manage an Online Product</v>
      </c>
      <c r="G10" s="124" t="s">
        <v>284</v>
      </c>
    </row>
    <row r="11" spans="1:7" ht="94" customHeight="1">
      <c r="A11" s="9" t="s">
        <v>285</v>
      </c>
      <c r="B11" s="11" t="s">
        <v>286</v>
      </c>
      <c r="C11" s="12" t="s">
        <v>287</v>
      </c>
      <c r="D11" s="39" t="str">
        <f>HYPERLINK("https://www.gov.uk/service-manual/phases/discovery.html","Discovery phase")</f>
        <v>Discovery phase</v>
      </c>
      <c r="E11" s="40" t="s">
        <v>288</v>
      </c>
      <c r="F11" s="121" t="str">
        <f>HYPERLINK("http://www.meetup.com/ProductTank/","Meetup: Product Manager networking")</f>
        <v>Meetup: Product Manager networking</v>
      </c>
      <c r="G11" s="133" t="s">
        <v>290</v>
      </c>
    </row>
    <row r="12" spans="1:7" ht="71" customHeight="1" thickBot="1">
      <c r="A12" s="263" t="s">
        <v>297</v>
      </c>
      <c r="B12" s="11" t="s">
        <v>299</v>
      </c>
      <c r="C12" s="11" t="s">
        <v>300</v>
      </c>
      <c r="D12" s="80"/>
      <c r="E12" s="132"/>
      <c r="F12" s="134" t="str">
        <f>HYPERLINK("https://civilservicelearning.civilservice.gov.uk/management-essentials","Management Essentials")</f>
        <v>Management Essentials</v>
      </c>
      <c r="G12" s="202" t="s">
        <v>306</v>
      </c>
    </row>
    <row r="13" spans="1:7" ht="81" customHeight="1">
      <c r="A13" s="224"/>
      <c r="B13" s="11" t="s">
        <v>311</v>
      </c>
      <c r="C13" s="11" t="s">
        <v>312</v>
      </c>
      <c r="D13" s="41"/>
      <c r="E13" s="40"/>
      <c r="F13" s="211"/>
      <c r="G13" s="211"/>
    </row>
    <row r="14" spans="1:7" ht="83" customHeight="1">
      <c r="A14" s="224"/>
      <c r="B14" s="11" t="s">
        <v>316</v>
      </c>
      <c r="C14" s="11" t="s">
        <v>319</v>
      </c>
      <c r="D14" s="41"/>
      <c r="E14" s="40"/>
      <c r="F14" s="95"/>
      <c r="G14" s="96"/>
    </row>
    <row r="15" spans="1:7" ht="63" customHeight="1">
      <c r="A15" s="9" t="s">
        <v>322</v>
      </c>
      <c r="B15" s="12" t="s">
        <v>323</v>
      </c>
      <c r="C15" s="12" t="s">
        <v>324</v>
      </c>
      <c r="D15" s="128" t="str">
        <f>HYPERLINK("http://www.mindtheproduct.com/2014/07/experiments-roadmapping-gov-uk/?utm_campaign=coschedule&amp;utm_source=twitter&amp;utm_medium=MindTheProduct&amp;utm_content=Experiments+in+roadmapping+at+GOV.UK","Experiments in roadmapping at GOV.UK")</f>
        <v>Experiments in roadmapping at GOV.UK</v>
      </c>
      <c r="E15" s="129" t="s">
        <v>326</v>
      </c>
      <c r="F15" s="95"/>
      <c r="G15" s="96"/>
    </row>
    <row r="16" spans="1:7" ht="53" customHeight="1">
      <c r="A16" s="263" t="s">
        <v>330</v>
      </c>
      <c r="B16" s="11" t="s">
        <v>332</v>
      </c>
      <c r="C16" s="12" t="s">
        <v>333</v>
      </c>
      <c r="D16" s="41"/>
      <c r="E16" s="40"/>
      <c r="F16" s="95"/>
      <c r="G16" s="96"/>
    </row>
    <row r="17" spans="1:7" ht="69" customHeight="1">
      <c r="A17" s="224"/>
      <c r="B17" s="11" t="s">
        <v>334</v>
      </c>
      <c r="C17" s="12" t="s">
        <v>335</v>
      </c>
      <c r="D17" s="41"/>
      <c r="E17" s="40"/>
      <c r="F17" s="95"/>
      <c r="G17" s="96"/>
    </row>
    <row r="18" spans="1:7" ht="53" customHeight="1">
      <c r="A18" s="263" t="s">
        <v>336</v>
      </c>
      <c r="B18" s="11" t="s">
        <v>338</v>
      </c>
      <c r="C18" s="12" t="s">
        <v>340</v>
      </c>
      <c r="D18" s="41"/>
      <c r="E18" s="40"/>
      <c r="F18" s="95"/>
      <c r="G18" s="96"/>
    </row>
    <row r="19" spans="1:7" ht="61" customHeight="1">
      <c r="A19" s="224"/>
      <c r="B19" s="11" t="s">
        <v>342</v>
      </c>
      <c r="C19" s="12" t="s">
        <v>344</v>
      </c>
      <c r="D19" s="41"/>
      <c r="E19" s="40"/>
      <c r="F19" s="95"/>
      <c r="G19" s="96"/>
    </row>
    <row r="20" spans="1:7" ht="59" customHeight="1">
      <c r="A20" s="224"/>
      <c r="B20" s="11" t="s">
        <v>346</v>
      </c>
      <c r="C20" s="12" t="s">
        <v>348</v>
      </c>
      <c r="D20" s="41"/>
      <c r="E20" s="40"/>
      <c r="F20" s="95"/>
      <c r="G20" s="96"/>
    </row>
    <row r="21" spans="1:7" ht="48" customHeight="1">
      <c r="A21" s="263" t="s">
        <v>1398</v>
      </c>
      <c r="B21" s="11" t="s">
        <v>350</v>
      </c>
      <c r="C21" s="12" t="s">
        <v>352</v>
      </c>
      <c r="D21" s="41"/>
      <c r="E21" s="40"/>
      <c r="F21" s="95"/>
      <c r="G21" s="96"/>
    </row>
    <row r="22" spans="1:7" ht="119">
      <c r="A22" s="224"/>
      <c r="B22" s="11" t="s">
        <v>356</v>
      </c>
      <c r="C22" s="12" t="s">
        <v>357</v>
      </c>
      <c r="D22" s="39" t="str">
        <f>HYPERLINK("https://gcn.civilservice.gov.uk/","Government Communication Service")</f>
        <v>Government Communication Service</v>
      </c>
      <c r="E22" s="40" t="s">
        <v>359</v>
      </c>
      <c r="F22" s="99"/>
      <c r="G22" s="100"/>
    </row>
    <row r="23" spans="1:7" ht="34" customHeight="1">
      <c r="A23" s="215" t="str">
        <f>HYPERLINK("https://www.nationalarchives.gov.uk/doc/open-government-licence/version/3/","All content is available under the Open Government Licence v3.0, except where otherwise stated")</f>
        <v>All content is available under the Open Government Licence v3.0, except where otherwise stated</v>
      </c>
      <c r="B23" s="216"/>
      <c r="C23" s="216"/>
      <c r="D23" s="7"/>
      <c r="E23" s="7"/>
      <c r="F23" s="7"/>
      <c r="G23" s="7"/>
    </row>
  </sheetData>
  <mergeCells count="12">
    <mergeCell ref="A23:C23"/>
    <mergeCell ref="A12:A14"/>
    <mergeCell ref="B1:C1"/>
    <mergeCell ref="B2:C2"/>
    <mergeCell ref="B3:C3"/>
    <mergeCell ref="B4:C4"/>
    <mergeCell ref="A5:C5"/>
    <mergeCell ref="F5:G5"/>
    <mergeCell ref="A18:A20"/>
    <mergeCell ref="A16:A17"/>
    <mergeCell ref="A7:A10"/>
    <mergeCell ref="A21:A22"/>
  </mergeCells>
  <phoneticPr fontId="11" type="noConversion"/>
  <hyperlinks>
    <hyperlink ref="B1" r:id="rId1" display="https://gds.blog.gov.uk/2012/07/27/what-ive-learned-so-far-doing-product-management-in-government/"/>
    <hyperlink ref="D7" r:id="rId2" display="https://www.gov.uk/service-manual/user-centred-design/user-needs.html"/>
    <hyperlink ref="F7" r:id="rId3" display="http://www.servicedesigntools.org/"/>
    <hyperlink ref="F8" r:id="rId4" display="http://www.mountaingoatsoftware.com/system/asset/file/259/User-Stories-Applied-Mike-Cohn.pdf"/>
    <hyperlink ref="F9" r:id="rId5" display="http://www.mindtheproduct.com/2011/10/what-exactly-is-a-product-manager/"/>
    <hyperlink ref="F10" r:id="rId6" display="http://digitalbusinessacademyuk.com/course/3"/>
    <hyperlink ref="D11" r:id="rId7" display="https://www.gov.uk/service-manual/phases/discovery.html"/>
    <hyperlink ref="F11" r:id="rId8" display="http://www.meetup.com/ProductTank/"/>
    <hyperlink ref="D15" r:id="rId9" display="http://www.mindtheproduct.com/2014/07/experiments-roadmapping-gov-uk/?utm_campaign=coschedule&amp;utm_source=twitter&amp;utm_medium=MindTheProduct&amp;utm_content=Experiments+in+roadmapping+at+GOV.UK"/>
    <hyperlink ref="D22" r:id="rId10" display="https://gcn.civilservice.gov.uk/"/>
    <hyperlink ref="A23" r:id="rId11" display="https://www.nationalarchives.gov.uk/doc/open-government-licence/version/3/"/>
    <hyperlink ref="F12" r:id="rId12" display="http://www.mindtheproduct.com/2014/07/experiments-roadmapping-gov-uk/?utm_campaign=coschedule&amp;utm_source=twitter&amp;utm_medium=MindTheProduct&amp;utm_content=Experiments+in+roadmapping+at+GOV.UK"/>
  </hyperlinks>
  <pageMargins left="0.75" right="0.75" top="1" bottom="1" header="0.5" footer="0.5"/>
  <pageSetup paperSize="9" orientation="portrait" horizontalDpi="4294967292" verticalDpi="4294967292"/>
  <drawing r:id="rId1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pane ySplit="6" topLeftCell="A7" activePane="bottomLeft" state="frozen"/>
      <selection pane="bottomLeft" activeCell="G8" sqref="G8"/>
    </sheetView>
  </sheetViews>
  <sheetFormatPr baseColWidth="10" defaultColWidth="14.5" defaultRowHeight="17" x14ac:dyDescent="0"/>
  <cols>
    <col min="1" max="1" width="30.83203125" style="10" customWidth="1"/>
    <col min="2" max="2" width="115.5" style="10" customWidth="1"/>
    <col min="3" max="3" width="12.6640625" style="10" customWidth="1"/>
    <col min="4" max="4" width="31.5" style="10" customWidth="1"/>
    <col min="5" max="5" width="43" style="10" customWidth="1"/>
    <col min="6" max="6" width="33.5" style="10" customWidth="1"/>
    <col min="7" max="7" width="34.83203125" style="10" customWidth="1"/>
    <col min="8" max="16384" width="14.5" style="10"/>
  </cols>
  <sheetData>
    <row r="1" spans="1:7" ht="44" customHeight="1">
      <c r="A1" s="1" t="s">
        <v>423</v>
      </c>
      <c r="B1" s="288" t="str">
        <f>HYPERLINK("https://www.gov.uk/service-manual/user-centred-design/user-research","User Research")</f>
        <v>User Research</v>
      </c>
      <c r="C1" s="271"/>
      <c r="D1" s="127"/>
      <c r="E1" s="47"/>
      <c r="F1" s="47"/>
      <c r="G1" s="48"/>
    </row>
    <row r="2" spans="1:7" ht="75" customHeight="1">
      <c r="A2" s="1" t="s">
        <v>427</v>
      </c>
      <c r="B2" s="283" t="s">
        <v>428</v>
      </c>
      <c r="C2" s="273"/>
      <c r="D2" s="67"/>
      <c r="E2" s="45"/>
      <c r="F2" s="45"/>
      <c r="G2" s="50"/>
    </row>
    <row r="3" spans="1:7" ht="64" customHeight="1">
      <c r="A3" s="1" t="s">
        <v>429</v>
      </c>
      <c r="B3" s="253" t="s">
        <v>430</v>
      </c>
      <c r="C3" s="254"/>
      <c r="D3" s="67"/>
      <c r="E3" s="45"/>
      <c r="F3" s="45"/>
      <c r="G3" s="50"/>
    </row>
    <row r="4" spans="1:7" ht="42" customHeight="1" thickBot="1">
      <c r="A4" s="1" t="s">
        <v>431</v>
      </c>
      <c r="B4" s="253" t="s">
        <v>433</v>
      </c>
      <c r="C4" s="254"/>
      <c r="D4" s="68"/>
      <c r="E4" s="52"/>
      <c r="F4" s="45"/>
      <c r="G4" s="50"/>
    </row>
    <row r="5" spans="1:7" ht="25" customHeight="1">
      <c r="A5" s="277" t="s">
        <v>439</v>
      </c>
      <c r="B5" s="278"/>
      <c r="C5" s="279"/>
      <c r="D5" s="15" t="s">
        <v>1350</v>
      </c>
      <c r="E5" s="2"/>
      <c r="F5" s="239" t="s">
        <v>1351</v>
      </c>
      <c r="G5" s="240"/>
    </row>
    <row r="6" spans="1:7" ht="24" customHeight="1">
      <c r="A6" s="44" t="s">
        <v>440</v>
      </c>
      <c r="B6" s="1" t="s">
        <v>441</v>
      </c>
      <c r="C6" s="1" t="s">
        <v>443</v>
      </c>
      <c r="D6" s="4" t="s">
        <v>444</v>
      </c>
      <c r="E6" s="15" t="s">
        <v>445</v>
      </c>
      <c r="F6" s="36" t="s">
        <v>446</v>
      </c>
      <c r="G6" s="37" t="s">
        <v>447</v>
      </c>
    </row>
    <row r="7" spans="1:7" ht="65" customHeight="1">
      <c r="A7" s="9" t="s">
        <v>448</v>
      </c>
      <c r="B7" s="11" t="s">
        <v>449</v>
      </c>
      <c r="C7" s="11" t="s">
        <v>450</v>
      </c>
      <c r="D7" s="39" t="str">
        <f>HYPERLINK("https://www.gov.uk/service-manual/user-centred-design/index.html","User-centred design")</f>
        <v>User-centred design</v>
      </c>
      <c r="E7" s="40" t="s">
        <v>452</v>
      </c>
      <c r="F7" s="123" t="str">
        <f>HYPERLINK("https://userresearchmethods.hackpad.com/Training-and-education-for-User-Research-bzr9JUSdv2B","Training and education for user research")</f>
        <v>Training and education for user research</v>
      </c>
      <c r="G7" s="136" t="s">
        <v>453</v>
      </c>
    </row>
    <row r="8" spans="1:7" ht="68">
      <c r="A8" s="9" t="s">
        <v>454</v>
      </c>
      <c r="B8" s="11" t="s">
        <v>455</v>
      </c>
      <c r="C8" s="11" t="s">
        <v>456</v>
      </c>
      <c r="D8" s="39" t="str">
        <f>HYPERLINK("https://www.gov.uk/service-manual/user-centred-design/user-research/index.html","An introduction to user research techniques")</f>
        <v>An introduction to user research techniques</v>
      </c>
      <c r="E8" s="40" t="s">
        <v>457</v>
      </c>
      <c r="F8" s="121" t="str">
        <f>HYPERLINK("http://www.usability.gov/","Usability.gov")</f>
        <v>Usability.gov</v>
      </c>
      <c r="G8" s="124" t="s">
        <v>458</v>
      </c>
    </row>
    <row r="9" spans="1:7" ht="68">
      <c r="A9" s="9" t="s">
        <v>459</v>
      </c>
      <c r="B9" s="11" t="s">
        <v>460</v>
      </c>
      <c r="C9" s="11" t="s">
        <v>461</v>
      </c>
      <c r="D9" s="41"/>
      <c r="E9" s="40"/>
      <c r="F9" s="121" t="str">
        <f>HYPERLINK("http://www.interaction-design.org/","Interaction Design")</f>
        <v>Interaction Design</v>
      </c>
      <c r="G9" s="124" t="s">
        <v>462</v>
      </c>
    </row>
    <row r="10" spans="1:7" ht="62" customHeight="1">
      <c r="A10" s="9" t="s">
        <v>463</v>
      </c>
      <c r="B10" s="11" t="s">
        <v>464</v>
      </c>
      <c r="C10" s="11" t="s">
        <v>465</v>
      </c>
      <c r="D10" s="41"/>
      <c r="E10" s="40"/>
      <c r="F10" s="121" t="str">
        <f>HYPERLINK("http://linkydink.io/groups/user-research-links","User Research Links")</f>
        <v>User Research Links</v>
      </c>
      <c r="G10" s="124" t="s">
        <v>466</v>
      </c>
    </row>
    <row r="11" spans="1:7" ht="62" customHeight="1">
      <c r="A11" s="9" t="s">
        <v>467</v>
      </c>
      <c r="B11" s="11" t="s">
        <v>468</v>
      </c>
      <c r="C11" s="11" t="s">
        <v>469</v>
      </c>
      <c r="D11" s="41"/>
      <c r="E11" s="40"/>
      <c r="F11" s="121" t="str">
        <f>HYPERLINK("https://uxpa.org/","User Experience Professionals Association")</f>
        <v>User Experience Professionals Association</v>
      </c>
      <c r="G11" s="124" t="s">
        <v>470</v>
      </c>
    </row>
    <row r="12" spans="1:7" ht="69" customHeight="1">
      <c r="A12" s="9" t="s">
        <v>471</v>
      </c>
      <c r="B12" s="11" t="s">
        <v>472</v>
      </c>
      <c r="C12" s="11" t="s">
        <v>473</v>
      </c>
      <c r="D12" s="41"/>
      <c r="E12" s="40"/>
      <c r="F12" s="121" t="str">
        <f>HYPERLINK("https://www.gov.uk/service-manual/the-team/user-researcher.html","User research skills")</f>
        <v>User research skills</v>
      </c>
      <c r="G12" s="124" t="s">
        <v>474</v>
      </c>
    </row>
    <row r="13" spans="1:7" ht="58" customHeight="1" thickBot="1">
      <c r="A13" s="9" t="s">
        <v>475</v>
      </c>
      <c r="B13" s="11" t="s">
        <v>476</v>
      </c>
      <c r="C13" s="11" t="s">
        <v>477</v>
      </c>
      <c r="D13" s="41"/>
      <c r="E13" s="40"/>
      <c r="F13" s="134" t="str">
        <f>HYPERLINK("https://www.gov.uk/service-manual/user-centred-design/user-research/user-research-tools.html","User Research Tools")</f>
        <v>User Research Tools</v>
      </c>
      <c r="G13" s="135" t="s">
        <v>478</v>
      </c>
    </row>
    <row r="14" spans="1:7" ht="64" customHeight="1">
      <c r="A14" s="9" t="s">
        <v>479</v>
      </c>
      <c r="B14" s="11" t="s">
        <v>480</v>
      </c>
      <c r="C14" s="11" t="s">
        <v>481</v>
      </c>
      <c r="D14" s="41"/>
      <c r="E14" s="40"/>
      <c r="F14" s="95"/>
      <c r="G14" s="96"/>
    </row>
    <row r="15" spans="1:7" ht="63" customHeight="1">
      <c r="A15" s="223" t="s">
        <v>482</v>
      </c>
      <c r="B15" s="11" t="s">
        <v>483</v>
      </c>
      <c r="C15" s="11" t="s">
        <v>484</v>
      </c>
      <c r="D15" s="39" t="str">
        <f>HYPERLINK("https://userresearch.blog.gov.uk/2014/07/11/what-makes-a-good-user-research-facilitator/","What makes a good user research facilitator?")</f>
        <v>What makes a good user research facilitator?</v>
      </c>
      <c r="E15" s="40" t="s">
        <v>486</v>
      </c>
      <c r="F15" s="95"/>
      <c r="G15" s="96"/>
    </row>
    <row r="16" spans="1:7" ht="56" customHeight="1">
      <c r="A16" s="224"/>
      <c r="B16" s="11" t="s">
        <v>487</v>
      </c>
      <c r="C16" s="11" t="s">
        <v>488</v>
      </c>
      <c r="D16" s="41"/>
      <c r="E16" s="40"/>
      <c r="F16" s="95"/>
      <c r="G16" s="96"/>
    </row>
    <row r="17" spans="1:7" ht="196" customHeight="1">
      <c r="A17" s="223" t="s">
        <v>490</v>
      </c>
      <c r="B17" s="11" t="s">
        <v>491</v>
      </c>
      <c r="C17" s="11" t="s">
        <v>492</v>
      </c>
      <c r="D17" s="41"/>
      <c r="E17" s="40"/>
      <c r="F17" s="95"/>
      <c r="G17" s="96"/>
    </row>
    <row r="18" spans="1:7" ht="50" customHeight="1">
      <c r="A18" s="224"/>
      <c r="B18" s="12" t="s">
        <v>493</v>
      </c>
      <c r="C18" s="11" t="s">
        <v>494</v>
      </c>
      <c r="D18" s="41"/>
      <c r="E18" s="40"/>
      <c r="F18" s="95"/>
      <c r="G18" s="96"/>
    </row>
    <row r="19" spans="1:7" ht="67" customHeight="1">
      <c r="A19" s="9" t="s">
        <v>495</v>
      </c>
      <c r="B19" s="11" t="s">
        <v>496</v>
      </c>
      <c r="C19" s="11" t="s">
        <v>497</v>
      </c>
      <c r="D19" s="39" t="str">
        <f>HYPERLINK("https://www.gov.uk/service-manual/user-centred-design/user-research/sampling-methodologies.html","Survey sampling methodologies")</f>
        <v>Survey sampling methodologies</v>
      </c>
      <c r="E19" s="40" t="s">
        <v>501</v>
      </c>
      <c r="F19" s="95"/>
      <c r="G19" s="96"/>
    </row>
    <row r="20" spans="1:7" ht="62" customHeight="1">
      <c r="A20" s="9" t="s">
        <v>503</v>
      </c>
      <c r="B20" s="11" t="s">
        <v>505</v>
      </c>
      <c r="C20" s="11" t="s">
        <v>508</v>
      </c>
      <c r="D20" s="39" t="str">
        <f>HYPERLINK("https://www.gov.uk/service-manual/digital-by-default/maintaining-the-standard.html","Maintaining the Standard.")</f>
        <v>Maintaining the Standard.</v>
      </c>
      <c r="E20" s="40" t="s">
        <v>516</v>
      </c>
      <c r="F20" s="95"/>
      <c r="G20" s="96"/>
    </row>
    <row r="21" spans="1:7" ht="52" customHeight="1">
      <c r="A21" s="223" t="s">
        <v>519</v>
      </c>
      <c r="B21" s="11" t="s">
        <v>522</v>
      </c>
      <c r="C21" s="11" t="s">
        <v>524</v>
      </c>
      <c r="D21" s="39" t="str">
        <f>HYPERLINK("https://www.gov.uk/service-manual/assisted-digital/assisted-digital-user-research.html","Researching assisted digital users")</f>
        <v>Researching assisted digital users</v>
      </c>
      <c r="E21" s="40" t="s">
        <v>533</v>
      </c>
      <c r="F21" s="95"/>
      <c r="G21" s="96"/>
    </row>
    <row r="22" spans="1:7" ht="41" customHeight="1">
      <c r="A22" s="224"/>
      <c r="B22" s="11" t="s">
        <v>536</v>
      </c>
      <c r="C22" s="11" t="s">
        <v>538</v>
      </c>
      <c r="D22" s="41"/>
      <c r="E22" s="40"/>
      <c r="F22" s="95"/>
      <c r="G22" s="96"/>
    </row>
    <row r="23" spans="1:7" ht="51" customHeight="1">
      <c r="A23" s="9" t="s">
        <v>540</v>
      </c>
      <c r="B23" s="11" t="s">
        <v>541</v>
      </c>
      <c r="C23" s="11" t="s">
        <v>542</v>
      </c>
      <c r="D23" s="41"/>
      <c r="E23" s="40"/>
      <c r="F23" s="95"/>
      <c r="G23" s="96"/>
    </row>
    <row r="24" spans="1:7" ht="47" customHeight="1">
      <c r="A24" s="9" t="s">
        <v>543</v>
      </c>
      <c r="B24" s="11" t="s">
        <v>544</v>
      </c>
      <c r="C24" s="11" t="s">
        <v>545</v>
      </c>
      <c r="D24" s="41"/>
      <c r="E24" s="40"/>
      <c r="F24" s="99"/>
      <c r="G24" s="100"/>
    </row>
    <row r="25" spans="1:7" ht="32" customHeight="1">
      <c r="A25" s="215" t="str">
        <f>HYPERLINK("https://www.nationalarchives.gov.uk/doc/open-government-licence/version/3/","All content is available under the Open Government Licence v3.0, except where otherwise stated")</f>
        <v>All content is available under the Open Government Licence v3.0, except where otherwise stated</v>
      </c>
      <c r="B25" s="216"/>
      <c r="C25" s="216"/>
      <c r="D25" s="7"/>
      <c r="E25" s="7"/>
      <c r="F25" s="7"/>
      <c r="G25" s="7"/>
    </row>
  </sheetData>
  <mergeCells count="10">
    <mergeCell ref="A25:C25"/>
    <mergeCell ref="A15:A16"/>
    <mergeCell ref="A21:A22"/>
    <mergeCell ref="A17:A18"/>
    <mergeCell ref="A5:C5"/>
    <mergeCell ref="B1:C1"/>
    <mergeCell ref="B2:C2"/>
    <mergeCell ref="B3:C3"/>
    <mergeCell ref="B4:C4"/>
    <mergeCell ref="F5:G5"/>
  </mergeCells>
  <phoneticPr fontId="11" type="noConversion"/>
  <hyperlinks>
    <hyperlink ref="B1" r:id="rId1" display="https://www.gov.uk/service-manual/user-centred-design/user-research"/>
    <hyperlink ref="D7" r:id="rId2" display="https://www.gov.uk/service-manual/user-centred-design/index.html"/>
    <hyperlink ref="F7" r:id="rId3" display="https://userresearchmethods.hackpad.com/Training-and-education-for-User-Research-bzr9JUSdv2B"/>
    <hyperlink ref="D8" r:id="rId4" display="https://www.gov.uk/service-manual/user-centred-design/user-research/index.html"/>
    <hyperlink ref="F8" r:id="rId5" display="http://www.usability.gov/"/>
    <hyperlink ref="F9" r:id="rId6" display="http://www.interaction-design.org/"/>
    <hyperlink ref="F10" r:id="rId7" display="http://linkydink.io/groups/user-research-links"/>
    <hyperlink ref="F11" r:id="rId8" display="https://uxpa.org/"/>
    <hyperlink ref="F12" r:id="rId9" display="https://www.gov.uk/service-manual/the-team/user-researcher.html"/>
    <hyperlink ref="F13" r:id="rId10" display="https://www.gov.uk/service-manual/user-centred-design/user-research/user-research-tools.html"/>
    <hyperlink ref="D15" r:id="rId11" display="https://userresearch.blog.gov.uk/2014/07/11/what-makes-a-good-user-research-facilitator/"/>
    <hyperlink ref="D19" r:id="rId12" display="https://www.gov.uk/service-manual/user-centred-design/user-research/sampling-methodologies.html"/>
    <hyperlink ref="D20" r:id="rId13" display="https://www.gov.uk/service-manual/digital-by-default/maintaining-the-standard.html"/>
    <hyperlink ref="D21" r:id="rId14" display="https://www.gov.uk/service-manual/assisted-digital/assisted-digital-user-research.html"/>
    <hyperlink ref="A25" r:id="rId15" display="https://www.nationalarchives.gov.uk/doc/open-government-licence/version/3/"/>
  </hyperlinks>
  <pageMargins left="0.75" right="0.75" top="1" bottom="1" header="0.5" footer="0.5"/>
  <pageSetup paperSize="9" orientation="portrait" horizontalDpi="4294967292" verticalDpi="4294967292"/>
  <drawing r:id="rId16"/>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workbookViewId="0">
      <pane ySplit="6" topLeftCell="A7" activePane="bottomLeft" state="frozen"/>
      <selection pane="bottomLeft"/>
    </sheetView>
  </sheetViews>
  <sheetFormatPr baseColWidth="10" defaultColWidth="14.5" defaultRowHeight="17" x14ac:dyDescent="0"/>
  <cols>
    <col min="1" max="1" width="26.33203125" style="10" customWidth="1"/>
    <col min="2" max="2" width="133" style="10" customWidth="1"/>
    <col min="3" max="3" width="12" style="10" customWidth="1"/>
    <col min="4" max="4" width="29.33203125" style="10" customWidth="1"/>
    <col min="5" max="5" width="38.1640625" style="10" customWidth="1"/>
    <col min="6" max="6" width="27.5" style="10" customWidth="1"/>
    <col min="7" max="7" width="31.1640625" style="10" customWidth="1"/>
    <col min="8" max="21" width="0" style="10" hidden="1"/>
    <col min="22" max="16384" width="14.5" style="10"/>
  </cols>
  <sheetData>
    <row r="1" spans="1:7" ht="35" customHeight="1">
      <c r="A1" s="14" t="s">
        <v>485</v>
      </c>
      <c r="B1" s="289" t="str">
        <f>HYPERLINK("https://www.gov.uk/service-manual/phases/discovery.html","Agile Business Analysis")</f>
        <v>Agile Business Analysis</v>
      </c>
      <c r="C1" s="290"/>
      <c r="D1" s="46"/>
      <c r="E1" s="47"/>
      <c r="F1" s="109"/>
      <c r="G1" s="140"/>
    </row>
    <row r="2" spans="1:7" ht="88" customHeight="1">
      <c r="A2" s="14" t="s">
        <v>498</v>
      </c>
      <c r="B2" s="283" t="s">
        <v>499</v>
      </c>
      <c r="C2" s="273"/>
      <c r="D2" s="49"/>
      <c r="E2" s="45"/>
      <c r="F2" s="108"/>
      <c r="G2" s="141"/>
    </row>
    <row r="3" spans="1:7" ht="84" customHeight="1">
      <c r="A3" s="14" t="s">
        <v>500</v>
      </c>
      <c r="B3" s="253" t="s">
        <v>502</v>
      </c>
      <c r="C3" s="254"/>
      <c r="D3" s="49"/>
      <c r="E3" s="45"/>
      <c r="F3" s="108"/>
      <c r="G3" s="141"/>
    </row>
    <row r="4" spans="1:7" ht="50" customHeight="1" thickBot="1">
      <c r="A4" s="14" t="s">
        <v>504</v>
      </c>
      <c r="B4" s="253" t="s">
        <v>507</v>
      </c>
      <c r="C4" s="254"/>
      <c r="D4" s="51"/>
      <c r="E4" s="52"/>
      <c r="F4" s="108"/>
      <c r="G4" s="141"/>
    </row>
    <row r="5" spans="1:7" ht="23" customHeight="1">
      <c r="A5" s="277" t="s">
        <v>509</v>
      </c>
      <c r="B5" s="278"/>
      <c r="C5" s="279"/>
      <c r="D5" s="77" t="s">
        <v>1350</v>
      </c>
      <c r="E5" s="101"/>
      <c r="F5" s="239" t="s">
        <v>1351</v>
      </c>
      <c r="G5" s="240"/>
    </row>
    <row r="6" spans="1:7" ht="23" customHeight="1">
      <c r="A6" s="76" t="s">
        <v>513</v>
      </c>
      <c r="B6" s="14" t="s">
        <v>514</v>
      </c>
      <c r="C6" s="14" t="s">
        <v>515</v>
      </c>
      <c r="D6" s="4" t="s">
        <v>517</v>
      </c>
      <c r="E6" s="15" t="s">
        <v>518</v>
      </c>
      <c r="F6" s="36" t="s">
        <v>521</v>
      </c>
      <c r="G6" s="37" t="s">
        <v>523</v>
      </c>
    </row>
    <row r="7" spans="1:7" ht="78" customHeight="1" thickBot="1">
      <c r="A7" s="9" t="s">
        <v>1358</v>
      </c>
      <c r="B7" s="12" t="s">
        <v>525</v>
      </c>
      <c r="C7" s="12" t="s">
        <v>527</v>
      </c>
      <c r="D7" s="41"/>
      <c r="E7" s="40"/>
      <c r="F7" s="145" t="str">
        <f>HYPERLINK("https://www.gov.uk/service-manual/agile","Agile")</f>
        <v>Agile</v>
      </c>
      <c r="G7" s="146" t="s">
        <v>547</v>
      </c>
    </row>
    <row r="8" spans="1:7" ht="68" customHeight="1">
      <c r="A8" s="9" t="s">
        <v>1359</v>
      </c>
      <c r="B8" s="12" t="s">
        <v>554</v>
      </c>
      <c r="C8" s="12" t="s">
        <v>555</v>
      </c>
      <c r="D8" s="39" t="str">
        <f>HYPERLINK("https://www.gov.uk/service-manual/user-centred-design/user-needs.html","User needs")</f>
        <v>User needs</v>
      </c>
      <c r="E8" s="40" t="s">
        <v>565</v>
      </c>
      <c r="F8" s="116"/>
      <c r="G8" s="138"/>
    </row>
    <row r="9" spans="1:7" ht="64" customHeight="1">
      <c r="A9" s="223" t="s">
        <v>1360</v>
      </c>
      <c r="B9" s="12" t="s">
        <v>572</v>
      </c>
      <c r="C9" s="12" t="s">
        <v>573</v>
      </c>
      <c r="D9" s="69"/>
      <c r="E9" s="144"/>
      <c r="F9" s="116"/>
      <c r="G9" s="138"/>
    </row>
    <row r="10" spans="1:7" ht="49" customHeight="1">
      <c r="A10" s="224"/>
      <c r="B10" s="12" t="s">
        <v>577</v>
      </c>
      <c r="C10" s="12" t="s">
        <v>578</v>
      </c>
      <c r="D10" s="69"/>
      <c r="E10" s="144"/>
      <c r="F10" s="116"/>
      <c r="G10" s="138"/>
    </row>
    <row r="11" spans="1:7" ht="55" customHeight="1">
      <c r="A11" s="223" t="s">
        <v>1361</v>
      </c>
      <c r="B11" s="12" t="s">
        <v>579</v>
      </c>
      <c r="C11" s="12" t="s">
        <v>580</v>
      </c>
      <c r="D11" s="69"/>
      <c r="E11" s="144"/>
      <c r="F11" s="116"/>
      <c r="G11" s="138"/>
    </row>
    <row r="12" spans="1:7" ht="58" customHeight="1">
      <c r="A12" s="224"/>
      <c r="B12" s="12" t="s">
        <v>581</v>
      </c>
      <c r="C12" s="12" t="s">
        <v>582</v>
      </c>
      <c r="D12" s="69"/>
      <c r="E12" s="144"/>
      <c r="F12" s="116"/>
      <c r="G12" s="138"/>
    </row>
    <row r="13" spans="1:7" ht="62" customHeight="1">
      <c r="A13" s="9" t="s">
        <v>1362</v>
      </c>
      <c r="B13" s="12" t="s">
        <v>585</v>
      </c>
      <c r="C13" s="12" t="s">
        <v>586</v>
      </c>
      <c r="D13" s="69"/>
      <c r="E13" s="144"/>
      <c r="F13" s="116"/>
      <c r="G13" s="138"/>
    </row>
    <row r="14" spans="1:7" ht="53" customHeight="1">
      <c r="A14" s="9" t="s">
        <v>1363</v>
      </c>
      <c r="B14" s="12" t="s">
        <v>591</v>
      </c>
      <c r="C14" s="12" t="s">
        <v>592</v>
      </c>
      <c r="D14" s="69"/>
      <c r="E14" s="144"/>
      <c r="F14" s="116"/>
      <c r="G14" s="138"/>
    </row>
    <row r="15" spans="1:7" ht="72" customHeight="1">
      <c r="A15" s="9" t="s">
        <v>1364</v>
      </c>
      <c r="B15" s="12" t="s">
        <v>595</v>
      </c>
      <c r="C15" s="12" t="s">
        <v>596</v>
      </c>
      <c r="D15" s="39" t="str">
        <f>HYPERLINK("https://www.gov.uk/service-manual/agile/writing-user-stories.html","Writing user stories")</f>
        <v>Writing user stories</v>
      </c>
      <c r="E15" s="40" t="s">
        <v>603</v>
      </c>
      <c r="F15" s="116"/>
      <c r="G15" s="138"/>
    </row>
    <row r="16" spans="1:7" ht="49" customHeight="1">
      <c r="A16" s="9" t="s">
        <v>1365</v>
      </c>
      <c r="B16" s="12" t="s">
        <v>605</v>
      </c>
      <c r="C16" s="12" t="s">
        <v>606</v>
      </c>
      <c r="D16" s="39" t="str">
        <f>HYPERLINK("https://www.gov.uk/service-manual/measurement/using-data.html","Using data")</f>
        <v>Using data</v>
      </c>
      <c r="E16" s="40" t="s">
        <v>609</v>
      </c>
      <c r="F16" s="116"/>
      <c r="G16" s="138"/>
    </row>
    <row r="17" spans="1:21" ht="52" customHeight="1">
      <c r="A17" s="9" t="s">
        <v>1366</v>
      </c>
      <c r="B17" s="12" t="s">
        <v>611</v>
      </c>
      <c r="C17" s="12" t="s">
        <v>612</v>
      </c>
      <c r="D17" s="69"/>
      <c r="E17" s="144"/>
      <c r="F17" s="116"/>
      <c r="G17" s="138"/>
    </row>
    <row r="18" spans="1:21" ht="38" customHeight="1">
      <c r="A18" s="9" t="s">
        <v>1367</v>
      </c>
      <c r="B18" s="11" t="s">
        <v>615</v>
      </c>
      <c r="C18" s="12" t="s">
        <v>617</v>
      </c>
      <c r="D18" s="143" t="str">
        <f>HYPERLINK("https://www.gov.uk/service-manual/phases/discovery.html","Discovery")</f>
        <v>Discovery</v>
      </c>
      <c r="E18" s="171" t="s">
        <v>1357</v>
      </c>
      <c r="F18" s="118"/>
      <c r="G18" s="139"/>
    </row>
    <row r="19" spans="1:21" ht="33" customHeight="1">
      <c r="A19" s="215" t="str">
        <f>HYPERLINK("https://www.nationalarchives.gov.uk/doc/open-government-licence/version/3/","All content is available under the Open Government Licence v3.0, except where otherwise stated")</f>
        <v>All content is available under the Open Government Licence v3.0, except where otherwise stated</v>
      </c>
      <c r="B19" s="216"/>
      <c r="C19" s="216"/>
      <c r="D19" s="27"/>
      <c r="E19" s="27"/>
      <c r="F19" s="27"/>
      <c r="G19" s="27"/>
      <c r="H19" s="27"/>
      <c r="I19" s="27"/>
      <c r="J19" s="27"/>
      <c r="K19" s="27"/>
      <c r="L19" s="27"/>
      <c r="M19" s="27"/>
      <c r="N19" s="27"/>
      <c r="O19" s="27"/>
      <c r="P19" s="27"/>
      <c r="Q19" s="27"/>
      <c r="R19" s="27"/>
      <c r="S19" s="27"/>
      <c r="T19" s="27"/>
      <c r="U19" s="27"/>
    </row>
  </sheetData>
  <mergeCells count="9">
    <mergeCell ref="A11:A12"/>
    <mergeCell ref="A19:C19"/>
    <mergeCell ref="F5:G5"/>
    <mergeCell ref="A9:A10"/>
    <mergeCell ref="B1:C1"/>
    <mergeCell ref="A5:C5"/>
    <mergeCell ref="B3:C3"/>
    <mergeCell ref="B4:C4"/>
    <mergeCell ref="B2:C2"/>
  </mergeCells>
  <phoneticPr fontId="11" type="noConversion"/>
  <hyperlinks>
    <hyperlink ref="B1" r:id="rId1" display="https://www.gov.uk/service-manual/phases/discovery.html"/>
    <hyperlink ref="F7" r:id="rId2" display="https://www.gov.uk/service-manual/agile"/>
    <hyperlink ref="D8" r:id="rId3" display="https://www.gov.uk/service-manual/user-centred-design/user-needs.html"/>
    <hyperlink ref="D15" r:id="rId4" display="https://www.gov.uk/service-manual/agile/writing-user-stories.html"/>
    <hyperlink ref="D16" r:id="rId5" display="https://www.gov.uk/service-manual/measurement/using-data.html"/>
    <hyperlink ref="D18" r:id="rId6" display="https://www.gov.uk/service-manual/phases/discovery.html"/>
    <hyperlink ref="A19" r:id="rId7" display="https://www.nationalarchives.gov.uk/doc/open-government-licence/version/3/"/>
  </hyperlinks>
  <pageMargins left="0.75" right="0.75" top="1" bottom="1" header="0.5" footer="0.5"/>
  <pageSetup paperSize="9" orientation="portrait" horizontalDpi="4294967292" verticalDpi="4294967292"/>
  <drawing r:id="rId8"/>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Introduction</vt:lpstr>
      <vt:lpstr>Essentials for digital speciali</vt:lpstr>
      <vt:lpstr>Agile Delivery</vt:lpstr>
      <vt:lpstr>Commercial and Procurement</vt:lpstr>
      <vt:lpstr>Digital Leadership</vt:lpstr>
      <vt:lpstr>Service Management</vt:lpstr>
      <vt:lpstr>Product Management</vt:lpstr>
      <vt:lpstr>User Research</vt:lpstr>
      <vt:lpstr>Agile Business Analysis</vt:lpstr>
      <vt:lpstr>Design</vt:lpstr>
      <vt:lpstr>Content Design</vt:lpstr>
      <vt:lpstr>Performance Analysis</vt:lpstr>
      <vt:lpstr>Data</vt:lpstr>
      <vt:lpstr>Technical Architecture</vt:lpstr>
      <vt:lpstr>Cyber Security</vt:lpstr>
      <vt:lpstr>Development</vt:lpstr>
      <vt:lpstr>Operations Engineering</vt:lpstr>
      <vt:lpstr>Operations Management</vt:lpstr>
      <vt:lpstr>Quality Assurance and Testing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David Richardson</cp:lastModifiedBy>
  <cp:lastPrinted>2015-01-28T12:23:13Z</cp:lastPrinted>
  <dcterms:created xsi:type="dcterms:W3CDTF">2015-01-28T12:16:37Z</dcterms:created>
  <dcterms:modified xsi:type="dcterms:W3CDTF">2015-03-11T10:07:41Z</dcterms:modified>
</cp:coreProperties>
</file>