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0" yWindow="0" windowWidth="20490" windowHeight="8340" activeTab="1"/>
  </bookViews>
  <sheets>
    <sheet name="Explanation" sheetId="2" r:id="rId1"/>
    <sheet name="CHP Shutdown Example" sheetId="1" r:id="rId2"/>
  </sheets>
  <calcPr calcId="152511"/>
</workbook>
</file>

<file path=xl/calcChain.xml><?xml version="1.0" encoding="utf-8"?>
<calcChain xmlns="http://schemas.openxmlformats.org/spreadsheetml/2006/main">
  <c r="D32" i="1"/>
  <c r="E32" s="1"/>
  <c r="F32" s="1"/>
  <c r="G32" s="1"/>
  <c r="H32" s="1"/>
  <c r="I32" s="1"/>
  <c r="J32" s="1"/>
  <c r="K32" s="1"/>
  <c r="L32" s="1"/>
  <c r="M32" s="1"/>
  <c r="N32" s="1"/>
  <c r="O32" s="1"/>
  <c r="P32" s="1"/>
  <c r="Q32" s="1"/>
  <c r="R32" s="1"/>
  <c r="S32" s="1"/>
  <c r="T32" s="1"/>
  <c r="U32" s="1"/>
  <c r="V32" s="1"/>
  <c r="W32" s="1"/>
  <c r="X32" s="1"/>
  <c r="Y32" s="1"/>
  <c r="Z32" s="1"/>
  <c r="D25"/>
  <c r="E25" s="1"/>
  <c r="F25" s="1"/>
  <c r="G25" s="1"/>
  <c r="H25" s="1"/>
  <c r="I25" s="1"/>
  <c r="J25" s="1"/>
  <c r="K25" s="1"/>
  <c r="L25" s="1"/>
  <c r="M25" s="1"/>
  <c r="N25" s="1"/>
  <c r="O25" s="1"/>
  <c r="P25" s="1"/>
  <c r="Q25" s="1"/>
  <c r="R25" s="1"/>
  <c r="S25" s="1"/>
  <c r="T25" s="1"/>
  <c r="U25" s="1"/>
  <c r="V25" s="1"/>
  <c r="W25" s="1"/>
  <c r="X25" s="1"/>
  <c r="Y25" s="1"/>
  <c r="Z25" s="1"/>
  <c r="D19"/>
  <c r="E19" s="1"/>
  <c r="F19" s="1"/>
  <c r="G19" s="1"/>
  <c r="H19" s="1"/>
  <c r="I19" s="1"/>
  <c r="J19" s="1"/>
  <c r="K19" s="1"/>
  <c r="L19" s="1"/>
  <c r="M19" s="1"/>
  <c r="N19" s="1"/>
  <c r="O19" s="1"/>
  <c r="P19" s="1"/>
  <c r="Q19" s="1"/>
  <c r="R19" s="1"/>
  <c r="S19" s="1"/>
  <c r="T19" s="1"/>
  <c r="U19" s="1"/>
  <c r="V19" s="1"/>
  <c r="W19" s="1"/>
  <c r="X19" s="1"/>
  <c r="Y19" s="1"/>
  <c r="Z19" s="1"/>
  <c r="D11"/>
  <c r="E11" s="1"/>
  <c r="F11" s="1"/>
  <c r="G11" s="1"/>
  <c r="H11" s="1"/>
  <c r="I11" s="1"/>
  <c r="J11" s="1"/>
  <c r="K11" s="1"/>
  <c r="L11" s="1"/>
  <c r="M11" s="1"/>
  <c r="N11" s="1"/>
  <c r="O11" s="1"/>
  <c r="P11" s="1"/>
  <c r="Q11" s="1"/>
  <c r="R11" s="1"/>
  <c r="S11" s="1"/>
  <c r="T11" s="1"/>
  <c r="U11" s="1"/>
  <c r="V11" s="1"/>
  <c r="W11" s="1"/>
  <c r="X11" s="1"/>
  <c r="Y11" s="1"/>
  <c r="Z11" s="1"/>
  <c r="B74" l="1"/>
  <c r="B4"/>
  <c r="P5"/>
  <c r="P7" s="1"/>
  <c r="C14"/>
  <c r="C13" l="1"/>
  <c r="D5"/>
  <c r="E5"/>
  <c r="F5"/>
  <c r="G5"/>
  <c r="H5"/>
  <c r="I5"/>
  <c r="J5"/>
  <c r="K5"/>
  <c r="L5"/>
  <c r="M5"/>
  <c r="N5"/>
  <c r="O5"/>
  <c r="Q5"/>
  <c r="R5"/>
  <c r="R7" s="1"/>
  <c r="S5"/>
  <c r="T5"/>
  <c r="U5"/>
  <c r="V5"/>
  <c r="W5"/>
  <c r="X5"/>
  <c r="Y5"/>
  <c r="Z5"/>
  <c r="E6"/>
  <c r="E14" s="1"/>
  <c r="E13" s="1"/>
  <c r="F6"/>
  <c r="G6"/>
  <c r="G14" s="1"/>
  <c r="G13" s="1"/>
  <c r="G26" s="1"/>
  <c r="G28" s="1"/>
  <c r="H6"/>
  <c r="I6"/>
  <c r="I14" s="1"/>
  <c r="I13" s="1"/>
  <c r="J6"/>
  <c r="K6"/>
  <c r="K14" s="1"/>
  <c r="K13" s="1"/>
  <c r="K26" s="1"/>
  <c r="K28" s="1"/>
  <c r="L6"/>
  <c r="M6"/>
  <c r="M14" s="1"/>
  <c r="M13" s="1"/>
  <c r="N6"/>
  <c r="O6"/>
  <c r="O14" s="1"/>
  <c r="O13" s="1"/>
  <c r="O26" s="1"/>
  <c r="O28" s="1"/>
  <c r="P6"/>
  <c r="Q6"/>
  <c r="Q8" s="1"/>
  <c r="R6"/>
  <c r="R8" s="1"/>
  <c r="S6"/>
  <c r="S14" s="1"/>
  <c r="S13" s="1"/>
  <c r="T6"/>
  <c r="U6"/>
  <c r="U14" s="1"/>
  <c r="U13" s="1"/>
  <c r="V6"/>
  <c r="W6"/>
  <c r="W14" s="1"/>
  <c r="W13" s="1"/>
  <c r="X6"/>
  <c r="Y6"/>
  <c r="Y14" s="1"/>
  <c r="Y13" s="1"/>
  <c r="Z6"/>
  <c r="D6"/>
  <c r="D14" s="1"/>
  <c r="D3"/>
  <c r="E3" s="1"/>
  <c r="F3" s="1"/>
  <c r="G3" s="1"/>
  <c r="H3" s="1"/>
  <c r="I3" s="1"/>
  <c r="J3" s="1"/>
  <c r="K3" s="1"/>
  <c r="L3" s="1"/>
  <c r="M3" s="1"/>
  <c r="N3" s="1"/>
  <c r="O3" s="1"/>
  <c r="P3" s="1"/>
  <c r="Q3" s="1"/>
  <c r="R3" s="1"/>
  <c r="S3" s="1"/>
  <c r="T3" s="1"/>
  <c r="U3" s="1"/>
  <c r="V3" s="1"/>
  <c r="W3" s="1"/>
  <c r="X3" s="1"/>
  <c r="Y3" s="1"/>
  <c r="Z3" s="1"/>
  <c r="W26" l="1"/>
  <c r="W28" s="1"/>
  <c r="B54"/>
  <c r="Q7"/>
  <c r="P8"/>
  <c r="B52"/>
  <c r="C26"/>
  <c r="C28" s="1"/>
  <c r="C12"/>
  <c r="S26"/>
  <c r="S28" s="1"/>
  <c r="D13"/>
  <c r="Y26"/>
  <c r="Y28" s="1"/>
  <c r="M26"/>
  <c r="M28" s="1"/>
  <c r="I26"/>
  <c r="I28" s="1"/>
  <c r="B15"/>
  <c r="S12"/>
  <c r="S20" s="1"/>
  <c r="S33" s="1"/>
  <c r="U26"/>
  <c r="U28" s="1"/>
  <c r="E26"/>
  <c r="E28" s="1"/>
  <c r="K12"/>
  <c r="W12"/>
  <c r="O12"/>
  <c r="G12"/>
  <c r="B6"/>
  <c r="Z14"/>
  <c r="V14"/>
  <c r="N14"/>
  <c r="J14"/>
  <c r="F14"/>
  <c r="Y12"/>
  <c r="U12"/>
  <c r="M12"/>
  <c r="I12"/>
  <c r="E12"/>
  <c r="X14"/>
  <c r="X13" s="1"/>
  <c r="X26" s="1"/>
  <c r="T14"/>
  <c r="L14"/>
  <c r="H14"/>
  <c r="H13" s="1"/>
  <c r="H26" s="1"/>
  <c r="B5"/>
  <c r="D12" l="1"/>
  <c r="D20" s="1"/>
  <c r="N13"/>
  <c r="N26" s="1"/>
  <c r="N28" s="1"/>
  <c r="F13"/>
  <c r="F26" s="1"/>
  <c r="F28" s="1"/>
  <c r="V13"/>
  <c r="V26" s="1"/>
  <c r="V28" s="1"/>
  <c r="D26"/>
  <c r="L13"/>
  <c r="L26" s="1"/>
  <c r="L28" s="1"/>
  <c r="T13"/>
  <c r="T26" s="1"/>
  <c r="T28" s="1"/>
  <c r="J13"/>
  <c r="J26" s="1"/>
  <c r="J28" s="1"/>
  <c r="Z13"/>
  <c r="Z26" s="1"/>
  <c r="Z28" s="1"/>
  <c r="C20"/>
  <c r="C33" s="1"/>
  <c r="S21"/>
  <c r="S34" s="1"/>
  <c r="S27"/>
  <c r="S29" s="1"/>
  <c r="S35" s="1"/>
  <c r="C21"/>
  <c r="C34" s="1"/>
  <c r="X28"/>
  <c r="E21"/>
  <c r="E34" s="1"/>
  <c r="E20"/>
  <c r="U21"/>
  <c r="U34" s="1"/>
  <c r="U20"/>
  <c r="G20"/>
  <c r="G21"/>
  <c r="G34" s="1"/>
  <c r="K20"/>
  <c r="K21"/>
  <c r="K34" s="1"/>
  <c r="X12"/>
  <c r="H28"/>
  <c r="I21"/>
  <c r="I34" s="1"/>
  <c r="I20"/>
  <c r="Y21"/>
  <c r="Y34" s="1"/>
  <c r="Y20"/>
  <c r="O20"/>
  <c r="O21"/>
  <c r="O34" s="1"/>
  <c r="B14"/>
  <c r="M21"/>
  <c r="M34" s="1"/>
  <c r="M20"/>
  <c r="W20"/>
  <c r="W21"/>
  <c r="W34" s="1"/>
  <c r="H12"/>
  <c r="D28"/>
  <c r="B48" l="1"/>
  <c r="B53" s="1"/>
  <c r="D21"/>
  <c r="D34" s="1"/>
  <c r="D27"/>
  <c r="D29" s="1"/>
  <c r="T12"/>
  <c r="T21" s="1"/>
  <c r="T34" s="1"/>
  <c r="Z12"/>
  <c r="Z20" s="1"/>
  <c r="Z27" s="1"/>
  <c r="Z29" s="1"/>
  <c r="Z35" s="1"/>
  <c r="B26"/>
  <c r="B13"/>
  <c r="V12"/>
  <c r="L12"/>
  <c r="N12"/>
  <c r="J12"/>
  <c r="F12"/>
  <c r="S22"/>
  <c r="S36"/>
  <c r="C22"/>
  <c r="C27"/>
  <c r="H21"/>
  <c r="H34" s="1"/>
  <c r="H20"/>
  <c r="I22"/>
  <c r="I33"/>
  <c r="I27"/>
  <c r="I29" s="1"/>
  <c r="I35" s="1"/>
  <c r="X21"/>
  <c r="X34" s="1"/>
  <c r="X20"/>
  <c r="E22"/>
  <c r="E33"/>
  <c r="E27"/>
  <c r="E29" s="1"/>
  <c r="E35" s="1"/>
  <c r="M22"/>
  <c r="M33"/>
  <c r="M27"/>
  <c r="M29" s="1"/>
  <c r="M35" s="1"/>
  <c r="K22"/>
  <c r="K33"/>
  <c r="K27"/>
  <c r="K29" s="1"/>
  <c r="K35" s="1"/>
  <c r="W33"/>
  <c r="W22"/>
  <c r="W27"/>
  <c r="W29" s="1"/>
  <c r="W35" s="1"/>
  <c r="Y22"/>
  <c r="Y33"/>
  <c r="Y27"/>
  <c r="Y29" s="1"/>
  <c r="Y35" s="1"/>
  <c r="U22"/>
  <c r="U33"/>
  <c r="U27"/>
  <c r="U29" s="1"/>
  <c r="U35" s="1"/>
  <c r="O33"/>
  <c r="O22"/>
  <c r="O27"/>
  <c r="O29" s="1"/>
  <c r="O35" s="1"/>
  <c r="G33"/>
  <c r="G22"/>
  <c r="G27"/>
  <c r="G29" s="1"/>
  <c r="G35" s="1"/>
  <c r="D33"/>
  <c r="B28"/>
  <c r="D22" l="1"/>
  <c r="B49"/>
  <c r="B57" s="1"/>
  <c r="Z33"/>
  <c r="Z21"/>
  <c r="Z22" s="1"/>
  <c r="C29"/>
  <c r="C35" s="1"/>
  <c r="C36" s="1"/>
  <c r="T20"/>
  <c r="N21"/>
  <c r="N34" s="1"/>
  <c r="N20"/>
  <c r="B12"/>
  <c r="L20"/>
  <c r="L21"/>
  <c r="L34" s="1"/>
  <c r="V21"/>
  <c r="V34" s="1"/>
  <c r="V20"/>
  <c r="J20"/>
  <c r="J21"/>
  <c r="J34" s="1"/>
  <c r="B55"/>
  <c r="F21"/>
  <c r="F34" s="1"/>
  <c r="F20"/>
  <c r="M36"/>
  <c r="W36"/>
  <c r="O36"/>
  <c r="X22"/>
  <c r="X33"/>
  <c r="X27"/>
  <c r="X29" s="1"/>
  <c r="X35" s="1"/>
  <c r="G36"/>
  <c r="U36"/>
  <c r="Y36"/>
  <c r="I36"/>
  <c r="H22"/>
  <c r="H33"/>
  <c r="H27"/>
  <c r="H29" s="1"/>
  <c r="H35" s="1"/>
  <c r="K36"/>
  <c r="E36"/>
  <c r="D35"/>
  <c r="Z34" l="1"/>
  <c r="Z36" s="1"/>
  <c r="B62"/>
  <c r="B20"/>
  <c r="T22"/>
  <c r="T33"/>
  <c r="T27"/>
  <c r="T29" s="1"/>
  <c r="T35" s="1"/>
  <c r="B58"/>
  <c r="B67" s="1"/>
  <c r="B59"/>
  <c r="B68" s="1"/>
  <c r="V33"/>
  <c r="V27"/>
  <c r="V29" s="1"/>
  <c r="V35" s="1"/>
  <c r="V22"/>
  <c r="N33"/>
  <c r="N27"/>
  <c r="N29" s="1"/>
  <c r="N35" s="1"/>
  <c r="N22"/>
  <c r="L27"/>
  <c r="L29" s="1"/>
  <c r="L35" s="1"/>
  <c r="L33"/>
  <c r="L22"/>
  <c r="B21"/>
  <c r="F27"/>
  <c r="F29" s="1"/>
  <c r="F35" s="1"/>
  <c r="F22"/>
  <c r="F33"/>
  <c r="J33"/>
  <c r="J27"/>
  <c r="J29" s="1"/>
  <c r="J35" s="1"/>
  <c r="J22"/>
  <c r="H36"/>
  <c r="X36"/>
  <c r="D36"/>
  <c r="B34" l="1"/>
  <c r="B61"/>
  <c r="B63" s="1"/>
  <c r="B64" s="1"/>
  <c r="B69" s="1"/>
  <c r="B70" s="1"/>
  <c r="P33" s="1"/>
  <c r="B33" s="1"/>
  <c r="B22"/>
  <c r="T36"/>
  <c r="B27"/>
  <c r="B35"/>
  <c r="V36"/>
  <c r="L36"/>
  <c r="N36"/>
  <c r="J36"/>
  <c r="B29"/>
  <c r="F36"/>
  <c r="B43" l="1"/>
  <c r="B44" s="1"/>
  <c r="B39"/>
  <c r="B73"/>
  <c r="B75" s="1"/>
  <c r="B36"/>
</calcChain>
</file>

<file path=xl/sharedStrings.xml><?xml version="1.0" encoding="utf-8"?>
<sst xmlns="http://schemas.openxmlformats.org/spreadsheetml/2006/main" count="107" uniqueCount="95">
  <si>
    <t>Month</t>
  </si>
  <si>
    <t>Production (tonne)</t>
  </si>
  <si>
    <t>Total</t>
  </si>
  <si>
    <t>CHP Fuel (kWh)</t>
  </si>
  <si>
    <t>CHP Elec Generated (kWh)</t>
  </si>
  <si>
    <t>CHP Heat Generated (kWh)</t>
  </si>
  <si>
    <t>CHP Efficiency (%)</t>
  </si>
  <si>
    <t>Total CHP Fuel (kWh)</t>
  </si>
  <si>
    <t>CCA Facility Fuel for CHP Electricity</t>
  </si>
  <si>
    <t>CHP Fuel for Electricity (kWh)</t>
  </si>
  <si>
    <t>CHP Fuel for Heat (kWh)</t>
  </si>
  <si>
    <t>CCA Facility Fuel for CHP Heat</t>
  </si>
  <si>
    <t>Heat Credit for Grid Export</t>
  </si>
  <si>
    <t>Apportionment of CHP Fuel</t>
  </si>
  <si>
    <t>Heat Credit</t>
  </si>
  <si>
    <t>CHP Electricity Export to Grid</t>
  </si>
  <si>
    <t>CHP Fuel for Electricity Exported to Grid</t>
  </si>
  <si>
    <t>Primary Energy of Grid Equivalent</t>
  </si>
  <si>
    <t>Primary Energy Saving/Heat Credit</t>
  </si>
  <si>
    <t>CCA Facility Primary Energy Consumption</t>
  </si>
  <si>
    <t>H:P</t>
  </si>
  <si>
    <t>Implied CHP Fuel</t>
  </si>
  <si>
    <t>Implied CHP Fuel for Electricity</t>
  </si>
  <si>
    <t>Implied CHP Fuel for Heat</t>
  </si>
  <si>
    <t>STEP 9 Heat Credit for Grid Export</t>
  </si>
  <si>
    <t>STEP 8 CCA Facility Fuel for CHP Heat</t>
  </si>
  <si>
    <t>STEP 7 CCA Facility Fuel for CHP Electricity</t>
  </si>
  <si>
    <t>STEP 6 Heat Credit for Grid Export</t>
  </si>
  <si>
    <t>STEP 6 Primary Energy Saving/Heat Credit</t>
  </si>
  <si>
    <t>STEP 6 Primary Energy of Grid Equivalent</t>
  </si>
  <si>
    <t>STEP 6 CHP Fuel for Implied Export to the Grid</t>
  </si>
  <si>
    <t>STEP 1 CHP Average Heat to Power Ratio</t>
  </si>
  <si>
    <t>STEP 2 CHP Average CHP Efficiency</t>
  </si>
  <si>
    <t>STEP 3 Demand for Heat</t>
  </si>
  <si>
    <t>STEP 4 Implied CHP power generation</t>
  </si>
  <si>
    <t>STEP 5 Implied Export to the Grid</t>
  </si>
  <si>
    <t>STEP 5 Actual Demend for Electricity</t>
  </si>
  <si>
    <t>STEP 13 Additional Energy Incurred as a Result of Supply Disruption</t>
  </si>
  <si>
    <t>CCA Facility Production and Delivered Energy Consumption over 24 months</t>
  </si>
  <si>
    <t>Delivered Electricity Demand (kWh)</t>
  </si>
  <si>
    <t>Steam Demand (kWh)</t>
  </si>
  <si>
    <t>Primary Electricity Imported from Grid (kWh)</t>
  </si>
  <si>
    <t>Gas Consumed in Back-up Boilers (kWh)</t>
  </si>
  <si>
    <t>Applying Normal CHP Operation to Months 14-16</t>
  </si>
  <si>
    <t>For Months 1-13 and 17-24 (Normal CHP Operation)</t>
  </si>
  <si>
    <t>CHP Fuel Consumption, Electricity and Heat Generation (Normal CHP Operation)</t>
  </si>
  <si>
    <t>NO CHP OPERATION</t>
  </si>
  <si>
    <t>CCA Facility Primary Energy to Report from CHP Consumption</t>
  </si>
  <si>
    <t>STEP 11 Actual CCA Facility Consumption for Months 1-13 and 17-24</t>
  </si>
  <si>
    <t>STEP 12 Actual CCA Facility Consumption for Months 14-16</t>
  </si>
  <si>
    <t>Implied CHP Primary Energy for CCA Facility for Months 14-16</t>
  </si>
  <si>
    <t xml:space="preserve"> STEP 10  Total Implied CCA Facility Primary Energy for Months 14-16</t>
  </si>
  <si>
    <t>Target (kWh/tonne)</t>
  </si>
  <si>
    <t>Actual Performance (kWh/tonne)</t>
  </si>
  <si>
    <t>Can supply disruption be invoked?</t>
  </si>
  <si>
    <t>IS SUPPLY DISRUPTION RELEVANT?</t>
  </si>
  <si>
    <t>Situation</t>
  </si>
  <si>
    <t>Over a 24 month period represented by a target period, a CCA facility required 3,600,000 kWh of steam and 1,680,000 kWh of delivered (metered) electricity to produce 120,000 tonnes of product.</t>
  </si>
  <si>
    <t>The site has a natural gas fired CHP which normally supplies all of the site’s heat demand. The electricity generated by this CHP also normally satisfies all of the site’s electricity demand, with some electricity generated spilled to the grid.</t>
  </si>
  <si>
    <t>The site carries out routine maintenance of the CHP at the same time as the annual 2 week site maintenance shut down. CHP down time for maintenance is therefore predictable and planned and does not occur at the same time as the site is producing output.</t>
  </si>
  <si>
    <t>However, during the second 12 months of the target period there was a failure of the CHP’s prime mover, putting the CHP out of action for 3 months, which did not include the routine site 2 week shutdown. The site was required to continue producing as normal over this 3 month period. In order to satisfy the electricity and steam demand of production during this 3 month period, the site was required to import electricity from the grid and burn gas in its back-up boilers.</t>
  </si>
  <si>
    <t>This means that:</t>
  </si>
  <si>
    <r>
      <t>·</t>
    </r>
    <r>
      <rPr>
        <sz val="7"/>
        <color theme="1"/>
        <rFont val="Times New Roman"/>
        <family val="1"/>
      </rPr>
      <t xml:space="preserve">         </t>
    </r>
    <r>
      <rPr>
        <sz val="11"/>
        <color theme="1"/>
        <rFont val="Calibri"/>
        <family val="2"/>
        <scheme val="minor"/>
      </rPr>
      <t>Over months 1-13 and 17-24 the site operated normally, derived all of its steam and electricity requirements from the on-site CHP and exported some surplus electricity to the grid.</t>
    </r>
  </si>
  <si>
    <r>
      <t>·</t>
    </r>
    <r>
      <rPr>
        <sz val="7"/>
        <color theme="1"/>
        <rFont val="Times New Roman"/>
        <family val="1"/>
      </rPr>
      <t xml:space="preserve">         </t>
    </r>
    <r>
      <rPr>
        <sz val="11"/>
        <color theme="1"/>
        <rFont val="Calibri"/>
        <family val="2"/>
        <scheme val="minor"/>
      </rPr>
      <t>Over months 14-16 the site had to continue operating without the CHP and instead had to import electricity from the grid and burn gas in its back-up boilers in order to satisfy its electricity and heat requirements.</t>
    </r>
  </si>
  <si>
    <r>
      <t xml:space="preserve">The CCA Facility’s demand for </t>
    </r>
    <r>
      <rPr>
        <b/>
        <u/>
        <sz val="11"/>
        <color theme="1"/>
        <rFont val="Calibri"/>
        <family val="2"/>
        <scheme val="minor"/>
      </rPr>
      <t>delivered</t>
    </r>
    <r>
      <rPr>
        <sz val="11"/>
        <color theme="1"/>
        <rFont val="Calibri"/>
        <family val="2"/>
        <scheme val="minor"/>
      </rPr>
      <t xml:space="preserve"> electricity and steam and its production over the normal periods of Month 1-13 and 17-24 are highlighted in </t>
    </r>
    <r>
      <rPr>
        <sz val="11"/>
        <color rgb="FFFFC000"/>
        <rFont val="Calibri"/>
        <family val="2"/>
        <scheme val="minor"/>
      </rPr>
      <t>ORANGE (B2:N5, R2:Y5)</t>
    </r>
    <r>
      <rPr>
        <sz val="11"/>
        <color theme="1"/>
        <rFont val="Calibri"/>
        <family val="2"/>
        <scheme val="minor"/>
      </rPr>
      <t>.</t>
    </r>
  </si>
  <si>
    <t>Figures in italics in the Range B17:N30, R17:Y30 are calculations using the CHP algorithm necessary to apportion CHP fuel to CHP generated electricity and heat and to calculate the heat credit in respect of CHP electricity exports to the grid.</t>
  </si>
  <si>
    <t>Is Supply Disruption Relevant?</t>
  </si>
  <si>
    <t>Supply Disruption is relevant only if the Target Unit has failed to meet its target. In this example we have:</t>
  </si>
  <si>
    <t>Actual Target = 53.000 kWh</t>
  </si>
  <si>
    <t>Actual Performance = 54.337 kWh/tonne</t>
  </si>
  <si>
    <t>The Target Unit has failed its target and so can go through the process of demonstrating that the supply disruption was responsible of it failing to meet its target.</t>
  </si>
  <si>
    <t>The solution is to calculate the amount of primary energy the CCA facility would have had to report for the 24 month period if the CHP had not experienced an unexpected failure for the 3 month period and then compare this against the amount of primary energy the CCA facility actually had to report for the 24 month period.</t>
  </si>
  <si>
    <t>STEP 1 Determine the average heat to power ratio of the CHP over the period of normal operation. This is the sum of heat generated by the CHP over months 1-13 and 17-24 divided by the power generated by the CHP over the months 1-13 and 17-24.</t>
  </si>
  <si>
    <t>STEP 2 Determine the average efficiency of the CHP over the period of normal operation. This is the sum of total heat generated by the CHP over months 1-13 and 17-24 and total power generated by the CHP over the months 1-13 and 17-24 all divided by the total fuel consumed by the CHP over the months 1-13 and 17-24.</t>
  </si>
  <si>
    <t>STEP 4 Determine the quantity of electricity that the CHP would have generated in month 14-16 if the CHP satisfied this demand for steam. This is the quantity of steam demanded over month 14-16 divided by the average heat to power ratio over month 1-13 and 17-24 (STEP 1).</t>
  </si>
  <si>
    <t>STEP 6 Calculate the heat credit arising from the CHP electricity that would have been exported to the grid over month 14-16</t>
  </si>
  <si>
    <t>STEP 7 Calculate the fuel associated with the CHP electricity the CCA facility would have consumed over month 14-16</t>
  </si>
  <si>
    <t>STEP 8 Calculate the fuel associated with the CHP heat the CCA facility would have consumed over month 14-16.</t>
  </si>
  <si>
    <t>STEP 9 Calculate the heat credit that would have applied to the CCA facility in respect of the CHP heat it would have consumed over month 14-16. (The CCA facility gets all the heat credit in this case because it consumed all of the CHP heat outputs).</t>
  </si>
  <si>
    <t>STEP 11 Determine the actual CCA facility primary reportable energy over the period months 1-14 and 17-24.</t>
  </si>
  <si>
    <t>STEP 12 Determine the actual primary energy consumption of the CCA facility over the period month 14-16.</t>
  </si>
  <si>
    <t>DETERMINATION OF 'NORMAL' OPERATION DATA</t>
  </si>
  <si>
    <t>Determination of 'Normal' operation data</t>
  </si>
  <si>
    <t>Data Required for evaluation of supply disruption effect</t>
  </si>
  <si>
    <t>DATA REQUIRED FOR EVALUATION OF SUPPLY DISRUPTION EFFECT</t>
  </si>
  <si>
    <t>STEP 10 Calculate the total implied primary energy that the CCA facility would have reported in month 14-16 if the CHP was operating normally.</t>
  </si>
  <si>
    <t>Revision of target performance</t>
  </si>
  <si>
    <t>Actual Performance</t>
  </si>
  <si>
    <t>REVISION OF TARGET PERFORMANCE</t>
  </si>
  <si>
    <r>
      <t xml:space="preserve">The CCA Facility’s demand for </t>
    </r>
    <r>
      <rPr>
        <b/>
        <u/>
        <sz val="11"/>
        <color theme="1"/>
        <rFont val="Calibri"/>
        <family val="2"/>
        <scheme val="minor"/>
      </rPr>
      <t>delivered</t>
    </r>
    <r>
      <rPr>
        <sz val="11"/>
        <color theme="1"/>
        <rFont val="Calibri"/>
        <family val="2"/>
        <scheme val="minor"/>
      </rPr>
      <t xml:space="preserve"> electricity and steam and its production over the period when the CHP was not running are highlighted </t>
    </r>
    <r>
      <rPr>
        <sz val="11"/>
        <color theme="7" tint="-0.249977111117893"/>
        <rFont val="Calibri"/>
        <family val="2"/>
        <scheme val="minor"/>
      </rPr>
      <t>Purple (P4:R6).</t>
    </r>
  </si>
  <si>
    <r>
      <t xml:space="preserve">The primary electricity imports from the grid and gas burned in the back-up boilers to satisfy the site’s demand for delivered electricity and steam when the CHP was not operating are highlighted </t>
    </r>
    <r>
      <rPr>
        <sz val="11"/>
        <color rgb="FF548DD4"/>
        <rFont val="Calibri"/>
        <family val="2"/>
        <scheme val="minor"/>
      </rPr>
      <t>BLUE (O7:R8)</t>
    </r>
    <r>
      <rPr>
        <sz val="11"/>
        <color theme="1"/>
        <rFont val="Calibri"/>
        <family val="2"/>
        <scheme val="minor"/>
      </rPr>
      <t>.</t>
    </r>
  </si>
  <si>
    <r>
      <t xml:space="preserve">The performance characteristics of the CHP over the period it was operating normally are highlighted </t>
    </r>
    <r>
      <rPr>
        <sz val="11"/>
        <color rgb="FF92D050"/>
        <rFont val="Calibri"/>
        <family val="2"/>
        <scheme val="minor"/>
      </rPr>
      <t>GREEN (c11:N16, s11:z16)</t>
    </r>
    <r>
      <rPr>
        <sz val="11"/>
        <color theme="1"/>
        <rFont val="Calibri"/>
        <family val="2"/>
        <scheme val="minor"/>
      </rPr>
      <t>.</t>
    </r>
  </si>
  <si>
    <t>STEP 3 Determine the demand for steam in the period of the CHP failure (months 14-16). This is the metered steam consumption for this period .</t>
  </si>
  <si>
    <t>STEP 5 Determine the quantity of CHP generated power that would have been surplus to requirements over month 14-16. This is CHP power generated over month 14-16 minus the delivered electricity demand over month 14-16. The result is the CHP power generated over month 14-16 that would have been exported to the grid.</t>
  </si>
  <si>
    <r>
      <t>STEP 13 Calculate the additional reportable primary energy arising as a result of the unexpected failure of the CHP. This is</t>
    </r>
    <r>
      <rPr>
        <sz val="11"/>
        <rFont val="Calibri"/>
        <family val="2"/>
        <scheme val="minor"/>
      </rPr>
      <t xml:space="preserve"> (STEP 11</t>
    </r>
    <r>
      <rPr>
        <sz val="11"/>
        <color theme="1"/>
        <rFont val="Calibri"/>
        <family val="2"/>
        <scheme val="minor"/>
      </rPr>
      <t xml:space="preserve"> + </t>
    </r>
    <r>
      <rPr>
        <sz val="11"/>
        <rFont val="Calibri"/>
        <family val="2"/>
        <scheme val="minor"/>
      </rPr>
      <t>STEP 12) – (STEP11 + STEP 10). This is used in the target calculator.</t>
    </r>
  </si>
</sst>
</file>

<file path=xl/styles.xml><?xml version="1.0" encoding="utf-8"?>
<styleSheet xmlns="http://schemas.openxmlformats.org/spreadsheetml/2006/main">
  <numFmts count="3">
    <numFmt numFmtId="164" formatCode="0.0%"/>
    <numFmt numFmtId="165" formatCode="#,##0.000"/>
    <numFmt numFmtId="166" formatCode="0.000"/>
  </numFmts>
  <fonts count="16">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b/>
      <u/>
      <sz val="11"/>
      <color theme="1"/>
      <name val="Calibri"/>
      <family val="2"/>
      <scheme val="minor"/>
    </font>
    <font>
      <sz val="11"/>
      <color theme="1"/>
      <name val="Symbol"/>
      <family val="1"/>
      <charset val="2"/>
    </font>
    <font>
      <sz val="7"/>
      <color theme="1"/>
      <name val="Times New Roman"/>
      <family val="1"/>
    </font>
    <font>
      <sz val="11"/>
      <color rgb="FFFFC000"/>
      <name val="Calibri"/>
      <family val="2"/>
      <scheme val="minor"/>
    </font>
    <font>
      <sz val="11"/>
      <color rgb="FF548DD4"/>
      <name val="Calibri"/>
      <family val="2"/>
      <scheme val="minor"/>
    </font>
    <font>
      <sz val="11"/>
      <color rgb="FF92D050"/>
      <name val="Calibri"/>
      <family val="2"/>
      <scheme val="minor"/>
    </font>
    <font>
      <b/>
      <sz val="14"/>
      <color theme="0"/>
      <name val="Calibri"/>
      <family val="2"/>
      <scheme val="minor"/>
    </font>
    <font>
      <sz val="11"/>
      <name val="Calibri"/>
      <family val="2"/>
      <scheme val="minor"/>
    </font>
    <font>
      <sz val="11"/>
      <color theme="7" tint="-0.249977111117893"/>
      <name val="Calibri"/>
      <family val="2"/>
      <scheme val="minor"/>
    </font>
    <font>
      <b/>
      <i/>
      <sz val="14"/>
      <color theme="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ck">
        <color auto="1"/>
      </top>
      <bottom style="medium">
        <color indexed="64"/>
      </bottom>
      <diagonal/>
    </border>
    <border>
      <left style="medium">
        <color indexed="64"/>
      </left>
      <right/>
      <top style="thin">
        <color auto="1"/>
      </top>
      <bottom style="thick">
        <color auto="1"/>
      </bottom>
      <diagonal/>
    </border>
    <border>
      <left style="medium">
        <color indexed="64"/>
      </left>
      <right style="medium">
        <color indexed="64"/>
      </right>
      <top style="thin">
        <color auto="1"/>
      </top>
      <bottom style="thick">
        <color auto="1"/>
      </bottom>
      <diagonal/>
    </border>
    <border>
      <left style="medium">
        <color indexed="64"/>
      </left>
      <right style="medium">
        <color indexed="64"/>
      </right>
      <top style="thick">
        <color auto="1"/>
      </top>
      <bottom style="medium">
        <color indexed="64"/>
      </bottom>
      <diagonal/>
    </border>
  </borders>
  <cellStyleXfs count="1">
    <xf numFmtId="0" fontId="0" fillId="0" borderId="0"/>
  </cellStyleXfs>
  <cellXfs count="175">
    <xf numFmtId="0" fontId="0" fillId="0" borderId="0" xfId="0"/>
    <xf numFmtId="3" fontId="0" fillId="0" borderId="0" xfId="0" applyNumberFormat="1"/>
    <xf numFmtId="0" fontId="1" fillId="0" borderId="0" xfId="0" applyFont="1"/>
    <xf numFmtId="2" fontId="0" fillId="0" borderId="0" xfId="0" applyNumberFormat="1"/>
    <xf numFmtId="3" fontId="0" fillId="0" borderId="0" xfId="0" applyNumberFormat="1" applyFill="1"/>
    <xf numFmtId="164" fontId="0" fillId="0" borderId="0" xfId="0" applyNumberFormat="1" applyFill="1"/>
    <xf numFmtId="0" fontId="2" fillId="0" borderId="0" xfId="0" applyFont="1"/>
    <xf numFmtId="3" fontId="1" fillId="0" borderId="0" xfId="0" applyNumberFormat="1" applyFont="1"/>
    <xf numFmtId="2" fontId="0" fillId="0" borderId="0" xfId="0" applyNumberFormat="1" applyFill="1"/>
    <xf numFmtId="165" fontId="0" fillId="0" borderId="0" xfId="0" applyNumberFormat="1"/>
    <xf numFmtId="3" fontId="3" fillId="0" borderId="0" xfId="0" applyNumberFormat="1" applyFont="1"/>
    <xf numFmtId="3" fontId="1" fillId="0" borderId="0" xfId="0" applyNumberFormat="1" applyFont="1" applyFill="1" applyBorder="1"/>
    <xf numFmtId="0" fontId="0" fillId="0" borderId="0" xfId="0"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wrapText="1"/>
    </xf>
    <xf numFmtId="3" fontId="0" fillId="3" borderId="1" xfId="0" applyNumberFormat="1" applyFill="1" applyBorder="1"/>
    <xf numFmtId="3" fontId="0" fillId="0" borderId="1" xfId="0" applyNumberFormat="1" applyBorder="1"/>
    <xf numFmtId="3" fontId="0" fillId="2" borderId="1" xfId="0" applyNumberFormat="1" applyFill="1" applyBorder="1"/>
    <xf numFmtId="164" fontId="0" fillId="2" borderId="1" xfId="0" applyNumberFormat="1" applyFill="1" applyBorder="1"/>
    <xf numFmtId="3" fontId="2" fillId="0" borderId="1" xfId="0" applyNumberFormat="1" applyFont="1" applyBorder="1"/>
    <xf numFmtId="3" fontId="0" fillId="0" borderId="2" xfId="0" applyNumberFormat="1" applyBorder="1"/>
    <xf numFmtId="0" fontId="4" fillId="0" borderId="2" xfId="0" applyFont="1" applyBorder="1"/>
    <xf numFmtId="0" fontId="12" fillId="4" borderId="0" xfId="0" applyFont="1" applyFill="1" applyAlignment="1">
      <alignment vertical="top"/>
    </xf>
    <xf numFmtId="0" fontId="4" fillId="6" borderId="1" xfId="0" applyFont="1" applyFill="1" applyBorder="1" applyAlignment="1">
      <alignment vertical="center"/>
    </xf>
    <xf numFmtId="0" fontId="4" fillId="6" borderId="0" xfId="0" applyFont="1" applyFill="1" applyAlignment="1">
      <alignment vertical="center"/>
    </xf>
    <xf numFmtId="0" fontId="4" fillId="6" borderId="1" xfId="0" applyFont="1" applyFill="1" applyBorder="1"/>
    <xf numFmtId="3" fontId="0" fillId="7" borderId="1" xfId="0" applyNumberFormat="1" applyFill="1" applyBorder="1"/>
    <xf numFmtId="3" fontId="0" fillId="5" borderId="1" xfId="0" applyNumberFormat="1" applyFill="1" applyBorder="1"/>
    <xf numFmtId="3" fontId="1" fillId="8" borderId="4" xfId="0" applyNumberFormat="1" applyFont="1" applyFill="1" applyBorder="1"/>
    <xf numFmtId="3" fontId="1" fillId="8" borderId="5" xfId="0" applyNumberFormat="1" applyFont="1" applyFill="1" applyBorder="1"/>
    <xf numFmtId="3" fontId="1" fillId="8" borderId="6" xfId="0" applyNumberFormat="1" applyFont="1" applyFill="1" applyBorder="1"/>
    <xf numFmtId="3" fontId="1" fillId="8" borderId="8" xfId="0" applyNumberFormat="1" applyFont="1" applyFill="1" applyBorder="1"/>
    <xf numFmtId="3" fontId="1" fillId="8" borderId="9" xfId="0" applyNumberFormat="1" applyFont="1" applyFill="1" applyBorder="1"/>
    <xf numFmtId="3" fontId="1" fillId="8" borderId="10" xfId="0" applyNumberFormat="1" applyFont="1" applyFill="1" applyBorder="1"/>
    <xf numFmtId="3" fontId="1" fillId="8" borderId="11" xfId="0" applyNumberFormat="1" applyFont="1" applyFill="1" applyBorder="1"/>
    <xf numFmtId="3" fontId="1" fillId="8" borderId="12" xfId="0" applyNumberFormat="1" applyFont="1" applyFill="1" applyBorder="1"/>
    <xf numFmtId="3" fontId="1" fillId="8" borderId="13" xfId="0" applyNumberFormat="1" applyFont="1" applyFill="1" applyBorder="1"/>
    <xf numFmtId="3" fontId="0" fillId="3" borderId="17" xfId="0" applyNumberFormat="1" applyFill="1" applyBorder="1"/>
    <xf numFmtId="3" fontId="0" fillId="0" borderId="17" xfId="0" applyNumberFormat="1" applyBorder="1"/>
    <xf numFmtId="0" fontId="0" fillId="0" borderId="20" xfId="0" applyBorder="1"/>
    <xf numFmtId="0" fontId="0" fillId="0" borderId="21" xfId="0" applyBorder="1"/>
    <xf numFmtId="3" fontId="0" fillId="0" borderId="0" xfId="0" applyNumberFormat="1" applyBorder="1"/>
    <xf numFmtId="0" fontId="0" fillId="0" borderId="26" xfId="0" applyBorder="1"/>
    <xf numFmtId="3" fontId="0" fillId="3" borderId="22" xfId="0" applyNumberFormat="1" applyFill="1" applyBorder="1"/>
    <xf numFmtId="0" fontId="0" fillId="0" borderId="28" xfId="0" applyBorder="1"/>
    <xf numFmtId="3" fontId="1" fillId="0" borderId="29" xfId="0" applyNumberFormat="1" applyFont="1" applyBorder="1"/>
    <xf numFmtId="0" fontId="0" fillId="4" borderId="0" xfId="0" applyFill="1"/>
    <xf numFmtId="0" fontId="0" fillId="9" borderId="15" xfId="0" applyFill="1" applyBorder="1"/>
    <xf numFmtId="3" fontId="0" fillId="2" borderId="17" xfId="0" applyNumberFormat="1" applyFill="1" applyBorder="1"/>
    <xf numFmtId="164" fontId="0" fillId="2" borderId="17" xfId="0" applyNumberFormat="1" applyFill="1" applyBorder="1"/>
    <xf numFmtId="2" fontId="0" fillId="2" borderId="18" xfId="0" applyNumberFormat="1" applyFill="1" applyBorder="1"/>
    <xf numFmtId="2" fontId="0" fillId="2" borderId="19" xfId="0" applyNumberFormat="1" applyFill="1" applyBorder="1"/>
    <xf numFmtId="3" fontId="0" fillId="5" borderId="41" xfId="0" applyNumberFormat="1" applyFill="1" applyBorder="1"/>
    <xf numFmtId="3" fontId="0" fillId="2" borderId="22" xfId="0" applyNumberFormat="1" applyFill="1" applyBorder="1"/>
    <xf numFmtId="164" fontId="0" fillId="2" borderId="22" xfId="0" applyNumberFormat="1" applyFill="1" applyBorder="1"/>
    <xf numFmtId="2" fontId="0" fillId="2" borderId="23" xfId="0" applyNumberFormat="1" applyFill="1" applyBorder="1"/>
    <xf numFmtId="0" fontId="1" fillId="0" borderId="29" xfId="0" applyFont="1" applyBorder="1"/>
    <xf numFmtId="0" fontId="1" fillId="0" borderId="42" xfId="0" applyFont="1" applyBorder="1"/>
    <xf numFmtId="0" fontId="15" fillId="0" borderId="0" xfId="0" applyFont="1" applyBorder="1"/>
    <xf numFmtId="0" fontId="0" fillId="0" borderId="0" xfId="0" applyBorder="1"/>
    <xf numFmtId="0" fontId="0" fillId="0" borderId="15" xfId="0" applyFill="1" applyBorder="1"/>
    <xf numFmtId="0" fontId="0" fillId="0" borderId="16" xfId="0" applyFill="1" applyBorder="1"/>
    <xf numFmtId="3" fontId="2" fillId="0" borderId="17" xfId="0" applyNumberFormat="1" applyFont="1" applyBorder="1"/>
    <xf numFmtId="3" fontId="2" fillId="0" borderId="18" xfId="0" applyNumberFormat="1" applyFont="1" applyBorder="1"/>
    <xf numFmtId="3" fontId="2" fillId="0" borderId="19" xfId="0" applyNumberFormat="1" applyFont="1" applyBorder="1"/>
    <xf numFmtId="0" fontId="0" fillId="0" borderId="37" xfId="0" applyBorder="1"/>
    <xf numFmtId="3" fontId="1" fillId="0" borderId="32" xfId="0" applyNumberFormat="1" applyFont="1" applyBorder="1"/>
    <xf numFmtId="3" fontId="0" fillId="2" borderId="38" xfId="0" applyNumberFormat="1" applyFill="1" applyBorder="1"/>
    <xf numFmtId="3" fontId="0" fillId="2" borderId="41" xfId="0" applyNumberFormat="1" applyFill="1" applyBorder="1"/>
    <xf numFmtId="3" fontId="0" fillId="2" borderId="43" xfId="0" applyNumberFormat="1" applyFill="1" applyBorder="1"/>
    <xf numFmtId="0" fontId="0" fillId="0" borderId="44" xfId="0" applyBorder="1"/>
    <xf numFmtId="0" fontId="1" fillId="0" borderId="14" xfId="0" applyFont="1" applyBorder="1" applyAlignment="1">
      <alignment horizontal="center"/>
    </xf>
    <xf numFmtId="0" fontId="0" fillId="2" borderId="45" xfId="0" applyFill="1" applyBorder="1"/>
    <xf numFmtId="0" fontId="0" fillId="2" borderId="5" xfId="0" applyFill="1" applyBorder="1"/>
    <xf numFmtId="0" fontId="0" fillId="9" borderId="5" xfId="0" applyFill="1" applyBorder="1"/>
    <xf numFmtId="0" fontId="0" fillId="2" borderId="6" xfId="0" applyFill="1" applyBorder="1"/>
    <xf numFmtId="3" fontId="0" fillId="3" borderId="38" xfId="0" applyNumberFormat="1" applyFill="1" applyBorder="1"/>
    <xf numFmtId="3" fontId="0" fillId="3" borderId="41" xfId="0" applyNumberFormat="1" applyFill="1" applyBorder="1"/>
    <xf numFmtId="3" fontId="0" fillId="7" borderId="41" xfId="0" applyNumberFormat="1" applyFill="1" applyBorder="1"/>
    <xf numFmtId="3" fontId="0" fillId="3" borderId="43" xfId="0" applyNumberFormat="1" applyFill="1" applyBorder="1"/>
    <xf numFmtId="0" fontId="0" fillId="3" borderId="45" xfId="0" applyFill="1" applyBorder="1"/>
    <xf numFmtId="0" fontId="0" fillId="3" borderId="5" xfId="0" applyFill="1" applyBorder="1"/>
    <xf numFmtId="0" fontId="0" fillId="7" borderId="5" xfId="0" applyFill="1" applyBorder="1"/>
    <xf numFmtId="0" fontId="0" fillId="3" borderId="6" xfId="0" applyFill="1" applyBorder="1"/>
    <xf numFmtId="3" fontId="2" fillId="0" borderId="41" xfId="0" applyNumberFormat="1" applyFont="1" applyBorder="1"/>
    <xf numFmtId="3" fontId="2" fillId="0" borderId="43" xfId="0" applyNumberFormat="1" applyFont="1" applyBorder="1"/>
    <xf numFmtId="0" fontId="0" fillId="0" borderId="5" xfId="0" applyFill="1" applyBorder="1"/>
    <xf numFmtId="0" fontId="0" fillId="0" borderId="6" xfId="0" applyFill="1" applyBorder="1"/>
    <xf numFmtId="0" fontId="2" fillId="0" borderId="37" xfId="0" applyFont="1" applyBorder="1"/>
    <xf numFmtId="0" fontId="2" fillId="0" borderId="20" xfId="0" applyFont="1" applyBorder="1"/>
    <xf numFmtId="0" fontId="2" fillId="0" borderId="21" xfId="0" applyFont="1" applyBorder="1"/>
    <xf numFmtId="0" fontId="0" fillId="0" borderId="45" xfId="0" applyFill="1" applyBorder="1"/>
    <xf numFmtId="3" fontId="2" fillId="0" borderId="38" xfId="0" applyNumberFormat="1" applyFont="1" applyBorder="1"/>
    <xf numFmtId="3" fontId="2" fillId="0" borderId="22" xfId="0" applyNumberFormat="1" applyFont="1" applyBorder="1"/>
    <xf numFmtId="3" fontId="2" fillId="0" borderId="23" xfId="0" applyNumberFormat="1" applyFont="1" applyBorder="1"/>
    <xf numFmtId="0" fontId="0" fillId="0" borderId="14" xfId="0" applyBorder="1"/>
    <xf numFmtId="3" fontId="3" fillId="0" borderId="32" xfId="0" applyNumberFormat="1" applyFont="1" applyBorder="1"/>
    <xf numFmtId="3" fontId="3" fillId="0" borderId="29" xfId="0" applyNumberFormat="1" applyFont="1" applyBorder="1"/>
    <xf numFmtId="3" fontId="3" fillId="0" borderId="42" xfId="0" applyNumberFormat="1" applyFont="1" applyBorder="1"/>
    <xf numFmtId="0" fontId="4" fillId="0" borderId="0" xfId="0" applyFont="1" applyBorder="1"/>
    <xf numFmtId="3" fontId="0" fillId="0" borderId="25" xfId="0" applyNumberFormat="1" applyBorder="1"/>
    <xf numFmtId="0" fontId="0" fillId="0" borderId="29" xfId="0" applyBorder="1"/>
    <xf numFmtId="0" fontId="0" fillId="0" borderId="42" xfId="0" applyBorder="1"/>
    <xf numFmtId="0" fontId="0" fillId="0" borderId="32" xfId="0" applyBorder="1"/>
    <xf numFmtId="0" fontId="0" fillId="0" borderId="30" xfId="0" applyBorder="1"/>
    <xf numFmtId="0" fontId="0" fillId="0" borderId="27" xfId="0" applyFill="1" applyBorder="1"/>
    <xf numFmtId="3" fontId="0" fillId="0" borderId="22" xfId="0" applyNumberFormat="1" applyBorder="1"/>
    <xf numFmtId="3" fontId="0" fillId="0" borderId="7" xfId="0" applyNumberFormat="1" applyBorder="1"/>
    <xf numFmtId="3" fontId="1" fillId="8" borderId="45" xfId="0" applyNumberFormat="1" applyFont="1" applyFill="1" applyBorder="1"/>
    <xf numFmtId="3" fontId="1" fillId="0" borderId="42" xfId="0" applyNumberFormat="1" applyFont="1" applyBorder="1"/>
    <xf numFmtId="165" fontId="0" fillId="0" borderId="13" xfId="0" applyNumberFormat="1" applyBorder="1"/>
    <xf numFmtId="0" fontId="0" fillId="0" borderId="12" xfId="0" applyBorder="1"/>
    <xf numFmtId="0" fontId="0" fillId="0" borderId="13" xfId="0" applyBorder="1"/>
    <xf numFmtId="0" fontId="0" fillId="0" borderId="46" xfId="0" applyBorder="1"/>
    <xf numFmtId="0" fontId="0" fillId="0" borderId="47" xfId="0" applyBorder="1"/>
    <xf numFmtId="166" fontId="0" fillId="0" borderId="28" xfId="0" applyNumberFormat="1" applyBorder="1"/>
    <xf numFmtId="166" fontId="0" fillId="0" borderId="29" xfId="0" applyNumberFormat="1" applyBorder="1"/>
    <xf numFmtId="0" fontId="1" fillId="0" borderId="42" xfId="0" applyFont="1" applyBorder="1" applyAlignment="1">
      <alignment horizontal="center"/>
    </xf>
    <xf numFmtId="0" fontId="1" fillId="0" borderId="8" xfId="0" applyFont="1" applyBorder="1"/>
    <xf numFmtId="0" fontId="0" fillId="0" borderId="48" xfId="0" applyBorder="1"/>
    <xf numFmtId="4" fontId="0" fillId="0" borderId="29" xfId="0" applyNumberFormat="1" applyBorder="1"/>
    <xf numFmtId="164" fontId="0" fillId="0" borderId="42" xfId="0" applyNumberFormat="1" applyBorder="1"/>
    <xf numFmtId="0" fontId="4" fillId="0" borderId="0" xfId="0" applyFont="1" applyBorder="1" applyAlignment="1">
      <alignment wrapText="1"/>
    </xf>
    <xf numFmtId="3" fontId="0" fillId="0" borderId="28" xfId="0" applyNumberFormat="1" applyBorder="1"/>
    <xf numFmtId="3" fontId="0" fillId="0" borderId="29" xfId="0" applyNumberFormat="1" applyBorder="1"/>
    <xf numFmtId="3" fontId="0" fillId="0" borderId="42" xfId="0" applyNumberFormat="1" applyBorder="1"/>
    <xf numFmtId="0" fontId="2" fillId="0" borderId="26" xfId="0" applyFont="1" applyBorder="1"/>
    <xf numFmtId="3" fontId="2" fillId="0" borderId="28" xfId="0" applyNumberFormat="1" applyFont="1" applyBorder="1"/>
    <xf numFmtId="3" fontId="2" fillId="0" borderId="29" xfId="0" applyNumberFormat="1" applyFont="1" applyBorder="1"/>
    <xf numFmtId="3" fontId="2" fillId="0" borderId="42" xfId="0" applyNumberFormat="1" applyFont="1" applyBorder="1"/>
    <xf numFmtId="0" fontId="0" fillId="8" borderId="49" xfId="0" applyFill="1" applyBorder="1"/>
    <xf numFmtId="0" fontId="0" fillId="0" borderId="26" xfId="0" applyFill="1" applyBorder="1"/>
    <xf numFmtId="0" fontId="0" fillId="0" borderId="20" xfId="0" applyFill="1" applyBorder="1"/>
    <xf numFmtId="0" fontId="0" fillId="0" borderId="21" xfId="0" applyFill="1" applyBorder="1"/>
    <xf numFmtId="3" fontId="0" fillId="0" borderId="28" xfId="0" applyNumberFormat="1" applyFill="1" applyBorder="1"/>
    <xf numFmtId="3" fontId="0" fillId="0" borderId="29" xfId="0" applyNumberFormat="1" applyFill="1" applyBorder="1"/>
    <xf numFmtId="3" fontId="0" fillId="0" borderId="42" xfId="0" applyNumberFormat="1" applyFill="1" applyBorder="1"/>
    <xf numFmtId="0" fontId="0" fillId="0" borderId="31" xfId="0" applyBorder="1"/>
    <xf numFmtId="0" fontId="0" fillId="0" borderId="50" xfId="0" applyBorder="1"/>
    <xf numFmtId="3" fontId="0" fillId="0" borderId="51" xfId="0" applyNumberFormat="1" applyBorder="1"/>
    <xf numFmtId="3" fontId="0" fillId="8" borderId="52" xfId="0" applyNumberFormat="1" applyFill="1" applyBorder="1"/>
    <xf numFmtId="3" fontId="0" fillId="0" borderId="3" xfId="0" applyNumberFormat="1" applyBorder="1" applyAlignment="1">
      <alignment horizontal="center"/>
    </xf>
    <xf numFmtId="3" fontId="0" fillId="0" borderId="34" xfId="0" applyNumberFormat="1" applyBorder="1" applyAlignment="1">
      <alignment horizontal="center"/>
    </xf>
    <xf numFmtId="3" fontId="0" fillId="0" borderId="35" xfId="0" applyNumberFormat="1" applyBorder="1" applyAlignment="1">
      <alignment horizontal="center"/>
    </xf>
    <xf numFmtId="3" fontId="0" fillId="0" borderId="24" xfId="0" applyNumberFormat="1" applyBorder="1" applyAlignment="1">
      <alignment horizontal="center"/>
    </xf>
    <xf numFmtId="3" fontId="0" fillId="0" borderId="39" xfId="0" applyNumberFormat="1" applyBorder="1" applyAlignment="1">
      <alignment horizontal="center"/>
    </xf>
    <xf numFmtId="3" fontId="0" fillId="0" borderId="40" xfId="0" applyNumberFormat="1" applyBorder="1" applyAlignment="1">
      <alignment horizontal="center"/>
    </xf>
    <xf numFmtId="0" fontId="4" fillId="0" borderId="33" xfId="0" applyFont="1" applyBorder="1" applyAlignment="1">
      <alignment horizontal="left" wrapText="1"/>
    </xf>
    <xf numFmtId="0" fontId="4" fillId="0" borderId="12" xfId="0" applyFont="1" applyBorder="1" applyAlignment="1">
      <alignment horizontal="left" wrapText="1"/>
    </xf>
    <xf numFmtId="0" fontId="0" fillId="0" borderId="26"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21"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3" fontId="4" fillId="9" borderId="41" xfId="0" applyNumberFormat="1" applyFont="1" applyFill="1" applyBorder="1" applyAlignment="1">
      <alignment horizontal="center" vertical="center"/>
    </xf>
    <xf numFmtId="0" fontId="5" fillId="9" borderId="41"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18" xfId="0" applyFont="1" applyFill="1" applyBorder="1" applyAlignment="1">
      <alignment horizontal="center" vertical="center"/>
    </xf>
    <xf numFmtId="0" fontId="4" fillId="9" borderId="41"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18" xfId="0" applyFont="1" applyFill="1" applyBorder="1" applyAlignment="1">
      <alignment horizontal="center" vertical="center"/>
    </xf>
    <xf numFmtId="0" fontId="0" fillId="9" borderId="41" xfId="0" applyFill="1" applyBorder="1" applyAlignment="1">
      <alignment horizontal="center" vertical="center"/>
    </xf>
    <xf numFmtId="0" fontId="0" fillId="9" borderId="1" xfId="0" applyFill="1" applyBorder="1" applyAlignment="1">
      <alignment horizontal="center" vertical="center"/>
    </xf>
    <xf numFmtId="0" fontId="0" fillId="9" borderId="18" xfId="0" applyFill="1" applyBorder="1" applyAlignment="1">
      <alignment horizontal="center" vertical="center"/>
    </xf>
    <xf numFmtId="3" fontId="4" fillId="9" borderId="1" xfId="0" applyNumberFormat="1" applyFont="1" applyFill="1" applyBorder="1" applyAlignment="1">
      <alignment horizontal="center" vertical="center"/>
    </xf>
    <xf numFmtId="0" fontId="5" fillId="9" borderId="23" xfId="0" applyFont="1" applyFill="1" applyBorder="1" applyAlignment="1">
      <alignment horizontal="center" vertical="center"/>
    </xf>
    <xf numFmtId="0" fontId="5" fillId="9" borderId="24" xfId="0" applyFont="1" applyFill="1" applyBorder="1" applyAlignment="1">
      <alignment horizontal="center" vertical="center"/>
    </xf>
    <xf numFmtId="0" fontId="12" fillId="4" borderId="36" xfId="0" applyFont="1" applyFill="1" applyBorder="1" applyAlignment="1">
      <alignment horizontal="left" vertical="top"/>
    </xf>
    <xf numFmtId="0" fontId="12" fillId="4" borderId="0" xfId="0" applyFont="1" applyFill="1" applyBorder="1" applyAlignment="1">
      <alignment horizontal="left" vertical="top"/>
    </xf>
    <xf numFmtId="3" fontId="0" fillId="0" borderId="37" xfId="0" applyNumberFormat="1" applyBorder="1" applyAlignment="1">
      <alignment horizontal="center"/>
    </xf>
    <xf numFmtId="3" fontId="0" fillId="0" borderId="38" xfId="0" applyNumberFormat="1" applyBorder="1" applyAlignment="1">
      <alignment horizontal="center"/>
    </xf>
    <xf numFmtId="3" fontId="0" fillId="0" borderId="21" xfId="0" applyNumberFormat="1" applyBorder="1" applyAlignment="1">
      <alignment horizontal="center"/>
    </xf>
    <xf numFmtId="3" fontId="0" fillId="0" borderId="23"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43"/>
  <sheetViews>
    <sheetView workbookViewId="0">
      <selection activeCell="A36" sqref="A36"/>
    </sheetView>
  </sheetViews>
  <sheetFormatPr defaultRowHeight="15"/>
  <cols>
    <col min="1" max="1" width="109.85546875" customWidth="1"/>
  </cols>
  <sheetData>
    <row r="1" spans="1:1" ht="31.5" customHeight="1">
      <c r="A1" s="23" t="s">
        <v>56</v>
      </c>
    </row>
    <row r="2" spans="1:1" ht="30">
      <c r="A2" s="12" t="s">
        <v>57</v>
      </c>
    </row>
    <row r="3" spans="1:1" ht="30">
      <c r="A3" s="12" t="s">
        <v>58</v>
      </c>
    </row>
    <row r="4" spans="1:1" ht="45">
      <c r="A4" s="12" t="s">
        <v>59</v>
      </c>
    </row>
    <row r="5" spans="1:1" ht="75">
      <c r="A5" s="12" t="s">
        <v>60</v>
      </c>
    </row>
    <row r="6" spans="1:1">
      <c r="A6" s="12" t="s">
        <v>61</v>
      </c>
    </row>
    <row r="7" spans="1:1" ht="30">
      <c r="A7" s="13" t="s">
        <v>62</v>
      </c>
    </row>
    <row r="8" spans="1:1" ht="30">
      <c r="A8" s="13" t="s">
        <v>63</v>
      </c>
    </row>
    <row r="9" spans="1:1">
      <c r="A9" s="13"/>
    </row>
    <row r="10" spans="1:1" ht="18.75">
      <c r="A10" s="24" t="s">
        <v>83</v>
      </c>
    </row>
    <row r="11" spans="1:1" ht="30">
      <c r="A11" s="12" t="s">
        <v>64</v>
      </c>
    </row>
    <row r="12" spans="1:1" ht="30">
      <c r="A12" s="12" t="s">
        <v>89</v>
      </c>
    </row>
    <row r="13" spans="1:1" ht="30">
      <c r="A13" s="12" t="s">
        <v>90</v>
      </c>
    </row>
    <row r="14" spans="1:1" ht="30">
      <c r="A14" s="12" t="s">
        <v>91</v>
      </c>
    </row>
    <row r="15" spans="1:1" ht="30">
      <c r="A15" s="14" t="s">
        <v>65</v>
      </c>
    </row>
    <row r="16" spans="1:1">
      <c r="A16" s="14"/>
    </row>
    <row r="17" spans="1:1" ht="18.75">
      <c r="A17" s="25" t="s">
        <v>66</v>
      </c>
    </row>
    <row r="18" spans="1:1">
      <c r="A18" s="12" t="s">
        <v>67</v>
      </c>
    </row>
    <row r="19" spans="1:1">
      <c r="A19" s="12" t="s">
        <v>68</v>
      </c>
    </row>
    <row r="20" spans="1:1">
      <c r="A20" s="12" t="s">
        <v>69</v>
      </c>
    </row>
    <row r="21" spans="1:1" ht="30">
      <c r="A21" s="12" t="s">
        <v>70</v>
      </c>
    </row>
    <row r="22" spans="1:1">
      <c r="A22" s="12"/>
    </row>
    <row r="23" spans="1:1" ht="18.75">
      <c r="A23" s="26" t="s">
        <v>82</v>
      </c>
    </row>
    <row r="24" spans="1:1" ht="45">
      <c r="A24" s="12" t="s">
        <v>71</v>
      </c>
    </row>
    <row r="25" spans="1:1" ht="45">
      <c r="A25" s="12" t="s">
        <v>72</v>
      </c>
    </row>
    <row r="26" spans="1:1" ht="45">
      <c r="A26" s="12" t="s">
        <v>73</v>
      </c>
    </row>
    <row r="27" spans="1:1" ht="30">
      <c r="A27" s="12" t="s">
        <v>92</v>
      </c>
    </row>
    <row r="28" spans="1:1" ht="45">
      <c r="A28" s="12" t="s">
        <v>74</v>
      </c>
    </row>
    <row r="29" spans="1:1" ht="45">
      <c r="A29" s="12" t="s">
        <v>93</v>
      </c>
    </row>
    <row r="30" spans="1:1" ht="30">
      <c r="A30" s="12" t="s">
        <v>75</v>
      </c>
    </row>
    <row r="31" spans="1:1">
      <c r="A31" s="12" t="s">
        <v>76</v>
      </c>
    </row>
    <row r="32" spans="1:1">
      <c r="A32" s="12" t="s">
        <v>77</v>
      </c>
    </row>
    <row r="33" spans="1:1" ht="45">
      <c r="A33" s="12" t="s">
        <v>78</v>
      </c>
    </row>
    <row r="34" spans="1:1" ht="30">
      <c r="A34" s="12" t="s">
        <v>85</v>
      </c>
    </row>
    <row r="35" spans="1:1">
      <c r="A35" s="12"/>
    </row>
    <row r="36" spans="1:1" ht="18.75">
      <c r="A36" s="24" t="s">
        <v>86</v>
      </c>
    </row>
    <row r="37" spans="1:1">
      <c r="A37" s="12" t="s">
        <v>79</v>
      </c>
    </row>
    <row r="38" spans="1:1">
      <c r="A38" s="12" t="s">
        <v>80</v>
      </c>
    </row>
    <row r="39" spans="1:1" ht="30">
      <c r="A39" s="12" t="s">
        <v>94</v>
      </c>
    </row>
    <row r="40" spans="1:1">
      <c r="A40" s="12"/>
    </row>
    <row r="41" spans="1:1">
      <c r="A41" s="12"/>
    </row>
    <row r="42" spans="1:1">
      <c r="A42" s="12"/>
    </row>
    <row r="43" spans="1:1">
      <c r="A43"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A76"/>
  <sheetViews>
    <sheetView tabSelected="1" zoomScale="90" zoomScaleNormal="90" workbookViewId="0">
      <pane xSplit="1" ySplit="2" topLeftCell="B3" activePane="bottomRight" state="frozen"/>
      <selection pane="topRight" activeCell="B1" sqref="B1"/>
      <selection pane="bottomLeft" activeCell="A2" sqref="A2"/>
      <selection pane="bottomRight" activeCell="A10" sqref="A10:D10"/>
    </sheetView>
  </sheetViews>
  <sheetFormatPr defaultRowHeight="15"/>
  <cols>
    <col min="1" max="1" width="77.7109375" customWidth="1"/>
    <col min="2" max="2" width="12.42578125" customWidth="1"/>
  </cols>
  <sheetData>
    <row r="1" spans="1:27" ht="37.5" customHeight="1">
      <c r="A1" s="169" t="s">
        <v>84</v>
      </c>
      <c r="B1" s="170"/>
      <c r="C1" s="170"/>
      <c r="D1" s="170"/>
      <c r="E1" s="170"/>
      <c r="F1" s="170"/>
      <c r="G1" s="47"/>
      <c r="H1" s="47"/>
      <c r="I1" s="47"/>
      <c r="J1" s="47"/>
      <c r="K1" s="47"/>
      <c r="L1" s="47"/>
      <c r="M1" s="47"/>
      <c r="N1" s="47"/>
      <c r="O1" s="47"/>
      <c r="P1" s="47"/>
      <c r="Q1" s="47"/>
      <c r="R1" s="47"/>
      <c r="S1" s="47"/>
      <c r="T1" s="47"/>
      <c r="U1" s="47"/>
      <c r="V1" s="47"/>
      <c r="W1" s="47"/>
      <c r="X1" s="47"/>
      <c r="Y1" s="47"/>
      <c r="Z1" s="47"/>
    </row>
    <row r="2" spans="1:27" ht="38.25" customHeight="1" thickBot="1">
      <c r="A2" s="149" t="s">
        <v>38</v>
      </c>
      <c r="B2" s="149"/>
      <c r="C2" s="149"/>
      <c r="D2" s="149"/>
    </row>
    <row r="3" spans="1:27" ht="15.75" thickBot="1">
      <c r="A3" s="71" t="s">
        <v>0</v>
      </c>
      <c r="B3" s="72" t="s">
        <v>2</v>
      </c>
      <c r="C3" s="81">
        <v>1</v>
      </c>
      <c r="D3" s="82">
        <f>C3+1</f>
        <v>2</v>
      </c>
      <c r="E3" s="82">
        <f t="shared" ref="E3:Z3" si="0">D3+1</f>
        <v>3</v>
      </c>
      <c r="F3" s="82">
        <f t="shared" si="0"/>
        <v>4</v>
      </c>
      <c r="G3" s="82">
        <f t="shared" si="0"/>
        <v>5</v>
      </c>
      <c r="H3" s="82">
        <f t="shared" si="0"/>
        <v>6</v>
      </c>
      <c r="I3" s="82">
        <f t="shared" si="0"/>
        <v>7</v>
      </c>
      <c r="J3" s="82">
        <f t="shared" si="0"/>
        <v>8</v>
      </c>
      <c r="K3" s="82">
        <f t="shared" si="0"/>
        <v>9</v>
      </c>
      <c r="L3" s="82">
        <f t="shared" si="0"/>
        <v>10</v>
      </c>
      <c r="M3" s="82">
        <f t="shared" si="0"/>
        <v>11</v>
      </c>
      <c r="N3" s="82">
        <f t="shared" si="0"/>
        <v>12</v>
      </c>
      <c r="O3" s="82">
        <f t="shared" si="0"/>
        <v>13</v>
      </c>
      <c r="P3" s="83">
        <f t="shared" si="0"/>
        <v>14</v>
      </c>
      <c r="Q3" s="83">
        <f t="shared" si="0"/>
        <v>15</v>
      </c>
      <c r="R3" s="83">
        <f t="shared" si="0"/>
        <v>16</v>
      </c>
      <c r="S3" s="82">
        <f t="shared" si="0"/>
        <v>17</v>
      </c>
      <c r="T3" s="82">
        <f t="shared" si="0"/>
        <v>18</v>
      </c>
      <c r="U3" s="82">
        <f t="shared" si="0"/>
        <v>19</v>
      </c>
      <c r="V3" s="82">
        <f t="shared" si="0"/>
        <v>20</v>
      </c>
      <c r="W3" s="82">
        <f t="shared" si="0"/>
        <v>21</v>
      </c>
      <c r="X3" s="82">
        <f t="shared" si="0"/>
        <v>22</v>
      </c>
      <c r="Y3" s="82">
        <f t="shared" si="0"/>
        <v>23</v>
      </c>
      <c r="Z3" s="84">
        <f t="shared" si="0"/>
        <v>24</v>
      </c>
    </row>
    <row r="4" spans="1:27">
      <c r="A4" s="66" t="s">
        <v>1</v>
      </c>
      <c r="B4" s="67">
        <f>SUM(C4:Z4)</f>
        <v>120000</v>
      </c>
      <c r="C4" s="77">
        <v>5000</v>
      </c>
      <c r="D4" s="78">
        <v>4500</v>
      </c>
      <c r="E4" s="78">
        <v>4700</v>
      </c>
      <c r="F4" s="78">
        <v>4650</v>
      </c>
      <c r="G4" s="78">
        <v>5500</v>
      </c>
      <c r="H4" s="78">
        <v>5300</v>
      </c>
      <c r="I4" s="78">
        <v>5350</v>
      </c>
      <c r="J4" s="78">
        <v>4500</v>
      </c>
      <c r="K4" s="78">
        <v>4700</v>
      </c>
      <c r="L4" s="78">
        <v>4650</v>
      </c>
      <c r="M4" s="78">
        <v>5500</v>
      </c>
      <c r="N4" s="78">
        <v>5300</v>
      </c>
      <c r="O4" s="78">
        <v>5350</v>
      </c>
      <c r="P4" s="79">
        <v>4500</v>
      </c>
      <c r="Q4" s="79">
        <v>4700</v>
      </c>
      <c r="R4" s="79">
        <v>4650</v>
      </c>
      <c r="S4" s="78">
        <v>5500</v>
      </c>
      <c r="T4" s="78">
        <v>4500</v>
      </c>
      <c r="U4" s="78">
        <v>4700</v>
      </c>
      <c r="V4" s="78">
        <v>4650</v>
      </c>
      <c r="W4" s="78">
        <v>5500</v>
      </c>
      <c r="X4" s="78">
        <v>5650</v>
      </c>
      <c r="Y4" s="78">
        <v>5650</v>
      </c>
      <c r="Z4" s="80">
        <v>5000</v>
      </c>
      <c r="AA4" s="1"/>
    </row>
    <row r="5" spans="1:27">
      <c r="A5" s="40" t="s">
        <v>39</v>
      </c>
      <c r="B5" s="46">
        <f>SUM(C5:Z5)</f>
        <v>1680000</v>
      </c>
      <c r="C5" s="44">
        <v>70000</v>
      </c>
      <c r="D5" s="16">
        <f>($C$5/$C$4)*D4</f>
        <v>63000</v>
      </c>
      <c r="E5" s="16">
        <f t="shared" ref="E5:Z5" si="1">($C$5/$C$4)*E4</f>
        <v>65800</v>
      </c>
      <c r="F5" s="16">
        <f t="shared" si="1"/>
        <v>65100</v>
      </c>
      <c r="G5" s="16">
        <f t="shared" si="1"/>
        <v>77000</v>
      </c>
      <c r="H5" s="16">
        <f t="shared" si="1"/>
        <v>74200</v>
      </c>
      <c r="I5" s="16">
        <f t="shared" si="1"/>
        <v>74900</v>
      </c>
      <c r="J5" s="16">
        <f t="shared" si="1"/>
        <v>63000</v>
      </c>
      <c r="K5" s="16">
        <f t="shared" si="1"/>
        <v>65800</v>
      </c>
      <c r="L5" s="16">
        <f t="shared" si="1"/>
        <v>65100</v>
      </c>
      <c r="M5" s="16">
        <f t="shared" si="1"/>
        <v>77000</v>
      </c>
      <c r="N5" s="16">
        <f t="shared" si="1"/>
        <v>74200</v>
      </c>
      <c r="O5" s="16">
        <f t="shared" si="1"/>
        <v>74900</v>
      </c>
      <c r="P5" s="27">
        <f>($C$5/$C$4)*P4</f>
        <v>63000</v>
      </c>
      <c r="Q5" s="27">
        <f t="shared" si="1"/>
        <v>65800</v>
      </c>
      <c r="R5" s="27">
        <f t="shared" si="1"/>
        <v>65100</v>
      </c>
      <c r="S5" s="16">
        <f t="shared" si="1"/>
        <v>77000</v>
      </c>
      <c r="T5" s="16">
        <f t="shared" si="1"/>
        <v>63000</v>
      </c>
      <c r="U5" s="16">
        <f t="shared" si="1"/>
        <v>65800</v>
      </c>
      <c r="V5" s="16">
        <f t="shared" si="1"/>
        <v>65100</v>
      </c>
      <c r="W5" s="16">
        <f t="shared" si="1"/>
        <v>77000</v>
      </c>
      <c r="X5" s="16">
        <f t="shared" si="1"/>
        <v>79100</v>
      </c>
      <c r="Y5" s="16">
        <f t="shared" si="1"/>
        <v>79100</v>
      </c>
      <c r="Z5" s="38">
        <f t="shared" si="1"/>
        <v>70000</v>
      </c>
      <c r="AA5" s="1"/>
    </row>
    <row r="6" spans="1:27">
      <c r="A6" s="40" t="s">
        <v>40</v>
      </c>
      <c r="B6" s="46">
        <f>SUM(C6:Z6)</f>
        <v>3600000</v>
      </c>
      <c r="C6" s="44">
        <v>150000</v>
      </c>
      <c r="D6" s="16">
        <f>($C$6/$C$4)*D4</f>
        <v>135000</v>
      </c>
      <c r="E6" s="16">
        <f t="shared" ref="E6:Z6" si="2">($C$6/$C$4)*E4</f>
        <v>141000</v>
      </c>
      <c r="F6" s="16">
        <f t="shared" si="2"/>
        <v>139500</v>
      </c>
      <c r="G6" s="16">
        <f t="shared" si="2"/>
        <v>165000</v>
      </c>
      <c r="H6" s="16">
        <f t="shared" si="2"/>
        <v>159000</v>
      </c>
      <c r="I6" s="16">
        <f t="shared" si="2"/>
        <v>160500</v>
      </c>
      <c r="J6" s="16">
        <f t="shared" si="2"/>
        <v>135000</v>
      </c>
      <c r="K6" s="16">
        <f t="shared" si="2"/>
        <v>141000</v>
      </c>
      <c r="L6" s="16">
        <f t="shared" si="2"/>
        <v>139500</v>
      </c>
      <c r="M6" s="16">
        <f t="shared" si="2"/>
        <v>165000</v>
      </c>
      <c r="N6" s="16">
        <f t="shared" si="2"/>
        <v>159000</v>
      </c>
      <c r="O6" s="16">
        <f t="shared" si="2"/>
        <v>160500</v>
      </c>
      <c r="P6" s="27">
        <f t="shared" si="2"/>
        <v>135000</v>
      </c>
      <c r="Q6" s="27">
        <f t="shared" si="2"/>
        <v>141000</v>
      </c>
      <c r="R6" s="27">
        <f t="shared" si="2"/>
        <v>139500</v>
      </c>
      <c r="S6" s="16">
        <f t="shared" si="2"/>
        <v>165000</v>
      </c>
      <c r="T6" s="16">
        <f t="shared" si="2"/>
        <v>135000</v>
      </c>
      <c r="U6" s="16">
        <f t="shared" si="2"/>
        <v>141000</v>
      </c>
      <c r="V6" s="16">
        <f t="shared" si="2"/>
        <v>139500</v>
      </c>
      <c r="W6" s="16">
        <f t="shared" si="2"/>
        <v>165000</v>
      </c>
      <c r="X6" s="16">
        <f t="shared" si="2"/>
        <v>169500</v>
      </c>
      <c r="Y6" s="16">
        <f t="shared" si="2"/>
        <v>169500</v>
      </c>
      <c r="Z6" s="38">
        <f t="shared" si="2"/>
        <v>150000</v>
      </c>
      <c r="AA6" s="1"/>
    </row>
    <row r="7" spans="1:27">
      <c r="A7" s="40" t="s">
        <v>41</v>
      </c>
      <c r="B7" s="171"/>
      <c r="C7" s="143"/>
      <c r="D7" s="143"/>
      <c r="E7" s="143"/>
      <c r="F7" s="143"/>
      <c r="G7" s="143"/>
      <c r="H7" s="143"/>
      <c r="I7" s="143"/>
      <c r="J7" s="143"/>
      <c r="K7" s="143"/>
      <c r="L7" s="143"/>
      <c r="M7" s="143"/>
      <c r="N7" s="143"/>
      <c r="O7" s="172"/>
      <c r="P7" s="53">
        <f>P5*2.6</f>
        <v>163800</v>
      </c>
      <c r="Q7" s="53">
        <f t="shared" ref="Q7:R7" si="3">Q5*2.6</f>
        <v>171080</v>
      </c>
      <c r="R7" s="53">
        <f t="shared" si="3"/>
        <v>169260</v>
      </c>
      <c r="S7" s="142"/>
      <c r="T7" s="143"/>
      <c r="U7" s="143"/>
      <c r="V7" s="143"/>
      <c r="W7" s="143"/>
      <c r="X7" s="143"/>
      <c r="Y7" s="143"/>
      <c r="Z7" s="144"/>
      <c r="AA7" s="1"/>
    </row>
    <row r="8" spans="1:27" ht="15.75" thickBot="1">
      <c r="A8" s="41" t="s">
        <v>42</v>
      </c>
      <c r="B8" s="173"/>
      <c r="C8" s="146"/>
      <c r="D8" s="146"/>
      <c r="E8" s="146"/>
      <c r="F8" s="146"/>
      <c r="G8" s="146"/>
      <c r="H8" s="146"/>
      <c r="I8" s="146"/>
      <c r="J8" s="146"/>
      <c r="K8" s="146"/>
      <c r="L8" s="146"/>
      <c r="M8" s="146"/>
      <c r="N8" s="146"/>
      <c r="O8" s="174"/>
      <c r="P8" s="28">
        <f>P6/0.8</f>
        <v>168750</v>
      </c>
      <c r="Q8" s="28">
        <f t="shared" ref="Q8:R8" si="4">Q6/0.8</f>
        <v>176250</v>
      </c>
      <c r="R8" s="28">
        <f t="shared" si="4"/>
        <v>174375</v>
      </c>
      <c r="S8" s="145"/>
      <c r="T8" s="146"/>
      <c r="U8" s="146"/>
      <c r="V8" s="146"/>
      <c r="W8" s="146"/>
      <c r="X8" s="146"/>
      <c r="Y8" s="146"/>
      <c r="Z8" s="147"/>
      <c r="AA8" s="1"/>
    </row>
    <row r="9" spans="1:27">
      <c r="B9" s="1"/>
      <c r="C9" s="1"/>
      <c r="D9" s="1"/>
      <c r="E9" s="1"/>
      <c r="F9" s="1"/>
      <c r="G9" s="1"/>
      <c r="H9" s="1"/>
      <c r="I9" s="1"/>
      <c r="J9" s="1"/>
      <c r="K9" s="1"/>
      <c r="L9" s="1"/>
      <c r="M9" s="1"/>
      <c r="N9" s="1"/>
      <c r="O9" s="1"/>
      <c r="P9" s="4"/>
      <c r="Q9" s="4"/>
      <c r="R9" s="4"/>
      <c r="S9" s="1"/>
      <c r="T9" s="1"/>
      <c r="U9" s="1"/>
      <c r="V9" s="1"/>
      <c r="W9" s="1"/>
      <c r="X9" s="1"/>
      <c r="Y9" s="1"/>
      <c r="Z9" s="1"/>
      <c r="AA9" s="1"/>
    </row>
    <row r="10" spans="1:27" ht="38.25" customHeight="1" thickBot="1">
      <c r="A10" s="148" t="s">
        <v>45</v>
      </c>
      <c r="B10" s="149"/>
      <c r="C10" s="149"/>
      <c r="D10" s="149"/>
    </row>
    <row r="11" spans="1:27" ht="15.75" thickBot="1">
      <c r="A11" s="71" t="s">
        <v>0</v>
      </c>
      <c r="B11" s="72" t="s">
        <v>2</v>
      </c>
      <c r="C11" s="73">
        <v>1</v>
      </c>
      <c r="D11" s="74">
        <f>C11+1</f>
        <v>2</v>
      </c>
      <c r="E11" s="74">
        <f t="shared" ref="E11" si="5">D11+1</f>
        <v>3</v>
      </c>
      <c r="F11" s="74">
        <f t="shared" ref="F11" si="6">E11+1</f>
        <v>4</v>
      </c>
      <c r="G11" s="74">
        <f t="shared" ref="G11" si="7">F11+1</f>
        <v>5</v>
      </c>
      <c r="H11" s="74">
        <f t="shared" ref="H11" si="8">G11+1</f>
        <v>6</v>
      </c>
      <c r="I11" s="74">
        <f t="shared" ref="I11" si="9">H11+1</f>
        <v>7</v>
      </c>
      <c r="J11" s="74">
        <f t="shared" ref="J11" si="10">I11+1</f>
        <v>8</v>
      </c>
      <c r="K11" s="74">
        <f t="shared" ref="K11" si="11">J11+1</f>
        <v>9</v>
      </c>
      <c r="L11" s="74">
        <f t="shared" ref="L11" si="12">K11+1</f>
        <v>10</v>
      </c>
      <c r="M11" s="74">
        <f t="shared" ref="M11" si="13">L11+1</f>
        <v>11</v>
      </c>
      <c r="N11" s="74">
        <f t="shared" ref="N11" si="14">M11+1</f>
        <v>12</v>
      </c>
      <c r="O11" s="74">
        <f t="shared" ref="O11" si="15">N11+1</f>
        <v>13</v>
      </c>
      <c r="P11" s="75">
        <f t="shared" ref="P11" si="16">O11+1</f>
        <v>14</v>
      </c>
      <c r="Q11" s="75">
        <f t="shared" ref="Q11" si="17">P11+1</f>
        <v>15</v>
      </c>
      <c r="R11" s="75">
        <f t="shared" ref="R11" si="18">Q11+1</f>
        <v>16</v>
      </c>
      <c r="S11" s="74">
        <f t="shared" ref="S11" si="19">R11+1</f>
        <v>17</v>
      </c>
      <c r="T11" s="74">
        <f t="shared" ref="T11" si="20">S11+1</f>
        <v>18</v>
      </c>
      <c r="U11" s="74">
        <f t="shared" ref="U11" si="21">T11+1</f>
        <v>19</v>
      </c>
      <c r="V11" s="74">
        <f t="shared" ref="V11" si="22">U11+1</f>
        <v>20</v>
      </c>
      <c r="W11" s="74">
        <f t="shared" ref="W11" si="23">V11+1</f>
        <v>21</v>
      </c>
      <c r="X11" s="74">
        <f t="shared" ref="X11" si="24">W11+1</f>
        <v>22</v>
      </c>
      <c r="Y11" s="74">
        <f t="shared" ref="Y11" si="25">X11+1</f>
        <v>23</v>
      </c>
      <c r="Z11" s="76">
        <f t="shared" ref="Z11" si="26">Y11+1</f>
        <v>24</v>
      </c>
    </row>
    <row r="12" spans="1:27">
      <c r="A12" s="66" t="s">
        <v>3</v>
      </c>
      <c r="B12" s="67">
        <f>SUM(C12:Z12)</f>
        <v>6631047.4776425147</v>
      </c>
      <c r="C12" s="68">
        <f>(C13+C14)/C15</f>
        <v>316540.56800858228</v>
      </c>
      <c r="D12" s="69">
        <f t="shared" ref="D12:Z12" si="27">(D13+D14)/D15</f>
        <v>314494.82720669161</v>
      </c>
      <c r="E12" s="69">
        <f t="shared" si="27"/>
        <v>311526.00688119815</v>
      </c>
      <c r="F12" s="69">
        <f t="shared" si="27"/>
        <v>298862.53294492996</v>
      </c>
      <c r="G12" s="69">
        <f t="shared" si="27"/>
        <v>335071.2197370127</v>
      </c>
      <c r="H12" s="69">
        <f t="shared" si="27"/>
        <v>341566.77867495856</v>
      </c>
      <c r="I12" s="69">
        <f t="shared" si="27"/>
        <v>304361.56763590389</v>
      </c>
      <c r="J12" s="69">
        <f t="shared" si="27"/>
        <v>257306.22617534941</v>
      </c>
      <c r="K12" s="69">
        <f t="shared" si="27"/>
        <v>286764.70588235295</v>
      </c>
      <c r="L12" s="69">
        <f t="shared" si="27"/>
        <v>297668.03840877913</v>
      </c>
      <c r="M12" s="69">
        <f t="shared" si="27"/>
        <v>314229.09643050155</v>
      </c>
      <c r="N12" s="69">
        <f t="shared" si="27"/>
        <v>313843.22332187666</v>
      </c>
      <c r="O12" s="69">
        <f t="shared" si="27"/>
        <v>305520.30456852791</v>
      </c>
      <c r="P12" s="156" t="s">
        <v>46</v>
      </c>
      <c r="Q12" s="157"/>
      <c r="R12" s="157"/>
      <c r="S12" s="69">
        <f t="shared" si="27"/>
        <v>368866.76417791378</v>
      </c>
      <c r="T12" s="69">
        <f t="shared" si="27"/>
        <v>278156.59185912064</v>
      </c>
      <c r="U12" s="69">
        <f t="shared" si="27"/>
        <v>280320.08892942651</v>
      </c>
      <c r="V12" s="69">
        <f t="shared" si="27"/>
        <v>300749.43535692286</v>
      </c>
      <c r="W12" s="69">
        <f t="shared" si="27"/>
        <v>344509.61913427786</v>
      </c>
      <c r="X12" s="69">
        <f t="shared" si="27"/>
        <v>381128.82340589346</v>
      </c>
      <c r="Y12" s="69">
        <f t="shared" si="27"/>
        <v>355300.92006415129</v>
      </c>
      <c r="Z12" s="70">
        <f t="shared" si="27"/>
        <v>324260.13883814396</v>
      </c>
      <c r="AA12" s="1"/>
    </row>
    <row r="13" spans="1:27">
      <c r="A13" s="40" t="s">
        <v>4</v>
      </c>
      <c r="B13" s="46">
        <f>SUM(C13:Z13)</f>
        <v>1809103.1201146939</v>
      </c>
      <c r="C13" s="54">
        <f>C14/C16</f>
        <v>75376.884422110554</v>
      </c>
      <c r="D13" s="18">
        <f t="shared" ref="D13:Z13" si="28">D14/D16</f>
        <v>87662.337662337653</v>
      </c>
      <c r="E13" s="18">
        <f t="shared" si="28"/>
        <v>87037.037037037036</v>
      </c>
      <c r="F13" s="18">
        <f t="shared" si="28"/>
        <v>78370.786516853928</v>
      </c>
      <c r="G13" s="18">
        <f t="shared" si="28"/>
        <v>90659.340659340654</v>
      </c>
      <c r="H13" s="18">
        <f t="shared" si="28"/>
        <v>101273.88535031847</v>
      </c>
      <c r="I13" s="18">
        <f t="shared" si="28"/>
        <v>80250</v>
      </c>
      <c r="J13" s="18">
        <f t="shared" si="28"/>
        <v>67500</v>
      </c>
      <c r="K13" s="18">
        <f t="shared" si="28"/>
        <v>88125</v>
      </c>
      <c r="L13" s="18">
        <f t="shared" si="28"/>
        <v>77500</v>
      </c>
      <c r="M13" s="18">
        <f t="shared" si="28"/>
        <v>84183.673469387752</v>
      </c>
      <c r="N13" s="18">
        <f t="shared" si="28"/>
        <v>85483.870967741925</v>
      </c>
      <c r="O13" s="18">
        <f t="shared" si="28"/>
        <v>81472.081218274107</v>
      </c>
      <c r="P13" s="158"/>
      <c r="Q13" s="158"/>
      <c r="R13" s="158"/>
      <c r="S13" s="18">
        <f t="shared" si="28"/>
        <v>97633.136094674555</v>
      </c>
      <c r="T13" s="18">
        <f t="shared" si="28"/>
        <v>75842.696629213475</v>
      </c>
      <c r="U13" s="18">
        <f t="shared" si="28"/>
        <v>78770.949720670396</v>
      </c>
      <c r="V13" s="18">
        <f t="shared" si="28"/>
        <v>91776.31578947368</v>
      </c>
      <c r="W13" s="18">
        <f t="shared" si="28"/>
        <v>105095.54140127388</v>
      </c>
      <c r="X13" s="18">
        <f t="shared" si="28"/>
        <v>107961.78343949043</v>
      </c>
      <c r="Y13" s="18">
        <f t="shared" si="28"/>
        <v>85606.060606060608</v>
      </c>
      <c r="Z13" s="49">
        <f t="shared" si="28"/>
        <v>81521.739130434784</v>
      </c>
      <c r="AA13" s="1"/>
    </row>
    <row r="14" spans="1:27">
      <c r="A14" s="40" t="s">
        <v>5</v>
      </c>
      <c r="B14" s="46">
        <f>SUM(C14:Z14)</f>
        <v>3184500</v>
      </c>
      <c r="C14" s="54">
        <f>C6</f>
        <v>150000</v>
      </c>
      <c r="D14" s="18">
        <f t="shared" ref="D14:Z14" si="29">D6</f>
        <v>135000</v>
      </c>
      <c r="E14" s="18">
        <f t="shared" si="29"/>
        <v>141000</v>
      </c>
      <c r="F14" s="18">
        <f t="shared" si="29"/>
        <v>139500</v>
      </c>
      <c r="G14" s="18">
        <f t="shared" si="29"/>
        <v>165000</v>
      </c>
      <c r="H14" s="18">
        <f t="shared" si="29"/>
        <v>159000</v>
      </c>
      <c r="I14" s="18">
        <f t="shared" si="29"/>
        <v>160500</v>
      </c>
      <c r="J14" s="18">
        <f t="shared" si="29"/>
        <v>135000</v>
      </c>
      <c r="K14" s="18">
        <f t="shared" si="29"/>
        <v>141000</v>
      </c>
      <c r="L14" s="18">
        <f t="shared" si="29"/>
        <v>139500</v>
      </c>
      <c r="M14" s="18">
        <f t="shared" si="29"/>
        <v>165000</v>
      </c>
      <c r="N14" s="18">
        <f t="shared" si="29"/>
        <v>159000</v>
      </c>
      <c r="O14" s="18">
        <f t="shared" si="29"/>
        <v>160500</v>
      </c>
      <c r="P14" s="158"/>
      <c r="Q14" s="158"/>
      <c r="R14" s="158"/>
      <c r="S14" s="18">
        <f t="shared" si="29"/>
        <v>165000</v>
      </c>
      <c r="T14" s="18">
        <f t="shared" si="29"/>
        <v>135000</v>
      </c>
      <c r="U14" s="18">
        <f t="shared" si="29"/>
        <v>141000</v>
      </c>
      <c r="V14" s="18">
        <f t="shared" si="29"/>
        <v>139500</v>
      </c>
      <c r="W14" s="18">
        <f t="shared" si="29"/>
        <v>165000</v>
      </c>
      <c r="X14" s="18">
        <f t="shared" si="29"/>
        <v>169500</v>
      </c>
      <c r="Y14" s="18">
        <f t="shared" si="29"/>
        <v>169500</v>
      </c>
      <c r="Z14" s="49">
        <f t="shared" si="29"/>
        <v>150000</v>
      </c>
      <c r="AA14" s="1"/>
    </row>
    <row r="15" spans="1:27">
      <c r="A15" s="40" t="s">
        <v>6</v>
      </c>
      <c r="B15" s="57">
        <f>SUM(C15:Z15)</f>
        <v>15.843000000000002</v>
      </c>
      <c r="C15" s="55">
        <v>0.71199999999999997</v>
      </c>
      <c r="D15" s="19">
        <v>0.70799999999999996</v>
      </c>
      <c r="E15" s="19">
        <v>0.73199999999999998</v>
      </c>
      <c r="F15" s="19">
        <v>0.72899999999999998</v>
      </c>
      <c r="G15" s="19">
        <v>0.76300000000000001</v>
      </c>
      <c r="H15" s="19">
        <v>0.76200000000000001</v>
      </c>
      <c r="I15" s="19">
        <v>0.79100000000000004</v>
      </c>
      <c r="J15" s="19">
        <v>0.78700000000000003</v>
      </c>
      <c r="K15" s="19">
        <v>0.79900000000000004</v>
      </c>
      <c r="L15" s="19">
        <v>0.72899999999999998</v>
      </c>
      <c r="M15" s="19">
        <v>0.79300000000000004</v>
      </c>
      <c r="N15" s="19">
        <v>0.77900000000000003</v>
      </c>
      <c r="O15" s="19">
        <v>0.79200000000000004</v>
      </c>
      <c r="P15" s="158"/>
      <c r="Q15" s="158"/>
      <c r="R15" s="158"/>
      <c r="S15" s="19">
        <v>0.71199999999999997</v>
      </c>
      <c r="T15" s="19">
        <v>0.75800000000000001</v>
      </c>
      <c r="U15" s="19">
        <v>0.78400000000000003</v>
      </c>
      <c r="V15" s="19">
        <v>0.76900000000000002</v>
      </c>
      <c r="W15" s="19">
        <v>0.78400000000000003</v>
      </c>
      <c r="X15" s="19">
        <v>0.72799999999999998</v>
      </c>
      <c r="Y15" s="19">
        <v>0.71799999999999997</v>
      </c>
      <c r="Z15" s="50">
        <v>0.71399999999999997</v>
      </c>
    </row>
    <row r="16" spans="1:27" ht="15.75" thickBot="1">
      <c r="A16" s="41" t="s">
        <v>20</v>
      </c>
      <c r="B16" s="58"/>
      <c r="C16" s="56">
        <v>1.99</v>
      </c>
      <c r="D16" s="51">
        <v>1.54</v>
      </c>
      <c r="E16" s="51">
        <v>1.62</v>
      </c>
      <c r="F16" s="51">
        <v>1.78</v>
      </c>
      <c r="G16" s="51">
        <v>1.82</v>
      </c>
      <c r="H16" s="51">
        <v>1.57</v>
      </c>
      <c r="I16" s="51">
        <v>2</v>
      </c>
      <c r="J16" s="51">
        <v>2</v>
      </c>
      <c r="K16" s="51">
        <v>1.6</v>
      </c>
      <c r="L16" s="51">
        <v>1.8</v>
      </c>
      <c r="M16" s="51">
        <v>1.96</v>
      </c>
      <c r="N16" s="51">
        <v>1.86</v>
      </c>
      <c r="O16" s="51">
        <v>1.97</v>
      </c>
      <c r="P16" s="159"/>
      <c r="Q16" s="159"/>
      <c r="R16" s="159"/>
      <c r="S16" s="51">
        <v>1.69</v>
      </c>
      <c r="T16" s="51">
        <v>1.78</v>
      </c>
      <c r="U16" s="51">
        <v>1.79</v>
      </c>
      <c r="V16" s="51">
        <v>1.52</v>
      </c>
      <c r="W16" s="51">
        <v>1.57</v>
      </c>
      <c r="X16" s="51">
        <v>1.57</v>
      </c>
      <c r="Y16" s="51">
        <v>1.98</v>
      </c>
      <c r="Z16" s="52">
        <v>1.84</v>
      </c>
    </row>
    <row r="17" spans="1:27">
      <c r="B17" s="2"/>
      <c r="C17" s="8"/>
      <c r="D17" s="8"/>
      <c r="E17" s="8"/>
      <c r="F17" s="8"/>
      <c r="G17" s="8"/>
      <c r="H17" s="8"/>
      <c r="I17" s="8"/>
      <c r="J17" s="8"/>
      <c r="K17" s="8"/>
      <c r="L17" s="8"/>
      <c r="M17" s="8"/>
      <c r="N17" s="8"/>
      <c r="O17" s="8"/>
      <c r="P17" s="5"/>
      <c r="Q17" s="5"/>
      <c r="R17" s="5"/>
      <c r="S17" s="8"/>
      <c r="T17" s="8"/>
      <c r="U17" s="8"/>
      <c r="V17" s="8"/>
      <c r="W17" s="8"/>
      <c r="X17" s="8"/>
      <c r="Y17" s="8"/>
      <c r="Z17" s="8"/>
    </row>
    <row r="18" spans="1:27" ht="19.5" thickBot="1">
      <c r="A18" s="59" t="s">
        <v>13</v>
      </c>
      <c r="B18" s="60"/>
      <c r="C18" s="6"/>
      <c r="D18" s="6"/>
      <c r="E18" s="6"/>
      <c r="F18" s="6"/>
      <c r="G18" s="6"/>
      <c r="H18" s="6"/>
      <c r="I18" s="6"/>
      <c r="J18" s="6"/>
      <c r="K18" s="6"/>
      <c r="L18" s="6"/>
      <c r="M18" s="6"/>
      <c r="N18" s="6"/>
      <c r="O18" s="6"/>
      <c r="P18" s="6"/>
      <c r="Q18" s="6"/>
      <c r="R18" s="6"/>
      <c r="S18" s="6"/>
      <c r="T18" s="6"/>
      <c r="U18" s="6"/>
      <c r="V18" s="6"/>
      <c r="W18" s="6"/>
      <c r="X18" s="6"/>
      <c r="Y18" s="6"/>
      <c r="Z18" s="6"/>
      <c r="AA18" s="6"/>
    </row>
    <row r="19" spans="1:27" ht="15.75" thickBot="1">
      <c r="A19" s="71" t="s">
        <v>0</v>
      </c>
      <c r="B19" s="96" t="s">
        <v>2</v>
      </c>
      <c r="C19" s="92">
        <v>1</v>
      </c>
      <c r="D19" s="87">
        <f>C19+1</f>
        <v>2</v>
      </c>
      <c r="E19" s="87">
        <f t="shared" ref="E19" si="30">D19+1</f>
        <v>3</v>
      </c>
      <c r="F19" s="87">
        <f t="shared" ref="F19" si="31">E19+1</f>
        <v>4</v>
      </c>
      <c r="G19" s="87">
        <f t="shared" ref="G19" si="32">F19+1</f>
        <v>5</v>
      </c>
      <c r="H19" s="87">
        <f t="shared" ref="H19" si="33">G19+1</f>
        <v>6</v>
      </c>
      <c r="I19" s="87">
        <f t="shared" ref="I19" si="34">H19+1</f>
        <v>7</v>
      </c>
      <c r="J19" s="87">
        <f t="shared" ref="J19" si="35">I19+1</f>
        <v>8</v>
      </c>
      <c r="K19" s="87">
        <f t="shared" ref="K19" si="36">J19+1</f>
        <v>9</v>
      </c>
      <c r="L19" s="87">
        <f t="shared" ref="L19" si="37">K19+1</f>
        <v>10</v>
      </c>
      <c r="M19" s="87">
        <f t="shared" ref="M19" si="38">L19+1</f>
        <v>11</v>
      </c>
      <c r="N19" s="87">
        <f t="shared" ref="N19" si="39">M19+1</f>
        <v>12</v>
      </c>
      <c r="O19" s="87">
        <f t="shared" ref="O19" si="40">N19+1</f>
        <v>13</v>
      </c>
      <c r="P19" s="75">
        <f t="shared" ref="P19" si="41">O19+1</f>
        <v>14</v>
      </c>
      <c r="Q19" s="75">
        <f t="shared" ref="Q19" si="42">P19+1</f>
        <v>15</v>
      </c>
      <c r="R19" s="75">
        <f t="shared" ref="R19" si="43">Q19+1</f>
        <v>16</v>
      </c>
      <c r="S19" s="87">
        <f t="shared" ref="S19" si="44">R19+1</f>
        <v>17</v>
      </c>
      <c r="T19" s="87">
        <f t="shared" ref="T19" si="45">S19+1</f>
        <v>18</v>
      </c>
      <c r="U19" s="87">
        <f t="shared" ref="U19" si="46">T19+1</f>
        <v>19</v>
      </c>
      <c r="V19" s="87">
        <f t="shared" ref="V19" si="47">U19+1</f>
        <v>20</v>
      </c>
      <c r="W19" s="87">
        <f t="shared" ref="W19" si="48">V19+1</f>
        <v>21</v>
      </c>
      <c r="X19" s="87">
        <f t="shared" ref="X19" si="49">W19+1</f>
        <v>22</v>
      </c>
      <c r="Y19" s="87">
        <f t="shared" ref="Y19" si="50">X19+1</f>
        <v>23</v>
      </c>
      <c r="Z19" s="88">
        <f t="shared" ref="Z19" si="51">Y19+1</f>
        <v>24</v>
      </c>
    </row>
    <row r="20" spans="1:27" ht="15" customHeight="1">
      <c r="A20" s="89" t="s">
        <v>9</v>
      </c>
      <c r="B20" s="97">
        <f>SUM(C20:Z20)</f>
        <v>3525273.7511316505</v>
      </c>
      <c r="C20" s="93">
        <f>((2*C12)/((2*C13)+C14))*C13</f>
        <v>158666.951382748</v>
      </c>
      <c r="D20" s="85">
        <f t="shared" ref="D20:Z20" si="52">((2*D12)/((2*D13)+D14))*D13</f>
        <v>177680.69333711392</v>
      </c>
      <c r="E20" s="85">
        <f t="shared" si="52"/>
        <v>172113.81595646308</v>
      </c>
      <c r="F20" s="85">
        <f t="shared" si="52"/>
        <v>158128.32430948675</v>
      </c>
      <c r="G20" s="85">
        <f t="shared" si="52"/>
        <v>175429.95797749356</v>
      </c>
      <c r="H20" s="85">
        <f t="shared" si="52"/>
        <v>191353.93763303003</v>
      </c>
      <c r="I20" s="85">
        <f t="shared" si="52"/>
        <v>152180.78381795195</v>
      </c>
      <c r="J20" s="85">
        <f t="shared" si="52"/>
        <v>128653.1130876747</v>
      </c>
      <c r="K20" s="85">
        <f t="shared" si="52"/>
        <v>159313.72549019608</v>
      </c>
      <c r="L20" s="85">
        <f t="shared" si="52"/>
        <v>156667.38863619952</v>
      </c>
      <c r="M20" s="85">
        <f t="shared" si="52"/>
        <v>158701.56385378866</v>
      </c>
      <c r="N20" s="85">
        <f t="shared" si="52"/>
        <v>162613.06907869253</v>
      </c>
      <c r="O20" s="85">
        <f t="shared" si="52"/>
        <v>153914.5111176463</v>
      </c>
      <c r="P20" s="160" t="s">
        <v>46</v>
      </c>
      <c r="Q20" s="160"/>
      <c r="R20" s="160"/>
      <c r="S20" s="85">
        <f t="shared" si="52"/>
        <v>199927.78546228391</v>
      </c>
      <c r="T20" s="85">
        <f t="shared" si="52"/>
        <v>147172.79992546068</v>
      </c>
      <c r="U20" s="85">
        <f t="shared" si="52"/>
        <v>147926.16830048891</v>
      </c>
      <c r="V20" s="85">
        <f t="shared" si="52"/>
        <v>170880.36099825162</v>
      </c>
      <c r="W20" s="85">
        <f t="shared" si="52"/>
        <v>193002.58775029573</v>
      </c>
      <c r="X20" s="85">
        <f t="shared" si="52"/>
        <v>213517.54812655094</v>
      </c>
      <c r="Y20" s="85">
        <f t="shared" si="52"/>
        <v>178543.17591163382</v>
      </c>
      <c r="Z20" s="86">
        <f t="shared" si="52"/>
        <v>168885.48897819998</v>
      </c>
      <c r="AA20" s="6"/>
    </row>
    <row r="21" spans="1:27" ht="15" customHeight="1">
      <c r="A21" s="90" t="s">
        <v>10</v>
      </c>
      <c r="B21" s="98">
        <f>SUM(C21:Z21)</f>
        <v>3105773.7265108642</v>
      </c>
      <c r="C21" s="94">
        <f>((C12)/((2*C13)+C14))*C14</f>
        <v>157873.61662583426</v>
      </c>
      <c r="D21" s="20">
        <f t="shared" ref="D21:Z21" si="53">((D12)/((2*D13)+D14))*D14</f>
        <v>136814.13386957772</v>
      </c>
      <c r="E21" s="20">
        <f t="shared" si="53"/>
        <v>139412.1909247351</v>
      </c>
      <c r="F21" s="20">
        <f t="shared" si="53"/>
        <v>140734.20863544321</v>
      </c>
      <c r="G21" s="20">
        <f t="shared" si="53"/>
        <v>159641.26175951914</v>
      </c>
      <c r="H21" s="20">
        <f t="shared" si="53"/>
        <v>150212.84104192856</v>
      </c>
      <c r="I21" s="20">
        <f t="shared" si="53"/>
        <v>152180.78381795195</v>
      </c>
      <c r="J21" s="20">
        <f t="shared" si="53"/>
        <v>128653.1130876747</v>
      </c>
      <c r="K21" s="20">
        <f t="shared" si="53"/>
        <v>127450.98039215687</v>
      </c>
      <c r="L21" s="20">
        <f t="shared" si="53"/>
        <v>141000.64977257958</v>
      </c>
      <c r="M21" s="20">
        <f t="shared" si="53"/>
        <v>155527.5325767129</v>
      </c>
      <c r="N21" s="20">
        <f t="shared" si="53"/>
        <v>151230.15424318408</v>
      </c>
      <c r="O21" s="20">
        <f t="shared" si="53"/>
        <v>151605.79345088161</v>
      </c>
      <c r="P21" s="161"/>
      <c r="Q21" s="161"/>
      <c r="R21" s="161"/>
      <c r="S21" s="20">
        <f t="shared" si="53"/>
        <v>168938.9787156299</v>
      </c>
      <c r="T21" s="20">
        <f t="shared" si="53"/>
        <v>130983.79193366002</v>
      </c>
      <c r="U21" s="20">
        <f t="shared" si="53"/>
        <v>132393.92062893757</v>
      </c>
      <c r="V21" s="20">
        <f t="shared" si="53"/>
        <v>129869.07435867123</v>
      </c>
      <c r="W21" s="20">
        <f t="shared" si="53"/>
        <v>151507.03138398216</v>
      </c>
      <c r="X21" s="20">
        <f t="shared" si="53"/>
        <v>167611.27527934252</v>
      </c>
      <c r="Y21" s="20">
        <f t="shared" si="53"/>
        <v>176757.74415251749</v>
      </c>
      <c r="Z21" s="63">
        <f t="shared" si="53"/>
        <v>155374.64985994398</v>
      </c>
      <c r="AA21" s="6"/>
    </row>
    <row r="22" spans="1:27" ht="15" customHeight="1" thickBot="1">
      <c r="A22" s="91" t="s">
        <v>7</v>
      </c>
      <c r="B22" s="99">
        <f>SUM(C22:Z22)</f>
        <v>6631047.4776425147</v>
      </c>
      <c r="C22" s="95">
        <f>SUM(C20:C21)</f>
        <v>316540.56800858222</v>
      </c>
      <c r="D22" s="64">
        <f t="shared" ref="D22:Z22" si="54">SUM(D20:D21)</f>
        <v>314494.82720669161</v>
      </c>
      <c r="E22" s="64">
        <f t="shared" si="54"/>
        <v>311526.00688119815</v>
      </c>
      <c r="F22" s="64">
        <f t="shared" si="54"/>
        <v>298862.53294492996</v>
      </c>
      <c r="G22" s="64">
        <f t="shared" si="54"/>
        <v>335071.2197370127</v>
      </c>
      <c r="H22" s="64">
        <f t="shared" si="54"/>
        <v>341566.77867495862</v>
      </c>
      <c r="I22" s="64">
        <f t="shared" si="54"/>
        <v>304361.56763590389</v>
      </c>
      <c r="J22" s="64">
        <f t="shared" si="54"/>
        <v>257306.22617534941</v>
      </c>
      <c r="K22" s="64">
        <f t="shared" si="54"/>
        <v>286764.70588235295</v>
      </c>
      <c r="L22" s="64">
        <f t="shared" si="54"/>
        <v>297668.03840877907</v>
      </c>
      <c r="M22" s="64">
        <f t="shared" si="54"/>
        <v>314229.09643050155</v>
      </c>
      <c r="N22" s="64">
        <f t="shared" si="54"/>
        <v>313843.22332187661</v>
      </c>
      <c r="O22" s="64">
        <f t="shared" si="54"/>
        <v>305520.30456852791</v>
      </c>
      <c r="P22" s="162"/>
      <c r="Q22" s="162"/>
      <c r="R22" s="162"/>
      <c r="S22" s="64">
        <f t="shared" si="54"/>
        <v>368866.76417791378</v>
      </c>
      <c r="T22" s="64">
        <f t="shared" si="54"/>
        <v>278156.5918591207</v>
      </c>
      <c r="U22" s="64">
        <f t="shared" si="54"/>
        <v>280320.08892942651</v>
      </c>
      <c r="V22" s="64">
        <f t="shared" si="54"/>
        <v>300749.43535692286</v>
      </c>
      <c r="W22" s="64">
        <f t="shared" si="54"/>
        <v>344509.61913427792</v>
      </c>
      <c r="X22" s="64">
        <f t="shared" si="54"/>
        <v>381128.82340589346</v>
      </c>
      <c r="Y22" s="64">
        <f t="shared" si="54"/>
        <v>355300.92006415129</v>
      </c>
      <c r="Z22" s="65">
        <f t="shared" si="54"/>
        <v>324260.13883814396</v>
      </c>
      <c r="AA22" s="6"/>
    </row>
    <row r="23" spans="1:27" ht="15" customHeight="1">
      <c r="A23" s="6"/>
      <c r="B23" s="10"/>
      <c r="C23" s="6"/>
      <c r="D23" s="6"/>
      <c r="E23" s="6"/>
      <c r="F23" s="6"/>
      <c r="G23" s="6"/>
      <c r="H23" s="6"/>
      <c r="I23" s="6"/>
      <c r="J23" s="6"/>
      <c r="K23" s="6"/>
      <c r="L23" s="6"/>
      <c r="M23" s="6"/>
      <c r="N23" s="6"/>
      <c r="O23" s="6"/>
      <c r="P23" s="6"/>
      <c r="Q23" s="6"/>
      <c r="R23" s="6"/>
      <c r="S23" s="6"/>
      <c r="T23" s="6"/>
      <c r="U23" s="6"/>
      <c r="V23" s="6"/>
      <c r="W23" s="6"/>
      <c r="X23" s="6"/>
      <c r="Y23" s="6"/>
      <c r="Z23" s="6"/>
      <c r="AA23" s="6"/>
    </row>
    <row r="24" spans="1:27" ht="15" customHeight="1" thickBot="1">
      <c r="A24" s="59" t="s">
        <v>14</v>
      </c>
      <c r="B24" s="60"/>
      <c r="C24" s="6"/>
      <c r="D24" s="6"/>
      <c r="E24" s="6"/>
      <c r="F24" s="6"/>
      <c r="G24" s="6"/>
      <c r="H24" s="6"/>
      <c r="I24" s="6"/>
      <c r="J24" s="6"/>
      <c r="K24" s="6"/>
      <c r="L24" s="6"/>
      <c r="M24" s="6"/>
      <c r="N24" s="6"/>
      <c r="O24" s="6"/>
      <c r="P24" s="6"/>
      <c r="Q24" s="6"/>
      <c r="R24" s="6"/>
      <c r="S24" s="6"/>
      <c r="T24" s="6"/>
      <c r="U24" s="6"/>
      <c r="V24" s="6"/>
      <c r="W24" s="6"/>
      <c r="X24" s="6"/>
      <c r="Y24" s="6"/>
      <c r="Z24" s="6"/>
      <c r="AA24" s="6"/>
    </row>
    <row r="25" spans="1:27" ht="15.75" thickBot="1">
      <c r="A25" s="71" t="s">
        <v>0</v>
      </c>
      <c r="B25" s="96" t="s">
        <v>2</v>
      </c>
      <c r="C25" s="92">
        <v>1</v>
      </c>
      <c r="D25" s="87">
        <f>C25+1</f>
        <v>2</v>
      </c>
      <c r="E25" s="87">
        <f t="shared" ref="E25" si="55">D25+1</f>
        <v>3</v>
      </c>
      <c r="F25" s="87">
        <f t="shared" ref="F25" si="56">E25+1</f>
        <v>4</v>
      </c>
      <c r="G25" s="87">
        <f t="shared" ref="G25" si="57">F25+1</f>
        <v>5</v>
      </c>
      <c r="H25" s="87">
        <f t="shared" ref="H25" si="58">G25+1</f>
        <v>6</v>
      </c>
      <c r="I25" s="87">
        <f t="shared" ref="I25" si="59">H25+1</f>
        <v>7</v>
      </c>
      <c r="J25" s="87">
        <f t="shared" ref="J25" si="60">I25+1</f>
        <v>8</v>
      </c>
      <c r="K25" s="87">
        <f t="shared" ref="K25" si="61">J25+1</f>
        <v>9</v>
      </c>
      <c r="L25" s="87">
        <f t="shared" ref="L25" si="62">K25+1</f>
        <v>10</v>
      </c>
      <c r="M25" s="87">
        <f t="shared" ref="M25" si="63">L25+1</f>
        <v>11</v>
      </c>
      <c r="N25" s="87">
        <f t="shared" ref="N25" si="64">M25+1</f>
        <v>12</v>
      </c>
      <c r="O25" s="87">
        <f t="shared" ref="O25" si="65">N25+1</f>
        <v>13</v>
      </c>
      <c r="P25" s="75">
        <f t="shared" ref="P25" si="66">O25+1</f>
        <v>14</v>
      </c>
      <c r="Q25" s="75">
        <f t="shared" ref="Q25" si="67">P25+1</f>
        <v>15</v>
      </c>
      <c r="R25" s="75">
        <f t="shared" ref="R25" si="68">Q25+1</f>
        <v>16</v>
      </c>
      <c r="S25" s="87">
        <f t="shared" ref="S25" si="69">R25+1</f>
        <v>17</v>
      </c>
      <c r="T25" s="87">
        <f t="shared" ref="T25" si="70">S25+1</f>
        <v>18</v>
      </c>
      <c r="U25" s="87">
        <f t="shared" ref="U25" si="71">T25+1</f>
        <v>19</v>
      </c>
      <c r="V25" s="87">
        <f t="shared" ref="V25" si="72">U25+1</f>
        <v>20</v>
      </c>
      <c r="W25" s="87">
        <f t="shared" ref="W25" si="73">V25+1</f>
        <v>21</v>
      </c>
      <c r="X25" s="87">
        <f t="shared" ref="X25" si="74">W25+1</f>
        <v>22</v>
      </c>
      <c r="Y25" s="87">
        <f t="shared" ref="Y25" si="75">X25+1</f>
        <v>23</v>
      </c>
      <c r="Z25" s="88">
        <f t="shared" ref="Z25" si="76">Y25+1</f>
        <v>24</v>
      </c>
    </row>
    <row r="26" spans="1:27">
      <c r="A26" s="89" t="s">
        <v>15</v>
      </c>
      <c r="B26" s="97">
        <f>SUM(C26:Z26)</f>
        <v>323003.12011469388</v>
      </c>
      <c r="C26" s="93">
        <f>C13-C5</f>
        <v>5376.8844221105537</v>
      </c>
      <c r="D26" s="85">
        <f t="shared" ref="D26:Z26" si="77">D13-D5</f>
        <v>24662.337662337653</v>
      </c>
      <c r="E26" s="85">
        <f t="shared" si="77"/>
        <v>21237.037037037036</v>
      </c>
      <c r="F26" s="85">
        <f t="shared" si="77"/>
        <v>13270.786516853928</v>
      </c>
      <c r="G26" s="85">
        <f t="shared" si="77"/>
        <v>13659.340659340654</v>
      </c>
      <c r="H26" s="85">
        <f t="shared" si="77"/>
        <v>27073.885350318465</v>
      </c>
      <c r="I26" s="85">
        <f t="shared" si="77"/>
        <v>5350</v>
      </c>
      <c r="J26" s="85">
        <f t="shared" si="77"/>
        <v>4500</v>
      </c>
      <c r="K26" s="85">
        <f t="shared" si="77"/>
        <v>22325</v>
      </c>
      <c r="L26" s="85">
        <f t="shared" si="77"/>
        <v>12400</v>
      </c>
      <c r="M26" s="85">
        <f t="shared" si="77"/>
        <v>7183.6734693877515</v>
      </c>
      <c r="N26" s="85">
        <f t="shared" si="77"/>
        <v>11283.870967741925</v>
      </c>
      <c r="O26" s="85">
        <f t="shared" si="77"/>
        <v>6572.0812182741065</v>
      </c>
      <c r="P26" s="156" t="s">
        <v>46</v>
      </c>
      <c r="Q26" s="163"/>
      <c r="R26" s="163"/>
      <c r="S26" s="85">
        <f t="shared" si="77"/>
        <v>20633.136094674555</v>
      </c>
      <c r="T26" s="85">
        <f t="shared" si="77"/>
        <v>12842.696629213475</v>
      </c>
      <c r="U26" s="85">
        <f t="shared" si="77"/>
        <v>12970.949720670396</v>
      </c>
      <c r="V26" s="85">
        <f t="shared" si="77"/>
        <v>26676.31578947368</v>
      </c>
      <c r="W26" s="85">
        <f t="shared" si="77"/>
        <v>28095.541401273877</v>
      </c>
      <c r="X26" s="85">
        <f t="shared" si="77"/>
        <v>28861.783439490435</v>
      </c>
      <c r="Y26" s="85">
        <f t="shared" si="77"/>
        <v>6506.0606060606078</v>
      </c>
      <c r="Z26" s="86">
        <f t="shared" si="77"/>
        <v>11521.739130434784</v>
      </c>
      <c r="AA26" s="6"/>
    </row>
    <row r="27" spans="1:27">
      <c r="A27" s="90" t="s">
        <v>16</v>
      </c>
      <c r="B27" s="98">
        <f>SUM(C27:Z27)</f>
        <v>626551.60638817702</v>
      </c>
      <c r="C27" s="94">
        <f>(C26/C13)*C20</f>
        <v>11318.242531969359</v>
      </c>
      <c r="D27" s="20">
        <f t="shared" ref="D27:Z27" si="78">(D26/D13)*D20</f>
        <v>49987.501725508038</v>
      </c>
      <c r="E27" s="20">
        <f t="shared" si="78"/>
        <v>41995.771093376992</v>
      </c>
      <c r="F27" s="20">
        <f t="shared" si="78"/>
        <v>26776.396249739748</v>
      </c>
      <c r="G27" s="20">
        <f t="shared" si="78"/>
        <v>26431.447001942353</v>
      </c>
      <c r="H27" s="20">
        <f t="shared" si="78"/>
        <v>51155.285993896694</v>
      </c>
      <c r="I27" s="20">
        <f t="shared" si="78"/>
        <v>10145.385587863462</v>
      </c>
      <c r="J27" s="20">
        <f t="shared" si="78"/>
        <v>8576.8742058449807</v>
      </c>
      <c r="K27" s="20">
        <f t="shared" si="78"/>
        <v>40359.477124183009</v>
      </c>
      <c r="L27" s="20">
        <f t="shared" si="78"/>
        <v>25066.782181791925</v>
      </c>
      <c r="M27" s="20">
        <f t="shared" si="78"/>
        <v>13542.533448856624</v>
      </c>
      <c r="N27" s="20">
        <f t="shared" si="78"/>
        <v>21464.925118387397</v>
      </c>
      <c r="O27" s="20">
        <f t="shared" si="78"/>
        <v>12415.770563490125</v>
      </c>
      <c r="P27" s="164"/>
      <c r="Q27" s="164"/>
      <c r="R27" s="164"/>
      <c r="S27" s="20">
        <f t="shared" si="78"/>
        <v>42251.405327695997</v>
      </c>
      <c r="T27" s="20">
        <f t="shared" si="78"/>
        <v>24921.260787377996</v>
      </c>
      <c r="U27" s="20">
        <f t="shared" si="78"/>
        <v>24358.509046813848</v>
      </c>
      <c r="V27" s="20">
        <f t="shared" si="78"/>
        <v>49669.224930158467</v>
      </c>
      <c r="W27" s="20">
        <f t="shared" si="78"/>
        <v>51596.025125245709</v>
      </c>
      <c r="X27" s="20">
        <f t="shared" si="78"/>
        <v>57080.357865831269</v>
      </c>
      <c r="Y27" s="20">
        <f t="shared" si="78"/>
        <v>13569.281369284176</v>
      </c>
      <c r="Z27" s="63">
        <f t="shared" si="78"/>
        <v>23869.149108918933</v>
      </c>
      <c r="AA27" s="6"/>
    </row>
    <row r="28" spans="1:27">
      <c r="A28" s="90" t="s">
        <v>17</v>
      </c>
      <c r="B28" s="98">
        <f>SUM(C28:Z28)</f>
        <v>839808.11229820421</v>
      </c>
      <c r="C28" s="94">
        <f>C26*2.6</f>
        <v>13979.89949748744</v>
      </c>
      <c r="D28" s="20">
        <f t="shared" ref="D28:Z28" si="79">D26*2.6</f>
        <v>64122.0779220779</v>
      </c>
      <c r="E28" s="20">
        <f t="shared" si="79"/>
        <v>55216.296296296299</v>
      </c>
      <c r="F28" s="20">
        <f t="shared" si="79"/>
        <v>34504.044943820212</v>
      </c>
      <c r="G28" s="20">
        <f t="shared" si="79"/>
        <v>35514.285714285703</v>
      </c>
      <c r="H28" s="20">
        <f t="shared" si="79"/>
        <v>70392.101910828016</v>
      </c>
      <c r="I28" s="20">
        <f t="shared" si="79"/>
        <v>13910</v>
      </c>
      <c r="J28" s="20">
        <f t="shared" si="79"/>
        <v>11700</v>
      </c>
      <c r="K28" s="20">
        <f t="shared" si="79"/>
        <v>58045</v>
      </c>
      <c r="L28" s="20">
        <f t="shared" si="79"/>
        <v>32240</v>
      </c>
      <c r="M28" s="20">
        <f t="shared" si="79"/>
        <v>18677.551020408155</v>
      </c>
      <c r="N28" s="20">
        <f t="shared" si="79"/>
        <v>29338.064516129005</v>
      </c>
      <c r="O28" s="20">
        <f t="shared" si="79"/>
        <v>17087.411167512677</v>
      </c>
      <c r="P28" s="164"/>
      <c r="Q28" s="164"/>
      <c r="R28" s="164"/>
      <c r="S28" s="20">
        <f t="shared" si="79"/>
        <v>53646.153846153844</v>
      </c>
      <c r="T28" s="20">
        <f t="shared" si="79"/>
        <v>33391.011235955033</v>
      </c>
      <c r="U28" s="20">
        <f t="shared" si="79"/>
        <v>33724.46927374303</v>
      </c>
      <c r="V28" s="20">
        <f t="shared" si="79"/>
        <v>69358.421052631573</v>
      </c>
      <c r="W28" s="20">
        <f t="shared" si="79"/>
        <v>73048.407643312079</v>
      </c>
      <c r="X28" s="20">
        <f t="shared" si="79"/>
        <v>75040.636942675133</v>
      </c>
      <c r="Y28" s="20">
        <f t="shared" si="79"/>
        <v>16915.75757575758</v>
      </c>
      <c r="Z28" s="63">
        <f t="shared" si="79"/>
        <v>29956.52173913044</v>
      </c>
      <c r="AA28" s="6"/>
    </row>
    <row r="29" spans="1:27" ht="15.75" thickBot="1">
      <c r="A29" s="91" t="s">
        <v>18</v>
      </c>
      <c r="B29" s="99">
        <f>SUM(C29:Z29)</f>
        <v>213256.50591002702</v>
      </c>
      <c r="C29" s="95">
        <f>C28-C27</f>
        <v>2661.6569655180811</v>
      </c>
      <c r="D29" s="64">
        <f t="shared" ref="D29:Z29" si="80">D28-D27</f>
        <v>14134.576196569862</v>
      </c>
      <c r="E29" s="64">
        <f t="shared" si="80"/>
        <v>13220.525202919307</v>
      </c>
      <c r="F29" s="64">
        <f t="shared" si="80"/>
        <v>7727.6486940804643</v>
      </c>
      <c r="G29" s="64">
        <f t="shared" si="80"/>
        <v>9082.8387123433495</v>
      </c>
      <c r="H29" s="64">
        <f t="shared" si="80"/>
        <v>19236.815916931322</v>
      </c>
      <c r="I29" s="64">
        <f t="shared" si="80"/>
        <v>3764.6144121365378</v>
      </c>
      <c r="J29" s="64">
        <f t="shared" si="80"/>
        <v>3123.1257941550193</v>
      </c>
      <c r="K29" s="64">
        <f t="shared" si="80"/>
        <v>17685.522875816991</v>
      </c>
      <c r="L29" s="64">
        <f t="shared" si="80"/>
        <v>7173.2178182080752</v>
      </c>
      <c r="M29" s="64">
        <f t="shared" si="80"/>
        <v>5135.0175715515306</v>
      </c>
      <c r="N29" s="64">
        <f t="shared" si="80"/>
        <v>7873.1393977416083</v>
      </c>
      <c r="O29" s="64">
        <f t="shared" si="80"/>
        <v>4671.640604022552</v>
      </c>
      <c r="P29" s="165"/>
      <c r="Q29" s="165"/>
      <c r="R29" s="165"/>
      <c r="S29" s="64">
        <f t="shared" si="80"/>
        <v>11394.748518457847</v>
      </c>
      <c r="T29" s="64">
        <f t="shared" si="80"/>
        <v>8469.7504485770369</v>
      </c>
      <c r="U29" s="64">
        <f t="shared" si="80"/>
        <v>9365.9602269291827</v>
      </c>
      <c r="V29" s="64">
        <f t="shared" si="80"/>
        <v>19689.196122473106</v>
      </c>
      <c r="W29" s="64">
        <f t="shared" si="80"/>
        <v>21452.38251806637</v>
      </c>
      <c r="X29" s="64">
        <f t="shared" si="80"/>
        <v>17960.279076843864</v>
      </c>
      <c r="Y29" s="64">
        <f t="shared" si="80"/>
        <v>3346.4762064734041</v>
      </c>
      <c r="Z29" s="65">
        <f t="shared" si="80"/>
        <v>6087.3726302115065</v>
      </c>
      <c r="AA29" s="6"/>
    </row>
    <row r="30" spans="1:27">
      <c r="B30" s="7"/>
    </row>
    <row r="31" spans="1:27" ht="19.5" thickBot="1">
      <c r="A31" s="100" t="s">
        <v>19</v>
      </c>
      <c r="B31" s="60"/>
    </row>
    <row r="32" spans="1:27">
      <c r="A32" s="45" t="s">
        <v>0</v>
      </c>
      <c r="B32" s="45" t="s">
        <v>2</v>
      </c>
      <c r="C32" s="106">
        <v>1</v>
      </c>
      <c r="D32" s="61">
        <f>C32+1</f>
        <v>2</v>
      </c>
      <c r="E32" s="61">
        <f t="shared" ref="E32" si="81">D32+1</f>
        <v>3</v>
      </c>
      <c r="F32" s="61">
        <f t="shared" ref="F32" si="82">E32+1</f>
        <v>4</v>
      </c>
      <c r="G32" s="61">
        <f t="shared" ref="G32" si="83">F32+1</f>
        <v>5</v>
      </c>
      <c r="H32" s="61">
        <f t="shared" ref="H32" si="84">G32+1</f>
        <v>6</v>
      </c>
      <c r="I32" s="61">
        <f t="shared" ref="I32" si="85">H32+1</f>
        <v>7</v>
      </c>
      <c r="J32" s="61">
        <f t="shared" ref="J32" si="86">I32+1</f>
        <v>8</v>
      </c>
      <c r="K32" s="61">
        <f t="shared" ref="K32" si="87">J32+1</f>
        <v>9</v>
      </c>
      <c r="L32" s="61">
        <f t="shared" ref="L32" si="88">K32+1</f>
        <v>10</v>
      </c>
      <c r="M32" s="61">
        <f t="shared" ref="M32" si="89">L32+1</f>
        <v>11</v>
      </c>
      <c r="N32" s="61">
        <f t="shared" ref="N32" si="90">M32+1</f>
        <v>12</v>
      </c>
      <c r="O32" s="61">
        <f t="shared" ref="O32" si="91">N32+1</f>
        <v>13</v>
      </c>
      <c r="P32" s="48">
        <f t="shared" ref="P32" si="92">O32+1</f>
        <v>14</v>
      </c>
      <c r="Q32" s="48">
        <f t="shared" ref="Q32" si="93">P32+1</f>
        <v>15</v>
      </c>
      <c r="R32" s="48">
        <f t="shared" ref="R32" si="94">Q32+1</f>
        <v>16</v>
      </c>
      <c r="S32" s="61">
        <f t="shared" ref="S32" si="95">R32+1</f>
        <v>17</v>
      </c>
      <c r="T32" s="61">
        <f t="shared" ref="T32" si="96">S32+1</f>
        <v>18</v>
      </c>
      <c r="U32" s="61">
        <f t="shared" ref="U32" si="97">T32+1</f>
        <v>19</v>
      </c>
      <c r="V32" s="61">
        <f t="shared" ref="V32" si="98">U32+1</f>
        <v>20</v>
      </c>
      <c r="W32" s="61">
        <f t="shared" ref="W32" si="99">V32+1</f>
        <v>21</v>
      </c>
      <c r="X32" s="61">
        <f t="shared" ref="X32" si="100">W32+1</f>
        <v>22</v>
      </c>
      <c r="Y32" s="61">
        <f t="shared" ref="Y32" si="101">X32+1</f>
        <v>23</v>
      </c>
      <c r="Z32" s="62">
        <f t="shared" ref="Z32" si="102">Y32+1</f>
        <v>24</v>
      </c>
    </row>
    <row r="33" spans="1:26">
      <c r="A33" s="102" t="s">
        <v>8</v>
      </c>
      <c r="B33" s="46">
        <f>SUM(C33:Z33)</f>
        <v>3654338.397310772</v>
      </c>
      <c r="C33" s="107">
        <f>(C5/C13)*C20</f>
        <v>147348.70885077864</v>
      </c>
      <c r="D33" s="17">
        <f t="shared" ref="D33:Z33" si="103">(D5/D13)*D20</f>
        <v>127693.19161160589</v>
      </c>
      <c r="E33" s="17">
        <f t="shared" si="103"/>
        <v>130118.04486308609</v>
      </c>
      <c r="F33" s="17">
        <f t="shared" si="103"/>
        <v>131351.92805974701</v>
      </c>
      <c r="G33" s="17">
        <f t="shared" si="103"/>
        <v>148998.51097555121</v>
      </c>
      <c r="H33" s="17">
        <f t="shared" si="103"/>
        <v>140198.65163913334</v>
      </c>
      <c r="I33" s="17">
        <f t="shared" si="103"/>
        <v>142035.3982300885</v>
      </c>
      <c r="J33" s="17">
        <f t="shared" si="103"/>
        <v>120076.23888182973</v>
      </c>
      <c r="K33" s="17">
        <f t="shared" si="103"/>
        <v>118954.24836601308</v>
      </c>
      <c r="L33" s="17">
        <f t="shared" si="103"/>
        <v>131600.60645440759</v>
      </c>
      <c r="M33" s="17">
        <f t="shared" si="103"/>
        <v>145159.03040493204</v>
      </c>
      <c r="N33" s="17">
        <f t="shared" si="103"/>
        <v>141148.14396030514</v>
      </c>
      <c r="O33" s="17">
        <f t="shared" si="103"/>
        <v>141498.74055415619</v>
      </c>
      <c r="P33" s="166">
        <f>B70</f>
        <v>755616.25256729824</v>
      </c>
      <c r="Q33" s="158"/>
      <c r="R33" s="158"/>
      <c r="S33" s="17">
        <f t="shared" si="103"/>
        <v>157676.3801345879</v>
      </c>
      <c r="T33" s="17">
        <f t="shared" si="103"/>
        <v>122251.53913808269</v>
      </c>
      <c r="U33" s="17">
        <f t="shared" si="103"/>
        <v>123567.65925367505</v>
      </c>
      <c r="V33" s="17">
        <f t="shared" si="103"/>
        <v>121211.13606809315</v>
      </c>
      <c r="W33" s="17">
        <f t="shared" si="103"/>
        <v>141406.56262505002</v>
      </c>
      <c r="X33" s="17">
        <f t="shared" si="103"/>
        <v>156437.19026071965</v>
      </c>
      <c r="Y33" s="17">
        <f t="shared" si="103"/>
        <v>164973.89454234965</v>
      </c>
      <c r="Z33" s="39">
        <f t="shared" si="103"/>
        <v>145016.33986928104</v>
      </c>
    </row>
    <row r="34" spans="1:26">
      <c r="A34" s="102" t="s">
        <v>11</v>
      </c>
      <c r="B34" s="46">
        <f>SUM(C34:Z34)</f>
        <v>3105773.7265108642</v>
      </c>
      <c r="C34" s="107">
        <f>(C6/C14)*C21</f>
        <v>157873.61662583426</v>
      </c>
      <c r="D34" s="17">
        <f t="shared" ref="D34:Z34" si="104">(D6/D14)*D21</f>
        <v>136814.13386957772</v>
      </c>
      <c r="E34" s="17">
        <f t="shared" si="104"/>
        <v>139412.1909247351</v>
      </c>
      <c r="F34" s="17">
        <f t="shared" si="104"/>
        <v>140734.20863544321</v>
      </c>
      <c r="G34" s="17">
        <f t="shared" si="104"/>
        <v>159641.26175951914</v>
      </c>
      <c r="H34" s="17">
        <f t="shared" si="104"/>
        <v>150212.84104192856</v>
      </c>
      <c r="I34" s="17">
        <f t="shared" si="104"/>
        <v>152180.78381795195</v>
      </c>
      <c r="J34" s="17">
        <f t="shared" si="104"/>
        <v>128653.1130876747</v>
      </c>
      <c r="K34" s="17">
        <f t="shared" si="104"/>
        <v>127450.98039215687</v>
      </c>
      <c r="L34" s="17">
        <f t="shared" si="104"/>
        <v>141000.64977257958</v>
      </c>
      <c r="M34" s="17">
        <f t="shared" si="104"/>
        <v>155527.5325767129</v>
      </c>
      <c r="N34" s="17">
        <f t="shared" si="104"/>
        <v>151230.15424318408</v>
      </c>
      <c r="O34" s="17">
        <f t="shared" si="104"/>
        <v>151605.79345088161</v>
      </c>
      <c r="P34" s="158"/>
      <c r="Q34" s="158"/>
      <c r="R34" s="158"/>
      <c r="S34" s="17">
        <f t="shared" si="104"/>
        <v>168938.9787156299</v>
      </c>
      <c r="T34" s="17">
        <f t="shared" si="104"/>
        <v>130983.79193366002</v>
      </c>
      <c r="U34" s="17">
        <f t="shared" si="104"/>
        <v>132393.92062893757</v>
      </c>
      <c r="V34" s="17">
        <f t="shared" si="104"/>
        <v>129869.07435867123</v>
      </c>
      <c r="W34" s="17">
        <f t="shared" si="104"/>
        <v>151507.03138398216</v>
      </c>
      <c r="X34" s="17">
        <f t="shared" si="104"/>
        <v>167611.27527934252</v>
      </c>
      <c r="Y34" s="17">
        <f t="shared" si="104"/>
        <v>176757.74415251749</v>
      </c>
      <c r="Z34" s="39">
        <f t="shared" si="104"/>
        <v>155374.64985994398</v>
      </c>
    </row>
    <row r="35" spans="1:26" ht="15.75" thickBot="1">
      <c r="A35" s="102" t="s">
        <v>12</v>
      </c>
      <c r="B35" s="46">
        <f>SUM(C35:Z35)</f>
        <v>213256.50591002702</v>
      </c>
      <c r="C35" s="108">
        <f>C29*(C6/C14)</f>
        <v>2661.6569655180811</v>
      </c>
      <c r="D35" s="21">
        <f t="shared" ref="D35:Z35" si="105">D29*(D6/D14)</f>
        <v>14134.576196569862</v>
      </c>
      <c r="E35" s="21">
        <f t="shared" si="105"/>
        <v>13220.525202919307</v>
      </c>
      <c r="F35" s="21">
        <f t="shared" si="105"/>
        <v>7727.6486940804643</v>
      </c>
      <c r="G35" s="21">
        <f t="shared" si="105"/>
        <v>9082.8387123433495</v>
      </c>
      <c r="H35" s="21">
        <f t="shared" si="105"/>
        <v>19236.815916931322</v>
      </c>
      <c r="I35" s="21">
        <f t="shared" si="105"/>
        <v>3764.6144121365378</v>
      </c>
      <c r="J35" s="21">
        <f t="shared" si="105"/>
        <v>3123.1257941550193</v>
      </c>
      <c r="K35" s="21">
        <f t="shared" si="105"/>
        <v>17685.522875816991</v>
      </c>
      <c r="L35" s="21">
        <f t="shared" si="105"/>
        <v>7173.2178182080752</v>
      </c>
      <c r="M35" s="21">
        <f t="shared" si="105"/>
        <v>5135.0175715515306</v>
      </c>
      <c r="N35" s="21">
        <f t="shared" si="105"/>
        <v>7873.1393977416083</v>
      </c>
      <c r="O35" s="21">
        <f t="shared" si="105"/>
        <v>4671.640604022552</v>
      </c>
      <c r="P35" s="158"/>
      <c r="Q35" s="158"/>
      <c r="R35" s="158"/>
      <c r="S35" s="21">
        <f t="shared" si="105"/>
        <v>11394.748518457847</v>
      </c>
      <c r="T35" s="21">
        <f t="shared" si="105"/>
        <v>8469.7504485770369</v>
      </c>
      <c r="U35" s="21">
        <f t="shared" si="105"/>
        <v>9365.9602269291827</v>
      </c>
      <c r="V35" s="21">
        <f t="shared" si="105"/>
        <v>19689.196122473106</v>
      </c>
      <c r="W35" s="21">
        <f t="shared" si="105"/>
        <v>21452.38251806637</v>
      </c>
      <c r="X35" s="21">
        <f t="shared" si="105"/>
        <v>17960.279076843864</v>
      </c>
      <c r="Y35" s="21">
        <f t="shared" si="105"/>
        <v>3346.4762064734041</v>
      </c>
      <c r="Z35" s="101">
        <f t="shared" si="105"/>
        <v>6087.3726302115065</v>
      </c>
    </row>
    <row r="36" spans="1:26" ht="15.75" thickBot="1">
      <c r="A36" s="103" t="s">
        <v>47</v>
      </c>
      <c r="B36" s="110">
        <f>SUM(C36:Z36)+SUM(P37:R37)+SUM(P38:R38)</f>
        <v>6814754.3653443092</v>
      </c>
      <c r="C36" s="109">
        <f>C33+C34-C35</f>
        <v>302560.66851109482</v>
      </c>
      <c r="D36" s="30">
        <f t="shared" ref="D36:Z36" si="106">D33+D34-D35</f>
        <v>250372.74928461373</v>
      </c>
      <c r="E36" s="30">
        <f t="shared" si="106"/>
        <v>256309.71058490186</v>
      </c>
      <c r="F36" s="30">
        <f t="shared" si="106"/>
        <v>264358.48800110974</v>
      </c>
      <c r="G36" s="30">
        <f t="shared" si="106"/>
        <v>299556.93402272696</v>
      </c>
      <c r="H36" s="30">
        <f t="shared" si="106"/>
        <v>271174.67676413059</v>
      </c>
      <c r="I36" s="30">
        <f t="shared" si="106"/>
        <v>290451.56763590389</v>
      </c>
      <c r="J36" s="30">
        <f t="shared" si="106"/>
        <v>245606.22617534941</v>
      </c>
      <c r="K36" s="30">
        <f t="shared" si="106"/>
        <v>228719.70588235295</v>
      </c>
      <c r="L36" s="30">
        <f t="shared" si="106"/>
        <v>265428.03840877907</v>
      </c>
      <c r="M36" s="30">
        <f t="shared" si="106"/>
        <v>295551.54541009339</v>
      </c>
      <c r="N36" s="30">
        <f t="shared" si="106"/>
        <v>284505.15880574763</v>
      </c>
      <c r="O36" s="31">
        <f t="shared" si="106"/>
        <v>288432.89340101526</v>
      </c>
      <c r="P36" s="167"/>
      <c r="Q36" s="159"/>
      <c r="R36" s="168"/>
      <c r="S36" s="29">
        <f t="shared" si="106"/>
        <v>315220.6103317599</v>
      </c>
      <c r="T36" s="30">
        <f t="shared" si="106"/>
        <v>244765.58062316565</v>
      </c>
      <c r="U36" s="30">
        <f t="shared" si="106"/>
        <v>246595.61965568343</v>
      </c>
      <c r="V36" s="30">
        <f t="shared" si="106"/>
        <v>231391.01430429128</v>
      </c>
      <c r="W36" s="30">
        <f t="shared" si="106"/>
        <v>271461.2114909658</v>
      </c>
      <c r="X36" s="30">
        <f t="shared" si="106"/>
        <v>306088.1864632183</v>
      </c>
      <c r="Y36" s="30">
        <f t="shared" si="106"/>
        <v>338385.16248839372</v>
      </c>
      <c r="Z36" s="31">
        <f t="shared" si="106"/>
        <v>294303.61709901353</v>
      </c>
    </row>
    <row r="37" spans="1:26">
      <c r="A37" s="104" t="s">
        <v>41</v>
      </c>
      <c r="B37" s="150"/>
      <c r="C37" s="151"/>
      <c r="D37" s="151"/>
      <c r="E37" s="151"/>
      <c r="F37" s="151"/>
      <c r="G37" s="151"/>
      <c r="H37" s="151"/>
      <c r="I37" s="151"/>
      <c r="J37" s="151"/>
      <c r="K37" s="151"/>
      <c r="L37" s="151"/>
      <c r="M37" s="151"/>
      <c r="N37" s="151"/>
      <c r="O37" s="152"/>
      <c r="P37" s="32">
        <v>163800</v>
      </c>
      <c r="Q37" s="33">
        <v>171080</v>
      </c>
      <c r="R37" s="34">
        <v>169260</v>
      </c>
      <c r="S37" s="43"/>
      <c r="T37" s="114"/>
      <c r="U37" s="114"/>
      <c r="V37" s="114"/>
      <c r="W37" s="114"/>
      <c r="X37" s="114"/>
      <c r="Y37" s="114"/>
      <c r="Z37" s="115"/>
    </row>
    <row r="38" spans="1:26" ht="15.75" thickBot="1">
      <c r="A38" s="105" t="s">
        <v>42</v>
      </c>
      <c r="B38" s="153"/>
      <c r="C38" s="154"/>
      <c r="D38" s="154"/>
      <c r="E38" s="154"/>
      <c r="F38" s="154"/>
      <c r="G38" s="154"/>
      <c r="H38" s="154"/>
      <c r="I38" s="154"/>
      <c r="J38" s="154"/>
      <c r="K38" s="154"/>
      <c r="L38" s="154"/>
      <c r="M38" s="154"/>
      <c r="N38" s="154"/>
      <c r="O38" s="155"/>
      <c r="P38" s="35">
        <v>168750</v>
      </c>
      <c r="Q38" s="36">
        <v>176250</v>
      </c>
      <c r="R38" s="37">
        <v>174375</v>
      </c>
      <c r="S38" s="112"/>
      <c r="T38" s="112"/>
      <c r="U38" s="112"/>
      <c r="V38" s="112"/>
      <c r="W38" s="112"/>
      <c r="X38" s="112"/>
      <c r="Y38" s="112"/>
      <c r="Z38" s="113"/>
    </row>
    <row r="39" spans="1:26" ht="15.75" thickBot="1">
      <c r="A39" s="96" t="s">
        <v>87</v>
      </c>
      <c r="B39" s="111">
        <f>(SUM(C36:O36,S36:Z36)+SUM(P37:R37)+SUM(P38:R38))/B4</f>
        <v>56.789619711202576</v>
      </c>
      <c r="P39" s="11"/>
      <c r="Q39" s="11"/>
      <c r="R39" s="11"/>
    </row>
    <row r="40" spans="1:26">
      <c r="B40" s="9"/>
      <c r="P40" s="11"/>
      <c r="Q40" s="11"/>
      <c r="R40" s="11"/>
    </row>
    <row r="41" spans="1:26" ht="19.5" thickBot="1">
      <c r="A41" s="100" t="s">
        <v>55</v>
      </c>
      <c r="B41" s="9"/>
      <c r="P41" s="11"/>
      <c r="Q41" s="11"/>
      <c r="R41" s="11"/>
    </row>
    <row r="42" spans="1:26">
      <c r="A42" s="43" t="s">
        <v>52</v>
      </c>
      <c r="B42" s="116">
        <v>53</v>
      </c>
      <c r="P42" s="11"/>
      <c r="Q42" s="11"/>
      <c r="R42" s="11"/>
    </row>
    <row r="43" spans="1:26">
      <c r="A43" s="40" t="s">
        <v>53</v>
      </c>
      <c r="B43" s="117">
        <f>(SUM(C36:O36,S36:Y36)+SUM(P37:R37)+SUM(P38:R38))/B4</f>
        <v>54.337089568710802</v>
      </c>
      <c r="L43" s="9"/>
      <c r="P43" s="11"/>
      <c r="Q43" s="11"/>
      <c r="R43" s="11"/>
    </row>
    <row r="44" spans="1:26" ht="15.75" thickBot="1">
      <c r="A44" s="41" t="s">
        <v>54</v>
      </c>
      <c r="B44" s="118" t="str">
        <f>IF(B43&gt;B42,"YES","NO")</f>
        <v>YES</v>
      </c>
      <c r="P44" s="11"/>
      <c r="Q44" s="11"/>
      <c r="R44" s="11"/>
    </row>
    <row r="45" spans="1:26">
      <c r="P45" s="11"/>
      <c r="Q45" s="11"/>
      <c r="R45" s="11"/>
    </row>
    <row r="46" spans="1:26" ht="19.5" thickBot="1">
      <c r="A46" s="100" t="s">
        <v>81</v>
      </c>
    </row>
    <row r="47" spans="1:26">
      <c r="A47" s="119" t="s">
        <v>44</v>
      </c>
      <c r="B47" s="120"/>
    </row>
    <row r="48" spans="1:26">
      <c r="A48" s="40" t="s">
        <v>31</v>
      </c>
      <c r="B48" s="121">
        <f>SUM(C14:O14,S14:Z14)/SUM(C13:O13,S13:Z13)</f>
        <v>1.7602645004548487</v>
      </c>
    </row>
    <row r="49" spans="1:6" ht="15.75" thickBot="1">
      <c r="A49" s="41" t="s">
        <v>32</v>
      </c>
      <c r="B49" s="122">
        <f>(SUM(C13:O13,S13:Z13)+SUM(C14:O14,S14:Z14))/SUM(C12:O12,S12:Z12)</f>
        <v>0.75306399734752472</v>
      </c>
    </row>
    <row r="50" spans="1:6">
      <c r="D50" s="3"/>
      <c r="E50" s="3"/>
      <c r="F50" s="3"/>
    </row>
    <row r="51" spans="1:6" ht="19.5" thickBot="1">
      <c r="A51" s="123" t="s">
        <v>43</v>
      </c>
    </row>
    <row r="52" spans="1:6">
      <c r="A52" s="43" t="s">
        <v>33</v>
      </c>
      <c r="B52" s="124">
        <f>SUM(P6:R6)</f>
        <v>415500</v>
      </c>
    </row>
    <row r="53" spans="1:6">
      <c r="A53" s="40" t="s">
        <v>34</v>
      </c>
      <c r="B53" s="125">
        <f>B52/B48</f>
        <v>236044.07172480936</v>
      </c>
    </row>
    <row r="54" spans="1:6">
      <c r="A54" s="90" t="s">
        <v>36</v>
      </c>
      <c r="B54" s="125">
        <f>SUM(P5:R5)</f>
        <v>193900</v>
      </c>
    </row>
    <row r="55" spans="1:6" ht="15.75" thickBot="1">
      <c r="A55" s="41" t="s">
        <v>35</v>
      </c>
      <c r="B55" s="126">
        <f>B53-B54</f>
        <v>42144.071724809357</v>
      </c>
    </row>
    <row r="56" spans="1:6" ht="15.75" thickBot="1">
      <c r="B56" s="1"/>
    </row>
    <row r="57" spans="1:6">
      <c r="A57" s="127" t="s">
        <v>21</v>
      </c>
      <c r="B57" s="128">
        <f>(B52+B53)/B49</f>
        <v>865190.83905180264</v>
      </c>
    </row>
    <row r="58" spans="1:6">
      <c r="A58" s="90" t="s">
        <v>22</v>
      </c>
      <c r="B58" s="129">
        <f>((2*B57)/((2*B53)+B52))*B53</f>
        <v>460175.5216672378</v>
      </c>
    </row>
    <row r="59" spans="1:6" ht="15.75" thickBot="1">
      <c r="A59" s="91" t="s">
        <v>23</v>
      </c>
      <c r="B59" s="130">
        <f>((B57)/((2*B53)+B52))*B52</f>
        <v>405015.31738456484</v>
      </c>
    </row>
    <row r="60" spans="1:6" ht="15.75" thickBot="1">
      <c r="B60" s="1"/>
    </row>
    <row r="61" spans="1:6">
      <c r="A61" s="127" t="s">
        <v>30</v>
      </c>
      <c r="B61" s="124">
        <f>(B55/B53)*B58</f>
        <v>82161.225441643939</v>
      </c>
    </row>
    <row r="62" spans="1:6">
      <c r="A62" s="90" t="s">
        <v>29</v>
      </c>
      <c r="B62" s="125">
        <f>B55*2.6</f>
        <v>109574.58648450433</v>
      </c>
    </row>
    <row r="63" spans="1:6">
      <c r="A63" s="90" t="s">
        <v>28</v>
      </c>
      <c r="B63" s="125">
        <f>B62-B61</f>
        <v>27413.361042860386</v>
      </c>
    </row>
    <row r="64" spans="1:6" ht="15.75" thickBot="1">
      <c r="A64" s="41" t="s">
        <v>27</v>
      </c>
      <c r="B64" s="126">
        <f>B63</f>
        <v>27413.361042860386</v>
      </c>
    </row>
    <row r="65" spans="1:2">
      <c r="B65" s="1"/>
    </row>
    <row r="66" spans="1:2" ht="19.5" thickBot="1">
      <c r="A66" s="100" t="s">
        <v>50</v>
      </c>
      <c r="B66" s="42"/>
    </row>
    <row r="67" spans="1:2">
      <c r="A67" s="43" t="s">
        <v>26</v>
      </c>
      <c r="B67" s="124">
        <f>(B54/B53)*B58</f>
        <v>378014.29622559383</v>
      </c>
    </row>
    <row r="68" spans="1:2">
      <c r="A68" s="40" t="s">
        <v>25</v>
      </c>
      <c r="B68" s="125">
        <f>(B52/B52)*B59</f>
        <v>405015.31738456484</v>
      </c>
    </row>
    <row r="69" spans="1:2" ht="15.75" thickBot="1">
      <c r="A69" s="139" t="s">
        <v>24</v>
      </c>
      <c r="B69" s="140">
        <f>(B52/B52)*B64</f>
        <v>27413.361042860386</v>
      </c>
    </row>
    <row r="70" spans="1:2" ht="16.5" thickTop="1" thickBot="1">
      <c r="A70" s="131" t="s">
        <v>51</v>
      </c>
      <c r="B70" s="141">
        <f>B67+B68-B69</f>
        <v>755616.25256729824</v>
      </c>
    </row>
    <row r="71" spans="1:2">
      <c r="B71" s="1"/>
    </row>
    <row r="72" spans="1:2" ht="19.5" thickBot="1">
      <c r="A72" s="22" t="s">
        <v>88</v>
      </c>
      <c r="B72" s="1"/>
    </row>
    <row r="73" spans="1:2">
      <c r="A73" s="132" t="s">
        <v>48</v>
      </c>
      <c r="B73" s="135">
        <f>SUM(C36:O36,S36:Z36)+SUM(P37:R37)</f>
        <v>6295379.3653443092</v>
      </c>
    </row>
    <row r="74" spans="1:2">
      <c r="A74" s="133" t="s">
        <v>49</v>
      </c>
      <c r="B74" s="136">
        <f>SUM(P37:R37)+SUM(P38:R38)</f>
        <v>1023515</v>
      </c>
    </row>
    <row r="75" spans="1:2" ht="15.75" thickBot="1">
      <c r="A75" s="134" t="s">
        <v>37</v>
      </c>
      <c r="B75" s="137">
        <f>(B73+B74)-(B73+B70)</f>
        <v>267898.74743270222</v>
      </c>
    </row>
    <row r="76" spans="1:2" ht="15.75" thickBot="1">
      <c r="B76" s="138"/>
    </row>
  </sheetData>
  <mergeCells count="13">
    <mergeCell ref="A1:F1"/>
    <mergeCell ref="B7:O7"/>
    <mergeCell ref="B8:O8"/>
    <mergeCell ref="B38:O38"/>
    <mergeCell ref="P12:R16"/>
    <mergeCell ref="P20:R22"/>
    <mergeCell ref="P26:R29"/>
    <mergeCell ref="P33:R36"/>
    <mergeCell ref="S7:Z7"/>
    <mergeCell ref="S8:Z8"/>
    <mergeCell ref="A10:D10"/>
    <mergeCell ref="A2:D2"/>
    <mergeCell ref="B37:O37"/>
  </mergeCells>
  <pageMargins left="0.7" right="0.7" top="0.75" bottom="0.75" header="0.3" footer="0.3"/>
  <pageSetup paperSize="8" scale="6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Explanation</vt:lpstr>
      <vt:lpstr>CHP Shutdown Example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disruption plant shutdown example - CHP</dc:title>
  <dc:creator>Richard Hodges</dc:creator>
  <dc:description>LIT 10085, version 1
issue date: 02/02/2015</dc:description>
  <cp:lastModifiedBy>nsiebdrat</cp:lastModifiedBy>
  <cp:lastPrinted>2014-09-10T13:44:31Z</cp:lastPrinted>
  <dcterms:created xsi:type="dcterms:W3CDTF">2014-08-20T15:07:41Z</dcterms:created>
  <dcterms:modified xsi:type="dcterms:W3CDTF">2015-02-03T17:45:12Z</dcterms:modified>
</cp:coreProperties>
</file>