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20490" windowHeight="8340" activeTab="1"/>
  </bookViews>
  <sheets>
    <sheet name="Explanation" sheetId="4" r:id="rId1"/>
    <sheet name="Plant Shutdown Example" sheetId="1" r:id="rId2"/>
    <sheet name="TU Data" sheetId="5" state="hidden" r:id="rId3"/>
  </sheets>
  <externalReferences>
    <externalReference r:id="rId4"/>
  </externalReferences>
  <calcPr calcId="152511"/>
</workbook>
</file>

<file path=xl/calcChain.xml><?xml version="1.0" encoding="utf-8"?>
<calcChain xmlns="http://schemas.openxmlformats.org/spreadsheetml/2006/main">
  <c r="E17" i="5"/>
  <c r="C46"/>
  <c r="C45"/>
  <c r="C44"/>
  <c r="C39"/>
  <c r="C38"/>
  <c r="C37"/>
  <c r="C34"/>
  <c r="C33"/>
  <c r="C28"/>
  <c r="C27"/>
  <c r="C26"/>
  <c r="C25"/>
  <c r="C20"/>
  <c r="E18"/>
  <c r="C18"/>
  <c r="C17"/>
  <c r="E6"/>
  <c r="E4"/>
  <c r="E20" l="1"/>
  <c r="E33" s="1"/>
  <c r="R20" i="1" l="1"/>
  <c r="R19"/>
  <c r="Q20"/>
  <c r="Q19"/>
  <c r="C20"/>
  <c r="C19"/>
  <c r="C6"/>
  <c r="C5"/>
  <c r="B18" l="1"/>
  <c r="B21"/>
  <c r="AB20"/>
  <c r="AA20"/>
  <c r="Z20"/>
  <c r="Y20"/>
  <c r="X20"/>
  <c r="W20"/>
  <c r="V20"/>
  <c r="U20"/>
  <c r="T20"/>
  <c r="S20"/>
  <c r="P20"/>
  <c r="O20"/>
  <c r="N20"/>
  <c r="M20"/>
  <c r="L20"/>
  <c r="K20"/>
  <c r="J20"/>
  <c r="I20"/>
  <c r="H20"/>
  <c r="G20"/>
  <c r="F20"/>
  <c r="E20"/>
  <c r="D20"/>
  <c r="AB19"/>
  <c r="AA19"/>
  <c r="Z19"/>
  <c r="Y19"/>
  <c r="X19"/>
  <c r="W19"/>
  <c r="V19"/>
  <c r="U19"/>
  <c r="T19"/>
  <c r="S19"/>
  <c r="P19"/>
  <c r="O19"/>
  <c r="N19"/>
  <c r="M19"/>
  <c r="L19"/>
  <c r="K19"/>
  <c r="J19"/>
  <c r="I19"/>
  <c r="H19"/>
  <c r="G19"/>
  <c r="F19"/>
  <c r="E19"/>
  <c r="D19"/>
  <c r="D17"/>
  <c r="E17" s="1"/>
  <c r="F17" s="1"/>
  <c r="G17" s="1"/>
  <c r="H17" s="1"/>
  <c r="I17" s="1"/>
  <c r="J17" s="1"/>
  <c r="K17" s="1"/>
  <c r="L17" s="1"/>
  <c r="M17" s="1"/>
  <c r="N17" s="1"/>
  <c r="O17" s="1"/>
  <c r="Q17" s="1"/>
  <c r="S17" s="1"/>
  <c r="T17" s="1"/>
  <c r="U17" s="1"/>
  <c r="V17" s="1"/>
  <c r="W17" s="1"/>
  <c r="X17" s="1"/>
  <c r="Y17" s="1"/>
  <c r="Z17" s="1"/>
  <c r="AA17" s="1"/>
  <c r="AB17" s="1"/>
  <c r="P5"/>
  <c r="P6"/>
  <c r="B7"/>
  <c r="B20" l="1"/>
  <c r="B19"/>
  <c r="B4"/>
  <c r="E26" i="5" s="1"/>
  <c r="B22" i="1" l="1"/>
  <c r="D5"/>
  <c r="E5"/>
  <c r="F5"/>
  <c r="G5"/>
  <c r="H5"/>
  <c r="I5"/>
  <c r="J5"/>
  <c r="K5"/>
  <c r="L5"/>
  <c r="M5"/>
  <c r="N5"/>
  <c r="O5"/>
  <c r="S5"/>
  <c r="T5"/>
  <c r="U5"/>
  <c r="V5"/>
  <c r="W5"/>
  <c r="X5"/>
  <c r="Y5"/>
  <c r="Z5"/>
  <c r="AA5"/>
  <c r="AB5"/>
  <c r="E6"/>
  <c r="F6"/>
  <c r="G6"/>
  <c r="H6"/>
  <c r="I6"/>
  <c r="J6"/>
  <c r="K6"/>
  <c r="L6"/>
  <c r="M6"/>
  <c r="N6"/>
  <c r="O6"/>
  <c r="S6"/>
  <c r="T6"/>
  <c r="U6"/>
  <c r="V6"/>
  <c r="W6"/>
  <c r="X6"/>
  <c r="Y6"/>
  <c r="Z6"/>
  <c r="AA6"/>
  <c r="AB6"/>
  <c r="D6"/>
  <c r="D3"/>
  <c r="E3" s="1"/>
  <c r="F3" s="1"/>
  <c r="G3" s="1"/>
  <c r="H3" s="1"/>
  <c r="I3" s="1"/>
  <c r="J3" s="1"/>
  <c r="K3" s="1"/>
  <c r="L3" s="1"/>
  <c r="M3" s="1"/>
  <c r="N3" s="1"/>
  <c r="O3" s="1"/>
  <c r="Q3" s="1"/>
  <c r="S3" s="1"/>
  <c r="T3" s="1"/>
  <c r="U3" s="1"/>
  <c r="V3" s="1"/>
  <c r="W3" s="1"/>
  <c r="X3" s="1"/>
  <c r="Y3" s="1"/>
  <c r="Z3" s="1"/>
  <c r="AA3" s="1"/>
  <c r="AB3" s="1"/>
  <c r="B6" l="1"/>
  <c r="B5"/>
  <c r="E25" i="5" s="1"/>
  <c r="E28" l="1"/>
  <c r="E34" s="1"/>
  <c r="E35" s="1"/>
  <c r="E29"/>
  <c r="B8" i="1"/>
  <c r="B12" s="1"/>
  <c r="B25" s="1"/>
  <c r="E37" i="5" s="1"/>
  <c r="E38" s="1"/>
  <c r="E39" l="1"/>
  <c r="E40"/>
  <c r="B13" i="1"/>
  <c r="E46" i="5" l="1"/>
  <c r="E44"/>
  <c r="E45"/>
</calcChain>
</file>

<file path=xl/comments1.xml><?xml version="1.0" encoding="utf-8"?>
<comments xmlns="http://schemas.openxmlformats.org/spreadsheetml/2006/main">
  <authors>
    <author>David Vaughan</author>
  </authors>
  <commentList>
    <comment ref="C5" authorId="0">
      <text>
        <r>
          <rPr>
            <b/>
            <sz val="9"/>
            <color indexed="81"/>
            <rFont val="Tahoma"/>
            <family val="2"/>
          </rPr>
          <t xml:space="preserve">The formula here shows the relationship between fixed and production related electricity use </t>
        </r>
        <r>
          <rPr>
            <sz val="9"/>
            <color indexed="81"/>
            <rFont val="Tahoma"/>
            <family val="2"/>
          </rPr>
          <t xml:space="preserve">
</t>
        </r>
      </text>
    </comment>
    <comment ref="C6" authorId="0">
      <text>
        <r>
          <rPr>
            <b/>
            <sz val="9"/>
            <color indexed="81"/>
            <rFont val="Tahoma"/>
            <family val="2"/>
          </rPr>
          <t>The formula here shows the relationship between fixed and production related gas use</t>
        </r>
        <r>
          <rPr>
            <sz val="9"/>
            <color indexed="81"/>
            <rFont val="Tahoma"/>
            <family val="2"/>
          </rPr>
          <t xml:space="preserve">
</t>
        </r>
      </text>
    </comment>
    <comment ref="Q19" authorId="0">
      <text>
        <r>
          <rPr>
            <b/>
            <sz val="9"/>
            <color indexed="81"/>
            <rFont val="Tahoma"/>
            <family val="2"/>
          </rPr>
          <t>Fixed energy that would have been used during the supply disruption</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E35" authorId="0">
      <text>
        <r>
          <rPr>
            <b/>
            <sz val="9"/>
            <color indexed="81"/>
            <rFont val="Tahoma"/>
            <family val="2"/>
          </rPr>
          <t>A supply disruption variation will only be considered if the answer here is Yes.</t>
        </r>
        <r>
          <rPr>
            <sz val="9"/>
            <color indexed="81"/>
            <rFont val="Tahoma"/>
            <family val="2"/>
          </rPr>
          <t xml:space="preserve">
</t>
        </r>
      </text>
    </comment>
    <comment ref="E37" authorId="0">
      <text>
        <r>
          <rPr>
            <b/>
            <sz val="9"/>
            <color indexed="81"/>
            <rFont val="Tahoma"/>
            <family val="2"/>
          </rPr>
          <t>This value needs to be determined from supplementary calculations for the specific case</t>
        </r>
        <r>
          <rPr>
            <sz val="9"/>
            <color indexed="81"/>
            <rFont val="Tahoma"/>
            <family val="2"/>
          </rPr>
          <t xml:space="preserve">
</t>
        </r>
      </text>
    </comment>
    <comment ref="E40" authorId="0">
      <text>
        <r>
          <rPr>
            <b/>
            <sz val="9"/>
            <color indexed="81"/>
            <rFont val="Tahoma"/>
            <family val="2"/>
          </rPr>
          <t>A supply disruption variation will only be considered if the answer here is Yes.</t>
        </r>
        <r>
          <rPr>
            <sz val="9"/>
            <color indexed="81"/>
            <rFont val="Tahoma"/>
            <family val="2"/>
          </rPr>
          <t xml:space="preserve">
</t>
        </r>
      </text>
    </comment>
  </commentList>
</comments>
</file>

<file path=xl/sharedStrings.xml><?xml version="1.0" encoding="utf-8"?>
<sst xmlns="http://schemas.openxmlformats.org/spreadsheetml/2006/main" count="78" uniqueCount="70">
  <si>
    <t>Month</t>
  </si>
  <si>
    <t>Production (tonne)</t>
  </si>
  <si>
    <t>Total</t>
  </si>
  <si>
    <t>Primary Electricity Imported from Grid (kWh)</t>
  </si>
  <si>
    <t>Target (kWh/tonne)</t>
  </si>
  <si>
    <t>Actual Performance (kWh/tonne)</t>
  </si>
  <si>
    <t>Can supply disruption be invoked?</t>
  </si>
  <si>
    <t>IS SUPPLY DISRUPTION RELEVANT?</t>
  </si>
  <si>
    <t>Natural Gas Demand (kWh)</t>
  </si>
  <si>
    <t>Primary energy used by diesel generator (kWh)</t>
  </si>
  <si>
    <t>Actual CCA Facility Production and Delivered Energy Consumption over 24 months</t>
  </si>
  <si>
    <t>Normal CCA Facility Production and Delivered Energy Consumption over 24 months</t>
  </si>
  <si>
    <t>10 days normal</t>
  </si>
  <si>
    <t>17 days shutdown</t>
  </si>
  <si>
    <t>3 days restart</t>
  </si>
  <si>
    <t>Additonal energy incurred as a result of the disruption</t>
  </si>
  <si>
    <t>Situation</t>
  </si>
  <si>
    <t>An electricity supply failure to the site occurred in month 14 of the Target Period. As this was not a scheduled maintenance shutdown the production plant incurred some gas demand for an additional shut down and restart during which there was no production. An emergency diesel generator was needed during the shutdown and grid electricity was used during the start up.</t>
  </si>
  <si>
    <t>Is Supply Disruption Relevant?</t>
  </si>
  <si>
    <t>Supply Disruption is relevant only if the Target Unit has not met its target. In this example we have:</t>
  </si>
  <si>
    <t>Therefore the Target Unit has not met its target and so can go through the process of demonstrating that the supply disruption was responsible for not meet the target.</t>
  </si>
  <si>
    <t>Revision of target performance</t>
  </si>
  <si>
    <t>The target may be adjusted to take account of the difference between the quantity and type of primary energy consumption that would normally have been required to support operations for the period of the supply failure and the quantity and type of primary energy consumption that was actually required to support operations during the period of the failure. The difference between the two will be taken as the additional energy (or carbon) incurred by the target facility as a result of the unexpected supply disruption.</t>
  </si>
  <si>
    <t>DATA REQUIRED FOR EVALUATION OF SUPPLY DISRUPTION EFFECT</t>
  </si>
  <si>
    <t>Normal Performance (kWh/tonne)</t>
  </si>
  <si>
    <t>DETERMINATION OF 'NORMAL' OPERATION DATA</t>
  </si>
  <si>
    <t>Determination of 'Normal' operation data</t>
  </si>
  <si>
    <t>REVISION OF TARGET PERFORMANCE</t>
  </si>
  <si>
    <t>The CCA Facility’s demand for primary electricity, natural gas and diesel and its production over the Target Period are in cells C4: AB7. Cells Q4:R7 show data for the affected period.</t>
  </si>
  <si>
    <t>The CCA Facility’s predicted demand for primary electricity, natural gas and diesel and its production over the Target Period if the supply disruption had not occurred are in cells C13: AB16. Cells Q13:R16 show predicted data for the affected period.</t>
  </si>
  <si>
    <t>Data required for evaluation of supply disruption effect</t>
  </si>
  <si>
    <t xml:space="preserve">The site has fixed and production related energy demands. The fixed demands need to be discounted from the effect of the supply disruption. </t>
  </si>
  <si>
    <t>For Target Units where an Energy Supply Disruption has affected performance</t>
  </si>
  <si>
    <t>Evidence to support the case for an adjustment to the target</t>
  </si>
  <si>
    <t>Instructions:</t>
  </si>
  <si>
    <t>Header</t>
  </si>
  <si>
    <t>Please complete manual entry and drop down fields.</t>
  </si>
  <si>
    <t>Manual Entry</t>
  </si>
  <si>
    <t>Drop-down list</t>
  </si>
  <si>
    <t>Calculation</t>
  </si>
  <si>
    <t>Inputs to EA Register</t>
  </si>
  <si>
    <t>Data not needed</t>
  </si>
  <si>
    <t>Section 1: Target Unit Details and Targets</t>
  </si>
  <si>
    <t>TU Details</t>
  </si>
  <si>
    <t>Identifier</t>
  </si>
  <si>
    <t>Test</t>
  </si>
  <si>
    <t xml:space="preserve">Target Type </t>
  </si>
  <si>
    <t>Relative</t>
  </si>
  <si>
    <t>Energy/Carbon Unit</t>
  </si>
  <si>
    <t>kWh</t>
  </si>
  <si>
    <t>Throughput units</t>
  </si>
  <si>
    <t>kg</t>
  </si>
  <si>
    <t>Base year start date</t>
  </si>
  <si>
    <t>TP Target</t>
  </si>
  <si>
    <t>Value of latest agreement target %</t>
  </si>
  <si>
    <t>Section 2: Target Period performance</t>
  </si>
  <si>
    <t>Actual TP Performance</t>
  </si>
  <si>
    <t>Target Period performance %</t>
  </si>
  <si>
    <t>Section 3: Impact of supply disruption on Target Period performance</t>
  </si>
  <si>
    <t>Was the TP target not met?</t>
  </si>
  <si>
    <t>Was the TP target not met because of supply disruption?</t>
  </si>
  <si>
    <t>Was the Target Period target not met because of supply disruption?</t>
  </si>
  <si>
    <t>Section 4: Adusted target for input to register</t>
  </si>
  <si>
    <t>Input to register</t>
  </si>
  <si>
    <t>Over a 24 month period represented by a target period, a CCA facility required 3,533,000 kWh of natural gas and 1,634,400 kWh of grid (metered) electricity and 20,800 of diesel to produce 116,100 tonnes of product.</t>
  </si>
  <si>
    <t>Actual Target = 44.490 kWh/tonne</t>
  </si>
  <si>
    <t>Actual Performance = 44.687 kWh/tonne</t>
  </si>
  <si>
    <t>The energy that would normally have been used during month 14 has been determined on the basis of applying the energy /production relationship for the operational period to the period of disruption. The revised performance determined for ‘normal’ operation is 44.389 kWh/tonne so the TU has achieved its target. The additional energy incurred by the target facility as a result of the unexpected supply disruption was 34638.7 kWh.</t>
  </si>
  <si>
    <r>
      <t>·</t>
    </r>
    <r>
      <rPr>
        <sz val="7"/>
        <color theme="1"/>
        <rFont val="Calibri"/>
        <family val="2"/>
        <scheme val="minor"/>
      </rPr>
      <t xml:space="preserve">         </t>
    </r>
    <r>
      <rPr>
        <sz val="11"/>
        <color theme="1"/>
        <rFont val="Calibri"/>
        <family val="2"/>
        <scheme val="minor"/>
      </rPr>
      <t>Over months 1-13 and 15-24 the site operated normally, derived all of its energy electricity requirements from grid electricity and gas supplies.</t>
    </r>
  </si>
  <si>
    <r>
      <t>·</t>
    </r>
    <r>
      <rPr>
        <sz val="7"/>
        <color theme="1"/>
        <rFont val="Calibri"/>
        <family val="2"/>
        <scheme val="minor"/>
      </rPr>
      <t xml:space="preserve">         </t>
    </r>
    <r>
      <rPr>
        <sz val="11"/>
        <color theme="1"/>
        <rFont val="Calibri"/>
        <family val="2"/>
        <scheme val="minor"/>
      </rPr>
      <t>Over month 14 (30 days) the site ran normally for 10 days, meter data allowed the energy used and production for this period to be determined. The electricity supply failure lasted for 17 days and the site did not produce but used: some diesel to generate electricity and natural gas. The site then has to restart over a period of 3 days using natural gas and grid electricity but not producing.</t>
    </r>
  </si>
</sst>
</file>

<file path=xl/styles.xml><?xml version="1.0" encoding="utf-8"?>
<styleSheet xmlns="http://schemas.openxmlformats.org/spreadsheetml/2006/main">
  <numFmts count="6">
    <numFmt numFmtId="43" formatCode="_-* #,##0.00_-;\-* #,##0.00_-;_-* &quot;-&quot;??_-;_-@_-"/>
    <numFmt numFmtId="164" formatCode="#,##0.000"/>
    <numFmt numFmtId="165" formatCode="0.000"/>
    <numFmt numFmtId="166" formatCode="#,##0.0"/>
    <numFmt numFmtId="167" formatCode="#,##0.000_ ;\-#,##0.000\ "/>
    <numFmt numFmtId="168" formatCode="0.000%"/>
  </numFmts>
  <fonts count="17">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sz val="9"/>
      <color indexed="81"/>
      <name val="Tahoma"/>
      <family val="2"/>
    </font>
    <font>
      <b/>
      <sz val="9"/>
      <color indexed="81"/>
      <name val="Tahoma"/>
      <family val="2"/>
    </font>
    <font>
      <b/>
      <sz val="20"/>
      <color theme="0"/>
      <name val="Calibri"/>
      <family val="2"/>
      <scheme val="minor"/>
    </font>
    <font>
      <sz val="14"/>
      <color theme="0"/>
      <name val="Calibri"/>
      <family val="2"/>
      <scheme val="minor"/>
    </font>
    <font>
      <b/>
      <sz val="11"/>
      <name val="Arial"/>
      <family val="2"/>
    </font>
    <font>
      <b/>
      <sz val="10"/>
      <color theme="1"/>
      <name val="Arial"/>
      <family val="2"/>
    </font>
    <font>
      <b/>
      <sz val="10"/>
      <name val="Arial"/>
      <family val="2"/>
    </font>
    <font>
      <b/>
      <sz val="11"/>
      <color theme="1"/>
      <name val="Arial"/>
      <family val="2"/>
    </font>
    <font>
      <b/>
      <sz val="20"/>
      <name val="Calibri"/>
      <family val="2"/>
      <scheme val="minor"/>
    </font>
    <font>
      <b/>
      <sz val="20"/>
      <color theme="1"/>
      <name val="Calibri"/>
      <family val="2"/>
      <scheme val="minor"/>
    </font>
    <font>
      <sz val="7"/>
      <color theme="1"/>
      <name val="Calibri"/>
      <family val="2"/>
      <scheme val="minor"/>
    </font>
    <font>
      <b/>
      <sz val="14"/>
      <color theme="0"/>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6" tint="-0.249977111117893"/>
        <bgColor indexed="64"/>
      </patternFill>
    </fill>
    <fill>
      <patternFill patternType="solid">
        <fgColor theme="0"/>
        <bgColor indexed="64"/>
      </patternFill>
    </fill>
    <fill>
      <patternFill patternType="solid">
        <fgColor indexed="4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99CCFF"/>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36">
    <xf numFmtId="0" fontId="0" fillId="0" borderId="0" xfId="0"/>
    <xf numFmtId="3" fontId="0" fillId="0" borderId="0" xfId="0" applyNumberFormat="1"/>
    <xf numFmtId="2" fontId="0" fillId="0" borderId="0" xfId="0" applyNumberFormat="1"/>
    <xf numFmtId="3" fontId="0" fillId="0" borderId="0" xfId="0" applyNumberFormat="1" applyFill="1"/>
    <xf numFmtId="164" fontId="0" fillId="0" borderId="0" xfId="0" applyNumberFormat="1"/>
    <xf numFmtId="0" fontId="2" fillId="0" borderId="0" xfId="0" applyFont="1"/>
    <xf numFmtId="3" fontId="1" fillId="0" borderId="0" xfId="0" applyNumberFormat="1" applyFont="1" applyFill="1" applyBorder="1"/>
    <xf numFmtId="0" fontId="0" fillId="0" borderId="0" xfId="0" applyAlignment="1">
      <alignment wrapText="1"/>
    </xf>
    <xf numFmtId="0" fontId="3" fillId="0" borderId="0" xfId="0" applyFont="1" applyAlignment="1">
      <alignment wrapText="1"/>
    </xf>
    <xf numFmtId="0" fontId="0" fillId="0" borderId="1" xfId="0" applyBorder="1"/>
    <xf numFmtId="3" fontId="0" fillId="3" borderId="1" xfId="0" applyNumberFormat="1" applyFill="1" applyBorder="1"/>
    <xf numFmtId="3" fontId="0" fillId="2" borderId="1" xfId="0" applyNumberFormat="1" applyFill="1" applyBorder="1"/>
    <xf numFmtId="0" fontId="0" fillId="0" borderId="1" xfId="0" applyBorder="1" applyAlignment="1">
      <alignment wrapText="1"/>
    </xf>
    <xf numFmtId="3" fontId="0" fillId="4" borderId="1" xfId="0" applyNumberFormat="1" applyFill="1" applyBorder="1"/>
    <xf numFmtId="0" fontId="0" fillId="0" borderId="1" xfId="0" applyBorder="1" applyAlignment="1">
      <alignment vertical="center" wrapText="1"/>
    </xf>
    <xf numFmtId="0" fontId="7" fillId="5" borderId="5" xfId="0" applyFont="1" applyFill="1" applyBorder="1" applyAlignment="1" applyProtection="1">
      <alignment vertical="center"/>
    </xf>
    <xf numFmtId="0" fontId="0" fillId="5" borderId="6" xfId="0" applyFill="1" applyBorder="1" applyAlignment="1" applyProtection="1">
      <alignment vertical="center"/>
    </xf>
    <xf numFmtId="0" fontId="0" fillId="5" borderId="7" xfId="0" applyFill="1" applyBorder="1" applyProtection="1"/>
    <xf numFmtId="0" fontId="0" fillId="0" borderId="0" xfId="0" applyFill="1"/>
    <xf numFmtId="0" fontId="8" fillId="5" borderId="8" xfId="0" applyFont="1" applyFill="1" applyBorder="1" applyAlignment="1" applyProtection="1">
      <alignment vertical="center"/>
    </xf>
    <xf numFmtId="0" fontId="0" fillId="5" borderId="0" xfId="0" applyFill="1" applyBorder="1" applyAlignment="1" applyProtection="1">
      <alignment vertical="center"/>
    </xf>
    <xf numFmtId="0" fontId="0" fillId="5" borderId="9" xfId="0" applyFill="1" applyBorder="1" applyProtection="1"/>
    <xf numFmtId="0" fontId="9" fillId="7" borderId="10" xfId="0" applyFont="1" applyFill="1" applyBorder="1" applyAlignment="1" applyProtection="1">
      <alignment horizontal="left" vertical="center" wrapText="1"/>
    </xf>
    <xf numFmtId="0" fontId="0" fillId="6" borderId="0" xfId="0" applyFill="1" applyBorder="1" applyAlignment="1" applyProtection="1">
      <alignment vertical="center"/>
    </xf>
    <xf numFmtId="0" fontId="0" fillId="6" borderId="9" xfId="0" applyFill="1" applyBorder="1" applyProtection="1"/>
    <xf numFmtId="0" fontId="0" fillId="6" borderId="0" xfId="0" applyFill="1" applyBorder="1"/>
    <xf numFmtId="0" fontId="0" fillId="0" borderId="0" xfId="0" applyBorder="1"/>
    <xf numFmtId="49" fontId="9" fillId="8" borderId="10" xfId="0" applyNumberFormat="1" applyFont="1" applyFill="1" applyBorder="1" applyAlignment="1" applyProtection="1">
      <alignment horizontal="left" vertical="center" wrapText="1"/>
    </xf>
    <xf numFmtId="0" fontId="10" fillId="6" borderId="0" xfId="0" applyFont="1" applyFill="1" applyBorder="1" applyAlignment="1" applyProtection="1">
      <alignment vertical="center"/>
    </xf>
    <xf numFmtId="0" fontId="0" fillId="0" borderId="9" xfId="0" applyBorder="1" applyProtection="1"/>
    <xf numFmtId="9" fontId="9" fillId="6" borderId="0" xfId="2" applyFont="1" applyFill="1" applyBorder="1" applyAlignment="1"/>
    <xf numFmtId="166" fontId="9" fillId="0" borderId="0" xfId="0" applyNumberFormat="1" applyFont="1" applyFill="1" applyBorder="1" applyAlignment="1"/>
    <xf numFmtId="3" fontId="9" fillId="0" borderId="0" xfId="0" applyNumberFormat="1" applyFont="1" applyFill="1" applyBorder="1" applyAlignment="1"/>
    <xf numFmtId="0" fontId="10" fillId="4" borderId="10" xfId="0" applyFont="1" applyFill="1" applyBorder="1" applyAlignment="1" applyProtection="1">
      <alignment horizontal="left" vertical="center" wrapText="1"/>
    </xf>
    <xf numFmtId="49" fontId="11" fillId="6" borderId="0" xfId="0" applyNumberFormat="1" applyFont="1" applyFill="1" applyBorder="1" applyAlignment="1" applyProtection="1">
      <alignment vertical="center"/>
    </xf>
    <xf numFmtId="166" fontId="9" fillId="6" borderId="9" xfId="0" applyNumberFormat="1" applyFont="1" applyFill="1" applyBorder="1" applyAlignment="1" applyProtection="1"/>
    <xf numFmtId="3" fontId="9" fillId="9" borderId="10" xfId="0" applyNumberFormat="1" applyFont="1" applyFill="1" applyBorder="1" applyAlignment="1" applyProtection="1">
      <alignment horizontal="left" vertical="center" wrapText="1"/>
    </xf>
    <xf numFmtId="0" fontId="0" fillId="0" borderId="8" xfId="0" applyBorder="1" applyAlignment="1" applyProtection="1">
      <alignment vertical="center"/>
    </xf>
    <xf numFmtId="0" fontId="0" fillId="0" borderId="0" xfId="0" applyBorder="1" applyAlignment="1" applyProtection="1">
      <alignment vertical="center"/>
    </xf>
    <xf numFmtId="0" fontId="12" fillId="10" borderId="10" xfId="0" applyFont="1" applyFill="1" applyBorder="1" applyAlignment="1" applyProtection="1">
      <alignment vertical="center"/>
    </xf>
    <xf numFmtId="0" fontId="12" fillId="11" borderId="1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0" fillId="0" borderId="0" xfId="0" applyFill="1" applyBorder="1"/>
    <xf numFmtId="0" fontId="0" fillId="8" borderId="1" xfId="0"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14" fontId="0" fillId="8" borderId="1" xfId="0" applyNumberFormat="1" applyFill="1" applyBorder="1" applyAlignment="1" applyProtection="1">
      <alignment horizontal="center" vertical="center"/>
      <protection locked="0"/>
    </xf>
    <xf numFmtId="167" fontId="4" fillId="8" borderId="1" xfId="1" applyNumberFormat="1" applyFont="1" applyFill="1" applyBorder="1" applyAlignment="1" applyProtection="1">
      <alignment horizontal="right" vertical="center"/>
      <protection locked="0"/>
    </xf>
    <xf numFmtId="0" fontId="1" fillId="0" borderId="0" xfId="0" applyFont="1" applyFill="1" applyBorder="1" applyAlignment="1" applyProtection="1">
      <alignment vertical="center"/>
    </xf>
    <xf numFmtId="0" fontId="0" fillId="0" borderId="0" xfId="0" applyFill="1" applyBorder="1" applyAlignment="1" applyProtection="1">
      <alignment vertical="center"/>
    </xf>
    <xf numFmtId="167" fontId="4" fillId="9" borderId="1" xfId="1" applyNumberFormat="1" applyFont="1" applyFill="1" applyBorder="1" applyAlignment="1" applyProtection="1">
      <alignment horizontal="right" vertical="center"/>
    </xf>
    <xf numFmtId="168" fontId="0" fillId="8" borderId="1" xfId="0" applyNumberForma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0" borderId="9" xfId="0" applyFont="1" applyFill="1" applyBorder="1" applyAlignment="1" applyProtection="1">
      <alignment vertical="center" wrapText="1"/>
    </xf>
    <xf numFmtId="165" fontId="0" fillId="9" borderId="1" xfId="0" applyNumberFormat="1" applyFill="1" applyBorder="1" applyAlignment="1" applyProtection="1">
      <alignment horizontal="right" vertical="center"/>
    </xf>
    <xf numFmtId="168" fontId="0" fillId="9" borderId="1" xfId="0" applyNumberFormat="1" applyFill="1" applyBorder="1" applyAlignment="1" applyProtection="1">
      <alignment horizontal="right" vertical="center"/>
    </xf>
    <xf numFmtId="0" fontId="14" fillId="0" borderId="9" xfId="0" applyFont="1" applyFill="1" applyBorder="1" applyAlignment="1" applyProtection="1">
      <alignment horizontal="left" vertical="center"/>
    </xf>
    <xf numFmtId="167" fontId="0" fillId="9" borderId="1" xfId="0" applyNumberFormat="1" applyFill="1" applyBorder="1" applyAlignment="1" applyProtection="1">
      <alignment vertical="center"/>
    </xf>
    <xf numFmtId="0" fontId="0" fillId="9" borderId="1" xfId="0" applyFill="1" applyBorder="1" applyAlignment="1" applyProtection="1">
      <alignment horizontal="center" vertical="center"/>
    </xf>
    <xf numFmtId="165" fontId="0" fillId="8" borderId="1" xfId="0" applyNumberFormat="1" applyFill="1" applyBorder="1" applyAlignment="1" applyProtection="1">
      <alignment horizontal="right" vertical="center"/>
      <protection locked="0"/>
    </xf>
    <xf numFmtId="165" fontId="0" fillId="9" borderId="1" xfId="0" applyNumberFormat="1" applyFill="1" applyBorder="1" applyAlignment="1" applyProtection="1">
      <alignment horizontal="center" vertical="center"/>
    </xf>
    <xf numFmtId="0" fontId="1" fillId="0" borderId="14" xfId="0" quotePrefix="1" applyFont="1" applyFill="1" applyBorder="1" applyAlignment="1" applyProtection="1">
      <alignment horizontal="center" vertical="center" wrapText="1"/>
    </xf>
    <xf numFmtId="0" fontId="1" fillId="0" borderId="14" xfId="0" applyFont="1" applyFill="1" applyBorder="1" applyAlignment="1" applyProtection="1">
      <alignment horizontal="left" vertical="center"/>
    </xf>
    <xf numFmtId="165" fontId="0" fillId="0" borderId="14" xfId="0" applyNumberFormat="1" applyFill="1" applyBorder="1" applyAlignment="1" applyProtection="1">
      <alignment horizontal="center" vertical="center"/>
    </xf>
    <xf numFmtId="0" fontId="1" fillId="0" borderId="0" xfId="0" quotePrefix="1" applyFont="1" applyFill="1" applyBorder="1" applyAlignment="1" applyProtection="1">
      <alignment horizontal="center" vertical="center" wrapText="1"/>
    </xf>
    <xf numFmtId="0" fontId="1" fillId="0" borderId="15" xfId="0" applyFont="1" applyFill="1" applyBorder="1" applyAlignment="1" applyProtection="1">
      <alignment horizontal="left" vertical="center"/>
    </xf>
    <xf numFmtId="165" fontId="0" fillId="0" borderId="15" xfId="0" applyNumberFormat="1" applyFill="1" applyBorder="1" applyAlignment="1" applyProtection="1">
      <alignment horizontal="center" vertical="center"/>
    </xf>
    <xf numFmtId="167" fontId="4" fillId="8" borderId="1" xfId="1" applyNumberFormat="1" applyFont="1" applyFill="1" applyBorder="1" applyAlignment="1" applyProtection="1">
      <alignment horizontal="right" vertical="center"/>
    </xf>
    <xf numFmtId="168" fontId="4" fillId="8" borderId="1" xfId="1" applyNumberFormat="1" applyFont="1" applyFill="1" applyBorder="1" applyAlignment="1" applyProtection="1">
      <alignment horizontal="right" vertical="center"/>
    </xf>
    <xf numFmtId="0" fontId="0" fillId="0" borderId="16" xfId="0" applyBorder="1" applyProtection="1"/>
    <xf numFmtId="0" fontId="0" fillId="0" borderId="17" xfId="0" applyBorder="1" applyProtection="1"/>
    <xf numFmtId="0" fontId="0" fillId="0" borderId="18" xfId="0" applyBorder="1" applyProtection="1"/>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13" borderId="1" xfId="0" applyFont="1" applyFill="1" applyBorder="1"/>
    <xf numFmtId="0" fontId="2" fillId="13" borderId="1" xfId="0" applyFont="1" applyFill="1" applyBorder="1" applyAlignment="1">
      <alignment vertical="center"/>
    </xf>
    <xf numFmtId="0" fontId="0" fillId="0" borderId="19" xfId="0" applyBorder="1"/>
    <xf numFmtId="0" fontId="0" fillId="3" borderId="20" xfId="0" applyFill="1" applyBorder="1"/>
    <xf numFmtId="0" fontId="0" fillId="2" borderId="20" xfId="0" applyFill="1" applyBorder="1"/>
    <xf numFmtId="0" fontId="0" fillId="3" borderId="21" xfId="0" applyFill="1" applyBorder="1"/>
    <xf numFmtId="0" fontId="0" fillId="0" borderId="22" xfId="0" applyBorder="1"/>
    <xf numFmtId="3" fontId="0" fillId="3" borderId="23" xfId="0" applyNumberFormat="1" applyFill="1" applyBorder="1"/>
    <xf numFmtId="0" fontId="0" fillId="0" borderId="24" xfId="0" applyBorder="1"/>
    <xf numFmtId="3" fontId="0" fillId="3" borderId="25" xfId="0" applyNumberFormat="1" applyFill="1" applyBorder="1"/>
    <xf numFmtId="3" fontId="0" fillId="2" borderId="25" xfId="0" applyNumberFormat="1" applyFill="1" applyBorder="1"/>
    <xf numFmtId="3" fontId="0" fillId="3" borderId="26" xfId="0" applyNumberFormat="1" applyFill="1" applyBorder="1"/>
    <xf numFmtId="0" fontId="0" fillId="0" borderId="10" xfId="0" applyBorder="1" applyAlignment="1">
      <alignment wrapText="1"/>
    </xf>
    <xf numFmtId="0" fontId="2" fillId="0" borderId="3" xfId="0" applyFont="1" applyBorder="1"/>
    <xf numFmtId="0" fontId="0" fillId="0" borderId="0" xfId="0" applyBorder="1" applyAlignment="1">
      <alignment wrapText="1"/>
    </xf>
    <xf numFmtId="0" fontId="0" fillId="0" borderId="27" xfId="0" applyBorder="1"/>
    <xf numFmtId="3" fontId="1" fillId="0" borderId="12" xfId="0" applyNumberFormat="1" applyFont="1" applyBorder="1"/>
    <xf numFmtId="3" fontId="1" fillId="0" borderId="28" xfId="0" applyNumberFormat="1" applyFont="1" applyBorder="1"/>
    <xf numFmtId="0" fontId="0" fillId="0" borderId="29" xfId="0" applyBorder="1"/>
    <xf numFmtId="0" fontId="0" fillId="0" borderId="30" xfId="0" applyBorder="1"/>
    <xf numFmtId="0" fontId="0" fillId="0" borderId="31" xfId="0" applyBorder="1"/>
    <xf numFmtId="164" fontId="0" fillId="0" borderId="10" xfId="0" applyNumberFormat="1" applyBorder="1"/>
    <xf numFmtId="165" fontId="0" fillId="0" borderId="21" xfId="0" applyNumberFormat="1" applyBorder="1"/>
    <xf numFmtId="165" fontId="0" fillId="0" borderId="23" xfId="0" applyNumberFormat="1" applyBorder="1"/>
    <xf numFmtId="0" fontId="1" fillId="0" borderId="26" xfId="0" applyFont="1" applyBorder="1" applyAlignment="1">
      <alignment horizontal="center"/>
    </xf>
    <xf numFmtId="0" fontId="0" fillId="3" borderId="27" xfId="0" applyFill="1" applyBorder="1"/>
    <xf numFmtId="3" fontId="0" fillId="3" borderId="12" xfId="0" applyNumberFormat="1" applyFill="1" applyBorder="1"/>
    <xf numFmtId="3" fontId="0" fillId="3" borderId="28" xfId="0" applyNumberFormat="1" applyFill="1" applyBorder="1"/>
    <xf numFmtId="3" fontId="1" fillId="0" borderId="30" xfId="0" applyNumberFormat="1" applyFont="1" applyBorder="1"/>
    <xf numFmtId="3" fontId="1" fillId="0" borderId="31" xfId="0" applyNumberFormat="1" applyFont="1" applyBorder="1"/>
    <xf numFmtId="0" fontId="1" fillId="0" borderId="3" xfId="0" applyFont="1" applyBorder="1" applyAlignment="1">
      <alignment horizontal="left" wrapText="1"/>
    </xf>
    <xf numFmtId="0" fontId="2" fillId="0" borderId="0" xfId="0" applyFont="1" applyBorder="1"/>
    <xf numFmtId="0" fontId="0" fillId="4" borderId="20" xfId="0" applyFill="1" applyBorder="1"/>
    <xf numFmtId="3" fontId="0" fillId="4" borderId="25" xfId="0" applyNumberFormat="1" applyFill="1" applyBorder="1"/>
    <xf numFmtId="0" fontId="0" fillId="0" borderId="32" xfId="0" applyBorder="1" applyAlignment="1">
      <alignment wrapText="1"/>
    </xf>
    <xf numFmtId="0" fontId="0" fillId="0" borderId="33" xfId="0" applyBorder="1"/>
    <xf numFmtId="0" fontId="0" fillId="0" borderId="10" xfId="0" applyBorder="1"/>
    <xf numFmtId="0" fontId="16" fillId="5" borderId="1" xfId="0" applyFont="1" applyFill="1" applyBorder="1" applyAlignment="1">
      <alignment vertical="top"/>
    </xf>
    <xf numFmtId="0" fontId="2" fillId="0" borderId="34" xfId="0" applyFont="1" applyBorder="1" applyAlignment="1">
      <alignment horizontal="left" wrapText="1"/>
    </xf>
    <xf numFmtId="0" fontId="2" fillId="0" borderId="17" xfId="0" applyFont="1" applyBorder="1" applyAlignment="1">
      <alignment horizontal="left" wrapText="1"/>
    </xf>
    <xf numFmtId="0" fontId="1" fillId="12" borderId="11" xfId="0" applyFont="1" applyFill="1" applyBorder="1" applyAlignment="1" applyProtection="1">
      <alignment horizontal="left" vertical="center" wrapText="1"/>
    </xf>
    <xf numFmtId="0" fontId="1" fillId="12" borderId="12" xfId="0" applyFont="1" applyFill="1" applyBorder="1" applyAlignment="1" applyProtection="1">
      <alignment horizontal="left" vertical="center" wrapText="1"/>
    </xf>
    <xf numFmtId="0" fontId="0" fillId="0" borderId="0" xfId="0" applyFill="1" applyBorder="1" applyAlignment="1">
      <alignment horizontal="center"/>
    </xf>
    <xf numFmtId="0" fontId="9" fillId="6" borderId="8"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9" xfId="0" applyFont="1" applyFill="1" applyBorder="1" applyAlignment="1" applyProtection="1">
      <alignment horizontal="left" vertical="center"/>
    </xf>
    <xf numFmtId="49" fontId="9" fillId="6" borderId="8" xfId="0" applyNumberFormat="1" applyFont="1" applyFill="1" applyBorder="1" applyAlignment="1" applyProtection="1">
      <alignment horizontal="left" vertical="center" wrapText="1"/>
    </xf>
    <xf numFmtId="49" fontId="9" fillId="6" borderId="0" xfId="0" applyNumberFormat="1" applyFont="1" applyFill="1" applyBorder="1" applyAlignment="1" applyProtection="1">
      <alignment horizontal="left" vertical="center" wrapText="1"/>
    </xf>
    <xf numFmtId="49" fontId="9" fillId="6" borderId="9" xfId="0" applyNumberFormat="1" applyFont="1" applyFill="1" applyBorder="1" applyAlignment="1" applyProtection="1">
      <alignment horizontal="left" vertical="center" wrapText="1"/>
    </xf>
    <xf numFmtId="0" fontId="1" fillId="12" borderId="2" xfId="0" applyFont="1" applyFill="1" applyBorder="1" applyAlignment="1" applyProtection="1">
      <alignment horizontal="center" vertical="center"/>
    </xf>
    <xf numFmtId="0" fontId="1" fillId="12" borderId="3" xfId="0" applyFont="1" applyFill="1" applyBorder="1" applyAlignment="1" applyProtection="1">
      <alignment horizontal="center" vertical="center"/>
    </xf>
    <xf numFmtId="0" fontId="1" fillId="12" borderId="4"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1" fillId="12" borderId="1" xfId="0" applyFont="1" applyFill="1" applyBorder="1" applyAlignment="1" applyProtection="1">
      <alignment horizontal="center" vertical="center" wrapText="1"/>
    </xf>
    <xf numFmtId="0" fontId="1" fillId="12" borderId="12"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1" fillId="12" borderId="11" xfId="0" applyFont="1" applyFill="1" applyBorder="1" applyAlignment="1" applyProtection="1">
      <alignment horizontal="left" vertical="center"/>
    </xf>
    <xf numFmtId="0" fontId="1" fillId="12" borderId="1" xfId="0" quotePrefix="1" applyFont="1" applyFill="1" applyBorder="1" applyAlignment="1" applyProtection="1">
      <alignment horizontal="center" vertical="center" wrapText="1"/>
    </xf>
  </cellXfs>
  <cellStyles count="3">
    <cellStyle name="Comma" xfId="1" builtinId="3"/>
    <cellStyle name="Normal" xfId="0" builtinId="0"/>
    <cellStyle name="Percent" xfId="2" builtinId="5"/>
  </cellStyles>
  <dxfs count="23">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34998626667073579"/>
        </patternFill>
      </fill>
    </dxf>
    <dxf>
      <fill>
        <patternFill>
          <bgColor theme="6" tint="0.39994506668294322"/>
        </patternFill>
      </fill>
    </dxf>
    <dxf>
      <fill>
        <patternFill>
          <bgColor theme="6" tint="0.39994506668294322"/>
        </patternFill>
      </fill>
    </dxf>
    <dxf>
      <fill>
        <patternFill>
          <bgColor theme="0" tint="-0.34998626667073579"/>
        </patternFill>
      </fill>
    </dxf>
    <dxf>
      <fill>
        <patternFill>
          <bgColor theme="6"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6" tint="0.39994506668294322"/>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ly%20disruption%20V1%20Test%20for%20Relativ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U Data"/>
      <sheetName val="History log"/>
      <sheetName val="Open Worksheet"/>
    </sheetNames>
    <sheetDataSet>
      <sheetData sheetId="0">
        <row r="24">
          <cell r="A24" t="str">
            <v>Workbook Version: V1</v>
          </cell>
        </row>
        <row r="25">
          <cell r="A25" t="str">
            <v>Workbook date: 19/9/14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22"/>
  <sheetViews>
    <sheetView workbookViewId="0"/>
  </sheetViews>
  <sheetFormatPr defaultRowHeight="15"/>
  <cols>
    <col min="1" max="1" width="100.7109375" customWidth="1"/>
  </cols>
  <sheetData>
    <row r="1" spans="1:1" ht="30.75" customHeight="1">
      <c r="A1" s="115" t="s">
        <v>16</v>
      </c>
    </row>
    <row r="2" spans="1:1" ht="30">
      <c r="A2" s="74" t="s">
        <v>64</v>
      </c>
    </row>
    <row r="3" spans="1:1" ht="60">
      <c r="A3" s="75" t="s">
        <v>17</v>
      </c>
    </row>
    <row r="4" spans="1:1" ht="30">
      <c r="A4" s="76" t="s">
        <v>68</v>
      </c>
    </row>
    <row r="5" spans="1:1" ht="60">
      <c r="A5" s="77" t="s">
        <v>69</v>
      </c>
    </row>
    <row r="6" spans="1:1" ht="30">
      <c r="A6" s="75" t="s">
        <v>31</v>
      </c>
    </row>
    <row r="7" spans="1:1">
      <c r="A7" s="9"/>
    </row>
    <row r="8" spans="1:1" ht="18.75">
      <c r="A8" s="78" t="s">
        <v>30</v>
      </c>
    </row>
    <row r="9" spans="1:1" ht="30">
      <c r="A9" s="14" t="s">
        <v>28</v>
      </c>
    </row>
    <row r="10" spans="1:1">
      <c r="A10" s="14"/>
    </row>
    <row r="11" spans="1:1" ht="18.75">
      <c r="A11" s="79" t="s">
        <v>18</v>
      </c>
    </row>
    <row r="12" spans="1:1">
      <c r="A12" s="14" t="s">
        <v>19</v>
      </c>
    </row>
    <row r="13" spans="1:1">
      <c r="A13" s="14" t="s">
        <v>65</v>
      </c>
    </row>
    <row r="14" spans="1:1">
      <c r="A14" s="14" t="s">
        <v>66</v>
      </c>
    </row>
    <row r="15" spans="1:1" ht="30">
      <c r="A15" s="14" t="s">
        <v>20</v>
      </c>
    </row>
    <row r="16" spans="1:1">
      <c r="A16" s="9"/>
    </row>
    <row r="17" spans="1:1" ht="18.75">
      <c r="A17" s="78" t="s">
        <v>26</v>
      </c>
    </row>
    <row r="18" spans="1:1" ht="45">
      <c r="A18" s="14" t="s">
        <v>29</v>
      </c>
    </row>
    <row r="19" spans="1:1">
      <c r="A19" s="9"/>
    </row>
    <row r="20" spans="1:1" ht="18.75">
      <c r="A20" s="79" t="s">
        <v>21</v>
      </c>
    </row>
    <row r="21" spans="1:1" ht="75">
      <c r="A21" s="14" t="s">
        <v>22</v>
      </c>
    </row>
    <row r="22" spans="1:1" ht="75">
      <c r="A22" s="12"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D25"/>
  <sheetViews>
    <sheetView tabSelected="1" workbookViewId="0">
      <pane ySplit="1" topLeftCell="A14" activePane="bottomLeft" state="frozen"/>
      <selection pane="bottomLeft"/>
    </sheetView>
  </sheetViews>
  <sheetFormatPr defaultRowHeight="15"/>
  <cols>
    <col min="1" max="1" width="77" customWidth="1"/>
    <col min="2" max="2" width="10.140625" customWidth="1"/>
    <col min="29" max="29" width="12.5703125" customWidth="1"/>
  </cols>
  <sheetData>
    <row r="1" spans="1:30" ht="33.75" customHeight="1">
      <c r="A1" s="115" t="s">
        <v>23</v>
      </c>
      <c r="B1" s="5"/>
    </row>
    <row r="2" spans="1:30" ht="30" customHeight="1" thickBot="1">
      <c r="A2" s="116" t="s">
        <v>10</v>
      </c>
      <c r="B2" s="117"/>
      <c r="C2" s="117"/>
      <c r="P2" s="8" t="s">
        <v>12</v>
      </c>
      <c r="Q2" s="8" t="s">
        <v>13</v>
      </c>
      <c r="R2" s="8" t="s">
        <v>14</v>
      </c>
    </row>
    <row r="3" spans="1:30" ht="15" customHeight="1">
      <c r="A3" s="96" t="s">
        <v>0</v>
      </c>
      <c r="B3" s="96" t="s">
        <v>2</v>
      </c>
      <c r="C3" s="103">
        <v>1</v>
      </c>
      <c r="D3" s="81">
        <f>C3+1</f>
        <v>2</v>
      </c>
      <c r="E3" s="81">
        <f t="shared" ref="E3:AB3" si="0">D3+1</f>
        <v>3</v>
      </c>
      <c r="F3" s="81">
        <f t="shared" si="0"/>
        <v>4</v>
      </c>
      <c r="G3" s="81">
        <f t="shared" si="0"/>
        <v>5</v>
      </c>
      <c r="H3" s="81">
        <f t="shared" si="0"/>
        <v>6</v>
      </c>
      <c r="I3" s="81">
        <f t="shared" si="0"/>
        <v>7</v>
      </c>
      <c r="J3" s="81">
        <f t="shared" si="0"/>
        <v>8</v>
      </c>
      <c r="K3" s="81">
        <f t="shared" si="0"/>
        <v>9</v>
      </c>
      <c r="L3" s="81">
        <f t="shared" si="0"/>
        <v>10</v>
      </c>
      <c r="M3" s="81">
        <f t="shared" si="0"/>
        <v>11</v>
      </c>
      <c r="N3" s="81">
        <f t="shared" si="0"/>
        <v>12</v>
      </c>
      <c r="O3" s="81">
        <f t="shared" si="0"/>
        <v>13</v>
      </c>
      <c r="P3" s="81">
        <v>14</v>
      </c>
      <c r="Q3" s="82">
        <f>O3+1</f>
        <v>14</v>
      </c>
      <c r="R3" s="82">
        <v>14</v>
      </c>
      <c r="S3" s="81">
        <f>Q3+1</f>
        <v>15</v>
      </c>
      <c r="T3" s="81">
        <f t="shared" si="0"/>
        <v>16</v>
      </c>
      <c r="U3" s="81">
        <f t="shared" si="0"/>
        <v>17</v>
      </c>
      <c r="V3" s="81">
        <f t="shared" si="0"/>
        <v>18</v>
      </c>
      <c r="W3" s="81">
        <f t="shared" si="0"/>
        <v>19</v>
      </c>
      <c r="X3" s="81">
        <f t="shared" si="0"/>
        <v>20</v>
      </c>
      <c r="Y3" s="81">
        <f t="shared" si="0"/>
        <v>21</v>
      </c>
      <c r="Z3" s="81">
        <f t="shared" si="0"/>
        <v>22</v>
      </c>
      <c r="AA3" s="81">
        <f t="shared" si="0"/>
        <v>23</v>
      </c>
      <c r="AB3" s="83">
        <f t="shared" si="0"/>
        <v>24</v>
      </c>
    </row>
    <row r="4" spans="1:30">
      <c r="A4" s="97" t="s">
        <v>1</v>
      </c>
      <c r="B4" s="106">
        <f>SUM(C4:AB4)</f>
        <v>116100</v>
      </c>
      <c r="C4" s="104">
        <v>5000</v>
      </c>
      <c r="D4" s="10">
        <v>4500</v>
      </c>
      <c r="E4" s="10">
        <v>4700</v>
      </c>
      <c r="F4" s="10">
        <v>4650</v>
      </c>
      <c r="G4" s="10">
        <v>5500</v>
      </c>
      <c r="H4" s="10">
        <v>5300</v>
      </c>
      <c r="I4" s="10">
        <v>5350</v>
      </c>
      <c r="J4" s="10">
        <v>4500</v>
      </c>
      <c r="K4" s="10">
        <v>4700</v>
      </c>
      <c r="L4" s="10">
        <v>4650</v>
      </c>
      <c r="M4" s="10">
        <v>5500</v>
      </c>
      <c r="N4" s="10">
        <v>5300</v>
      </c>
      <c r="O4" s="10">
        <v>5350</v>
      </c>
      <c r="P4" s="10">
        <v>1100</v>
      </c>
      <c r="Q4" s="11">
        <v>0</v>
      </c>
      <c r="R4" s="11">
        <v>0</v>
      </c>
      <c r="S4" s="10">
        <v>4700</v>
      </c>
      <c r="T4" s="10">
        <v>4650</v>
      </c>
      <c r="U4" s="10">
        <v>5000</v>
      </c>
      <c r="V4" s="10">
        <v>4500</v>
      </c>
      <c r="W4" s="10">
        <v>4700</v>
      </c>
      <c r="X4" s="10">
        <v>4650</v>
      </c>
      <c r="Y4" s="10">
        <v>5500</v>
      </c>
      <c r="Z4" s="10">
        <v>5650</v>
      </c>
      <c r="AA4" s="10">
        <v>5650</v>
      </c>
      <c r="AB4" s="85">
        <v>5000</v>
      </c>
      <c r="AC4" s="1"/>
    </row>
    <row r="5" spans="1:30">
      <c r="A5" s="97" t="s">
        <v>3</v>
      </c>
      <c r="B5" s="106">
        <f>SUM(C5:AB5)</f>
        <v>1634400</v>
      </c>
      <c r="C5" s="104">
        <f>20000+10*C4</f>
        <v>70000</v>
      </c>
      <c r="D5" s="10">
        <f>($C$5/$C$4)*D4</f>
        <v>63000</v>
      </c>
      <c r="E5" s="10">
        <f t="shared" ref="E5:AB5" si="1">($C$5/$C$4)*E4</f>
        <v>65800</v>
      </c>
      <c r="F5" s="10">
        <f t="shared" si="1"/>
        <v>65100</v>
      </c>
      <c r="G5" s="10">
        <f t="shared" si="1"/>
        <v>77000</v>
      </c>
      <c r="H5" s="10">
        <f t="shared" si="1"/>
        <v>74200</v>
      </c>
      <c r="I5" s="10">
        <f t="shared" si="1"/>
        <v>74900</v>
      </c>
      <c r="J5" s="10">
        <f t="shared" si="1"/>
        <v>63000</v>
      </c>
      <c r="K5" s="10">
        <f t="shared" si="1"/>
        <v>65800</v>
      </c>
      <c r="L5" s="10">
        <f t="shared" si="1"/>
        <v>65100</v>
      </c>
      <c r="M5" s="10">
        <f t="shared" si="1"/>
        <v>77000</v>
      </c>
      <c r="N5" s="10">
        <f t="shared" si="1"/>
        <v>74200</v>
      </c>
      <c r="O5" s="10">
        <f t="shared" si="1"/>
        <v>74900</v>
      </c>
      <c r="P5" s="10">
        <f t="shared" ref="P5" si="2">($C$5/$C$4)*P4</f>
        <v>15400</v>
      </c>
      <c r="Q5" s="11"/>
      <c r="R5" s="11">
        <v>9000</v>
      </c>
      <c r="S5" s="10">
        <f t="shared" si="1"/>
        <v>65800</v>
      </c>
      <c r="T5" s="10">
        <f t="shared" si="1"/>
        <v>65100</v>
      </c>
      <c r="U5" s="10">
        <f t="shared" si="1"/>
        <v>70000</v>
      </c>
      <c r="V5" s="10">
        <f t="shared" si="1"/>
        <v>63000</v>
      </c>
      <c r="W5" s="10">
        <f t="shared" si="1"/>
        <v>65800</v>
      </c>
      <c r="X5" s="10">
        <f t="shared" si="1"/>
        <v>65100</v>
      </c>
      <c r="Y5" s="10">
        <f t="shared" si="1"/>
        <v>77000</v>
      </c>
      <c r="Z5" s="10">
        <f t="shared" si="1"/>
        <v>79100</v>
      </c>
      <c r="AA5" s="10">
        <f t="shared" si="1"/>
        <v>79100</v>
      </c>
      <c r="AB5" s="85">
        <f t="shared" si="1"/>
        <v>70000</v>
      </c>
      <c r="AC5" s="1"/>
    </row>
    <row r="6" spans="1:30">
      <c r="A6" s="97" t="s">
        <v>8</v>
      </c>
      <c r="B6" s="106">
        <f>SUM(C6:AB6)</f>
        <v>3533000</v>
      </c>
      <c r="C6" s="104">
        <f>50000+20*C4</f>
        <v>150000</v>
      </c>
      <c r="D6" s="10">
        <f t="shared" ref="D6:O6" si="3">($C$6/$C$4)*D4</f>
        <v>135000</v>
      </c>
      <c r="E6" s="10">
        <f t="shared" si="3"/>
        <v>141000</v>
      </c>
      <c r="F6" s="10">
        <f t="shared" si="3"/>
        <v>139500</v>
      </c>
      <c r="G6" s="10">
        <f t="shared" si="3"/>
        <v>165000</v>
      </c>
      <c r="H6" s="10">
        <f t="shared" si="3"/>
        <v>159000</v>
      </c>
      <c r="I6" s="10">
        <f t="shared" si="3"/>
        <v>160500</v>
      </c>
      <c r="J6" s="10">
        <f t="shared" si="3"/>
        <v>135000</v>
      </c>
      <c r="K6" s="10">
        <f t="shared" si="3"/>
        <v>141000</v>
      </c>
      <c r="L6" s="10">
        <f t="shared" si="3"/>
        <v>139500</v>
      </c>
      <c r="M6" s="10">
        <f t="shared" si="3"/>
        <v>165000</v>
      </c>
      <c r="N6" s="10">
        <f t="shared" si="3"/>
        <v>159000</v>
      </c>
      <c r="O6" s="10">
        <f t="shared" si="3"/>
        <v>160500</v>
      </c>
      <c r="P6" s="10">
        <f t="shared" ref="P6" si="4">($C$6/$C$4)*P4</f>
        <v>33000</v>
      </c>
      <c r="Q6" s="11">
        <v>30000</v>
      </c>
      <c r="R6" s="11">
        <v>20000</v>
      </c>
      <c r="S6" s="10">
        <f t="shared" ref="S6:AB6" si="5">($C$6/$C$4)*S4</f>
        <v>141000</v>
      </c>
      <c r="T6" s="10">
        <f t="shared" si="5"/>
        <v>139500</v>
      </c>
      <c r="U6" s="10">
        <f t="shared" si="5"/>
        <v>150000</v>
      </c>
      <c r="V6" s="10">
        <f t="shared" si="5"/>
        <v>135000</v>
      </c>
      <c r="W6" s="10">
        <f t="shared" si="5"/>
        <v>141000</v>
      </c>
      <c r="X6" s="10">
        <f t="shared" si="5"/>
        <v>139500</v>
      </c>
      <c r="Y6" s="10">
        <f t="shared" si="5"/>
        <v>165000</v>
      </c>
      <c r="Z6" s="10">
        <f t="shared" si="5"/>
        <v>169500</v>
      </c>
      <c r="AA6" s="10">
        <f t="shared" si="5"/>
        <v>169500</v>
      </c>
      <c r="AB6" s="85">
        <f t="shared" si="5"/>
        <v>150000</v>
      </c>
      <c r="AC6" s="1"/>
    </row>
    <row r="7" spans="1:30" ht="15.75" thickBot="1">
      <c r="A7" s="98" t="s">
        <v>9</v>
      </c>
      <c r="B7" s="107">
        <f>SUM(C7:AB7)</f>
        <v>20800</v>
      </c>
      <c r="C7" s="105"/>
      <c r="D7" s="87"/>
      <c r="E7" s="87"/>
      <c r="F7" s="87"/>
      <c r="G7" s="87"/>
      <c r="H7" s="87"/>
      <c r="I7" s="87"/>
      <c r="J7" s="87"/>
      <c r="K7" s="87"/>
      <c r="L7" s="87"/>
      <c r="M7" s="87"/>
      <c r="N7" s="87"/>
      <c r="O7" s="87"/>
      <c r="P7" s="87"/>
      <c r="Q7" s="88">
        <v>20800</v>
      </c>
      <c r="R7" s="88"/>
      <c r="S7" s="87"/>
      <c r="T7" s="87"/>
      <c r="U7" s="87"/>
      <c r="V7" s="87"/>
      <c r="W7" s="87"/>
      <c r="X7" s="87"/>
      <c r="Y7" s="87"/>
      <c r="Z7" s="87"/>
      <c r="AA7" s="87"/>
      <c r="AB7" s="89"/>
      <c r="AC7" s="1"/>
    </row>
    <row r="8" spans="1:30" ht="15.75" thickBot="1">
      <c r="A8" s="90" t="s">
        <v>5</v>
      </c>
      <c r="B8" s="99">
        <f>SUM(B5:B7)/B4</f>
        <v>44.68733850129199</v>
      </c>
      <c r="C8" s="3"/>
      <c r="D8" s="3"/>
      <c r="E8" s="3"/>
      <c r="F8" s="3"/>
      <c r="G8" s="3"/>
      <c r="H8" s="3"/>
      <c r="I8" s="3"/>
      <c r="J8" s="3"/>
      <c r="K8" s="3"/>
      <c r="L8" s="3"/>
      <c r="M8" s="3"/>
      <c r="N8" s="3"/>
      <c r="O8" s="3"/>
      <c r="P8" s="3"/>
      <c r="Q8" s="3"/>
      <c r="R8" s="3"/>
      <c r="S8" s="3"/>
      <c r="T8" s="3"/>
      <c r="U8" s="3"/>
      <c r="V8" s="3"/>
      <c r="W8" s="3"/>
      <c r="X8" s="3"/>
      <c r="Y8" s="3"/>
      <c r="Z8" s="3"/>
      <c r="AA8" s="3"/>
      <c r="AB8" s="3"/>
      <c r="AC8" s="1"/>
    </row>
    <row r="9" spans="1:30">
      <c r="A9" s="92"/>
      <c r="B9" s="4"/>
      <c r="C9" s="3"/>
      <c r="D9" s="3"/>
      <c r="E9" s="3"/>
      <c r="F9" s="3"/>
      <c r="G9" s="3"/>
      <c r="H9" s="3"/>
      <c r="I9" s="3"/>
      <c r="J9" s="3"/>
      <c r="K9" s="3"/>
      <c r="L9" s="3"/>
      <c r="M9" s="3"/>
      <c r="N9" s="3"/>
      <c r="O9" s="3"/>
      <c r="P9" s="3"/>
      <c r="Q9" s="3"/>
      <c r="R9" s="3"/>
      <c r="S9" s="3"/>
      <c r="T9" s="3"/>
      <c r="U9" s="3"/>
      <c r="V9" s="3"/>
      <c r="W9" s="3"/>
      <c r="X9" s="3"/>
      <c r="Y9" s="3"/>
      <c r="Z9" s="3"/>
      <c r="AA9" s="3"/>
      <c r="AB9" s="3"/>
      <c r="AC9" s="1"/>
    </row>
    <row r="10" spans="1:30" ht="19.5" thickBot="1">
      <c r="A10" s="91" t="s">
        <v>7</v>
      </c>
      <c r="Q10" s="6"/>
      <c r="R10" s="6"/>
      <c r="S10" s="6"/>
      <c r="T10" s="6"/>
      <c r="AD10" s="4"/>
    </row>
    <row r="11" spans="1:30">
      <c r="A11" s="80" t="s">
        <v>4</v>
      </c>
      <c r="B11" s="100">
        <v>44.325000000000003</v>
      </c>
      <c r="Q11" s="6"/>
      <c r="R11" s="6"/>
      <c r="S11" s="6"/>
      <c r="T11" s="6"/>
      <c r="AD11" s="4"/>
    </row>
    <row r="12" spans="1:30">
      <c r="A12" s="84" t="s">
        <v>5</v>
      </c>
      <c r="B12" s="101">
        <f>B8</f>
        <v>44.68733850129199</v>
      </c>
      <c r="L12" s="4"/>
      <c r="Q12" s="6"/>
      <c r="R12" s="6"/>
      <c r="S12" s="6"/>
      <c r="T12" s="6"/>
      <c r="AD12" s="4"/>
    </row>
    <row r="13" spans="1:30" ht="15.75" thickBot="1">
      <c r="A13" s="86" t="s">
        <v>6</v>
      </c>
      <c r="B13" s="102" t="str">
        <f>IF(B12&gt;B11,"YES","NO")</f>
        <v>YES</v>
      </c>
      <c r="Q13" s="6"/>
      <c r="R13" s="6"/>
      <c r="S13" s="6"/>
      <c r="T13" s="6"/>
      <c r="AD13" s="4"/>
    </row>
    <row r="14" spans="1:30">
      <c r="Q14" s="6"/>
      <c r="R14" s="6"/>
      <c r="S14" s="6"/>
      <c r="T14" s="6"/>
      <c r="AD14" s="4"/>
    </row>
    <row r="15" spans="1:30" ht="18.75">
      <c r="A15" s="109" t="s">
        <v>25</v>
      </c>
      <c r="B15" s="4"/>
      <c r="C15" s="3"/>
      <c r="D15" s="3"/>
      <c r="E15" s="3"/>
      <c r="F15" s="3"/>
      <c r="G15" s="3"/>
      <c r="H15" s="3"/>
      <c r="I15" s="3"/>
      <c r="J15" s="3"/>
      <c r="K15" s="3"/>
      <c r="L15" s="3"/>
      <c r="M15" s="3"/>
      <c r="N15" s="3"/>
      <c r="O15" s="3"/>
      <c r="P15" s="3"/>
      <c r="Q15" s="3"/>
      <c r="R15" s="3"/>
      <c r="S15" s="3"/>
      <c r="T15" s="3"/>
      <c r="U15" s="3"/>
      <c r="V15" s="3"/>
      <c r="W15" s="3"/>
      <c r="X15" s="3"/>
      <c r="Y15" s="3"/>
      <c r="Z15" s="3"/>
      <c r="AA15" s="3"/>
      <c r="AB15" s="3"/>
      <c r="AC15" s="1"/>
    </row>
    <row r="16" spans="1:30" ht="15.75" thickBot="1">
      <c r="A16" s="108" t="s">
        <v>11</v>
      </c>
      <c r="AC16" s="1"/>
    </row>
    <row r="17" spans="1:29">
      <c r="A17" s="96" t="s">
        <v>0</v>
      </c>
      <c r="B17" s="93" t="s">
        <v>2</v>
      </c>
      <c r="C17" s="81">
        <v>1</v>
      </c>
      <c r="D17" s="81">
        <f>C17+1</f>
        <v>2</v>
      </c>
      <c r="E17" s="81">
        <f t="shared" ref="E17" si="6">D17+1</f>
        <v>3</v>
      </c>
      <c r="F17" s="81">
        <f t="shared" ref="F17" si="7">E17+1</f>
        <v>4</v>
      </c>
      <c r="G17" s="81">
        <f t="shared" ref="G17" si="8">F17+1</f>
        <v>5</v>
      </c>
      <c r="H17" s="81">
        <f t="shared" ref="H17" si="9">G17+1</f>
        <v>6</v>
      </c>
      <c r="I17" s="81">
        <f t="shared" ref="I17" si="10">H17+1</f>
        <v>7</v>
      </c>
      <c r="J17" s="81">
        <f t="shared" ref="J17" si="11">I17+1</f>
        <v>8</v>
      </c>
      <c r="K17" s="81">
        <f t="shared" ref="K17" si="12">J17+1</f>
        <v>9</v>
      </c>
      <c r="L17" s="81">
        <f t="shared" ref="L17" si="13">K17+1</f>
        <v>10</v>
      </c>
      <c r="M17" s="81">
        <f t="shared" ref="M17" si="14">L17+1</f>
        <v>11</v>
      </c>
      <c r="N17" s="81">
        <f t="shared" ref="N17" si="15">M17+1</f>
        <v>12</v>
      </c>
      <c r="O17" s="81">
        <f t="shared" ref="O17" si="16">N17+1</f>
        <v>13</v>
      </c>
      <c r="P17" s="81">
        <v>14</v>
      </c>
      <c r="Q17" s="110">
        <f>O17+1</f>
        <v>14</v>
      </c>
      <c r="R17" s="110">
        <v>14</v>
      </c>
      <c r="S17" s="81">
        <f>Q17+1</f>
        <v>15</v>
      </c>
      <c r="T17" s="81">
        <f t="shared" ref="T17" si="17">S17+1</f>
        <v>16</v>
      </c>
      <c r="U17" s="81">
        <f t="shared" ref="U17" si="18">T17+1</f>
        <v>17</v>
      </c>
      <c r="V17" s="81">
        <f t="shared" ref="V17" si="19">U17+1</f>
        <v>18</v>
      </c>
      <c r="W17" s="81">
        <f t="shared" ref="W17" si="20">V17+1</f>
        <v>19</v>
      </c>
      <c r="X17" s="81">
        <f t="shared" ref="X17" si="21">W17+1</f>
        <v>20</v>
      </c>
      <c r="Y17" s="81">
        <f t="shared" ref="Y17" si="22">X17+1</f>
        <v>21</v>
      </c>
      <c r="Z17" s="81">
        <f t="shared" ref="Z17" si="23">Y17+1</f>
        <v>22</v>
      </c>
      <c r="AA17" s="81">
        <f t="shared" ref="AA17" si="24">Z17+1</f>
        <v>23</v>
      </c>
      <c r="AB17" s="83">
        <f t="shared" ref="AB17" si="25">AA17+1</f>
        <v>24</v>
      </c>
      <c r="AC17" s="1"/>
    </row>
    <row r="18" spans="1:29">
      <c r="A18" s="97" t="s">
        <v>1</v>
      </c>
      <c r="B18" s="94">
        <f>SUM(C18:AB18)</f>
        <v>116100</v>
      </c>
      <c r="C18" s="10">
        <v>5000</v>
      </c>
      <c r="D18" s="10">
        <v>4500</v>
      </c>
      <c r="E18" s="10">
        <v>4700</v>
      </c>
      <c r="F18" s="10">
        <v>4650</v>
      </c>
      <c r="G18" s="10">
        <v>5500</v>
      </c>
      <c r="H18" s="10">
        <v>5300</v>
      </c>
      <c r="I18" s="10">
        <v>5350</v>
      </c>
      <c r="J18" s="10">
        <v>4500</v>
      </c>
      <c r="K18" s="10">
        <v>4700</v>
      </c>
      <c r="L18" s="10">
        <v>4650</v>
      </c>
      <c r="M18" s="10">
        <v>5500</v>
      </c>
      <c r="N18" s="10">
        <v>5300</v>
      </c>
      <c r="O18" s="10">
        <v>5350</v>
      </c>
      <c r="P18" s="10">
        <v>1100</v>
      </c>
      <c r="Q18" s="13"/>
      <c r="R18" s="13"/>
      <c r="S18" s="10">
        <v>4700</v>
      </c>
      <c r="T18" s="10">
        <v>4650</v>
      </c>
      <c r="U18" s="10">
        <v>5000</v>
      </c>
      <c r="V18" s="10">
        <v>4500</v>
      </c>
      <c r="W18" s="10">
        <v>4700</v>
      </c>
      <c r="X18" s="10">
        <v>4650</v>
      </c>
      <c r="Y18" s="10">
        <v>5500</v>
      </c>
      <c r="Z18" s="10">
        <v>5650</v>
      </c>
      <c r="AA18" s="10">
        <v>5650</v>
      </c>
      <c r="AB18" s="85">
        <v>5000</v>
      </c>
      <c r="AC18" s="1"/>
    </row>
    <row r="19" spans="1:29">
      <c r="A19" s="97" t="s">
        <v>3</v>
      </c>
      <c r="B19" s="94">
        <f>SUM(C19:AB19)</f>
        <v>1638303.2258064516</v>
      </c>
      <c r="C19" s="10">
        <f>20000+10*C18</f>
        <v>70000</v>
      </c>
      <c r="D19" s="10">
        <f>($C$5/$C$4)*D18</f>
        <v>63000</v>
      </c>
      <c r="E19" s="10">
        <f t="shared" ref="E19:P19" si="26">($C$5/$C$4)*E18</f>
        <v>65800</v>
      </c>
      <c r="F19" s="10">
        <f t="shared" si="26"/>
        <v>65100</v>
      </c>
      <c r="G19" s="10">
        <f t="shared" si="26"/>
        <v>77000</v>
      </c>
      <c r="H19" s="10">
        <f t="shared" si="26"/>
        <v>74200</v>
      </c>
      <c r="I19" s="10">
        <f t="shared" si="26"/>
        <v>74900</v>
      </c>
      <c r="J19" s="10">
        <f t="shared" si="26"/>
        <v>63000</v>
      </c>
      <c r="K19" s="10">
        <f t="shared" si="26"/>
        <v>65800</v>
      </c>
      <c r="L19" s="10">
        <f t="shared" si="26"/>
        <v>65100</v>
      </c>
      <c r="M19" s="10">
        <f t="shared" si="26"/>
        <v>77000</v>
      </c>
      <c r="N19" s="10">
        <f t="shared" si="26"/>
        <v>74200</v>
      </c>
      <c r="O19" s="10">
        <f t="shared" si="26"/>
        <v>74900</v>
      </c>
      <c r="P19" s="10">
        <f t="shared" si="26"/>
        <v>15400</v>
      </c>
      <c r="Q19" s="13">
        <f>20000*17/31</f>
        <v>10967.741935483871</v>
      </c>
      <c r="R19" s="13">
        <f>20000*3/31</f>
        <v>1935.483870967742</v>
      </c>
      <c r="S19" s="10">
        <f t="shared" ref="S19:AB19" si="27">($C$5/$C$4)*S18</f>
        <v>65800</v>
      </c>
      <c r="T19" s="10">
        <f t="shared" si="27"/>
        <v>65100</v>
      </c>
      <c r="U19" s="10">
        <f t="shared" si="27"/>
        <v>70000</v>
      </c>
      <c r="V19" s="10">
        <f t="shared" si="27"/>
        <v>63000</v>
      </c>
      <c r="W19" s="10">
        <f t="shared" si="27"/>
        <v>65800</v>
      </c>
      <c r="X19" s="10">
        <f t="shared" si="27"/>
        <v>65100</v>
      </c>
      <c r="Y19" s="10">
        <f t="shared" si="27"/>
        <v>77000</v>
      </c>
      <c r="Z19" s="10">
        <f t="shared" si="27"/>
        <v>79100</v>
      </c>
      <c r="AA19" s="10">
        <f t="shared" si="27"/>
        <v>79100</v>
      </c>
      <c r="AB19" s="85">
        <f t="shared" si="27"/>
        <v>70000</v>
      </c>
      <c r="AC19" s="1"/>
    </row>
    <row r="20" spans="1:29">
      <c r="A20" s="97" t="s">
        <v>8</v>
      </c>
      <c r="B20" s="94">
        <f>SUM(C20:AB20)</f>
        <v>3515258.064516129</v>
      </c>
      <c r="C20" s="10">
        <f>50000+20*C18</f>
        <v>150000</v>
      </c>
      <c r="D20" s="10">
        <f t="shared" ref="D20:O20" si="28">($C$6/$C$4)*D18</f>
        <v>135000</v>
      </c>
      <c r="E20" s="10">
        <f t="shared" si="28"/>
        <v>141000</v>
      </c>
      <c r="F20" s="10">
        <f t="shared" si="28"/>
        <v>139500</v>
      </c>
      <c r="G20" s="10">
        <f t="shared" si="28"/>
        <v>165000</v>
      </c>
      <c r="H20" s="10">
        <f t="shared" si="28"/>
        <v>159000</v>
      </c>
      <c r="I20" s="10">
        <f t="shared" si="28"/>
        <v>160500</v>
      </c>
      <c r="J20" s="10">
        <f t="shared" si="28"/>
        <v>135000</v>
      </c>
      <c r="K20" s="10">
        <f t="shared" si="28"/>
        <v>141000</v>
      </c>
      <c r="L20" s="10">
        <f t="shared" si="28"/>
        <v>139500</v>
      </c>
      <c r="M20" s="10">
        <f t="shared" si="28"/>
        <v>165000</v>
      </c>
      <c r="N20" s="10">
        <f t="shared" si="28"/>
        <v>159000</v>
      </c>
      <c r="O20" s="10">
        <f t="shared" si="28"/>
        <v>160500</v>
      </c>
      <c r="P20" s="10">
        <f t="shared" ref="P20" si="29">($C$6/$C$4)*P18</f>
        <v>33000</v>
      </c>
      <c r="Q20" s="13">
        <f>50000*17/31</f>
        <v>27419.354838709678</v>
      </c>
      <c r="R20" s="13">
        <f>50000*3/31</f>
        <v>4838.7096774193551</v>
      </c>
      <c r="S20" s="10">
        <f t="shared" ref="S20:AB20" si="30">($C$6/$C$4)*S18</f>
        <v>141000</v>
      </c>
      <c r="T20" s="10">
        <f t="shared" si="30"/>
        <v>139500</v>
      </c>
      <c r="U20" s="10">
        <f t="shared" si="30"/>
        <v>150000</v>
      </c>
      <c r="V20" s="10">
        <f t="shared" si="30"/>
        <v>135000</v>
      </c>
      <c r="W20" s="10">
        <f t="shared" si="30"/>
        <v>141000</v>
      </c>
      <c r="X20" s="10">
        <f t="shared" si="30"/>
        <v>139500</v>
      </c>
      <c r="Y20" s="10">
        <f t="shared" si="30"/>
        <v>165000</v>
      </c>
      <c r="Z20" s="10">
        <f t="shared" si="30"/>
        <v>169500</v>
      </c>
      <c r="AA20" s="10">
        <f t="shared" si="30"/>
        <v>169500</v>
      </c>
      <c r="AB20" s="85">
        <f t="shared" si="30"/>
        <v>150000</v>
      </c>
      <c r="AC20" s="1"/>
    </row>
    <row r="21" spans="1:29" ht="15.75" thickBot="1">
      <c r="A21" s="98" t="s">
        <v>9</v>
      </c>
      <c r="B21" s="95">
        <f>SUM(C21:AB21)</f>
        <v>0</v>
      </c>
      <c r="C21" s="87"/>
      <c r="D21" s="87"/>
      <c r="E21" s="87"/>
      <c r="F21" s="87"/>
      <c r="G21" s="87"/>
      <c r="H21" s="87"/>
      <c r="I21" s="87"/>
      <c r="J21" s="87"/>
      <c r="K21" s="87"/>
      <c r="L21" s="87"/>
      <c r="M21" s="87"/>
      <c r="N21" s="87"/>
      <c r="O21" s="87"/>
      <c r="P21" s="87"/>
      <c r="Q21" s="111"/>
      <c r="R21" s="111"/>
      <c r="S21" s="87"/>
      <c r="T21" s="87"/>
      <c r="U21" s="87"/>
      <c r="V21" s="87"/>
      <c r="W21" s="87"/>
      <c r="X21" s="87"/>
      <c r="Y21" s="87"/>
      <c r="Z21" s="87"/>
      <c r="AA21" s="87"/>
      <c r="AB21" s="89"/>
      <c r="AC21" s="1"/>
    </row>
    <row r="22" spans="1:29" ht="15.75" customHeight="1" thickBot="1">
      <c r="A22" s="112" t="s">
        <v>24</v>
      </c>
      <c r="B22" s="99">
        <f>SUM(B19:B21)/B18</f>
        <v>44.388986135422741</v>
      </c>
      <c r="Q22" s="6"/>
      <c r="R22" s="6"/>
      <c r="S22" s="6"/>
      <c r="T22" s="6"/>
    </row>
    <row r="23" spans="1:29" ht="15.75" customHeight="1">
      <c r="A23" s="7"/>
      <c r="Q23" s="6"/>
      <c r="R23" s="6"/>
      <c r="S23" s="6"/>
      <c r="T23" s="6"/>
    </row>
    <row r="24" spans="1:29" ht="19.5" thickBot="1">
      <c r="A24" s="109" t="s">
        <v>27</v>
      </c>
    </row>
    <row r="25" spans="1:29" ht="15.75" thickBot="1">
      <c r="A25" s="113" t="s">
        <v>15</v>
      </c>
      <c r="B25" s="114">
        <f>B12*B4-B22*B4</f>
        <v>34638.709677419625</v>
      </c>
      <c r="D25" s="2"/>
      <c r="E25" s="2"/>
      <c r="F25" s="2"/>
    </row>
  </sheetData>
  <mergeCells count="1">
    <mergeCell ref="A2:C2"/>
  </mergeCells>
  <pageMargins left="0.7" right="0.7" top="0.75" bottom="0.75" header="0.3" footer="0.3"/>
  <pageSetup paperSize="8" scale="62" orientation="landscape"/>
  <legacyDrawing r:id="rId1"/>
</worksheet>
</file>

<file path=xl/worksheets/sheet3.xml><?xml version="1.0" encoding="utf-8"?>
<worksheet xmlns="http://schemas.openxmlformats.org/spreadsheetml/2006/main" xmlns:r="http://schemas.openxmlformats.org/officeDocument/2006/relationships">
  <dimension ref="A1:M47"/>
  <sheetViews>
    <sheetView showGridLines="0" topLeftCell="A10" zoomScale="90" zoomScaleNormal="90" workbookViewId="0">
      <selection activeCell="E37" sqref="E37"/>
    </sheetView>
  </sheetViews>
  <sheetFormatPr defaultRowHeight="15"/>
  <cols>
    <col min="1" max="1" width="2.85546875" customWidth="1"/>
    <col min="2" max="2" width="25.85546875" customWidth="1"/>
    <col min="3" max="3" width="31.140625" customWidth="1"/>
    <col min="4" max="4" width="33.5703125" customWidth="1"/>
    <col min="5" max="5" width="19.28515625" customWidth="1"/>
    <col min="6" max="6" width="28.85546875" customWidth="1"/>
    <col min="7" max="7" width="20.85546875" customWidth="1"/>
    <col min="8" max="17" width="15.7109375" customWidth="1"/>
    <col min="18" max="18" width="15.5703125" customWidth="1"/>
  </cols>
  <sheetData>
    <row r="1" spans="1:13" s="18" customFormat="1" ht="26.25">
      <c r="A1" s="15" t="s">
        <v>32</v>
      </c>
      <c r="B1" s="16"/>
      <c r="C1" s="16"/>
      <c r="D1" s="16"/>
      <c r="E1" s="16"/>
      <c r="F1" s="17"/>
    </row>
    <row r="2" spans="1:13" s="18" customFormat="1" ht="19.5" thickBot="1">
      <c r="A2" s="19" t="s">
        <v>33</v>
      </c>
      <c r="B2" s="20"/>
      <c r="C2" s="20"/>
      <c r="D2" s="20"/>
      <c r="E2" s="20"/>
      <c r="F2" s="21"/>
    </row>
    <row r="3" spans="1:13" ht="15" customHeight="1" thickBot="1">
      <c r="A3" s="121" t="s">
        <v>34</v>
      </c>
      <c r="B3" s="122"/>
      <c r="C3" s="123"/>
      <c r="D3" s="22" t="s">
        <v>35</v>
      </c>
      <c r="E3" s="23"/>
      <c r="F3" s="24"/>
      <c r="G3" s="25"/>
      <c r="H3" s="26"/>
      <c r="I3" s="26"/>
      <c r="J3" s="25"/>
      <c r="K3" s="25"/>
      <c r="L3" s="25"/>
      <c r="M3" s="26"/>
    </row>
    <row r="4" spans="1:13" ht="15" customHeight="1" thickBot="1">
      <c r="A4" s="124" t="s">
        <v>36</v>
      </c>
      <c r="B4" s="125"/>
      <c r="C4" s="126"/>
      <c r="D4" s="27" t="s">
        <v>37</v>
      </c>
      <c r="E4" s="28" t="str">
        <f>[1]Instructions!$A$24</f>
        <v>Workbook Version: V1</v>
      </c>
      <c r="F4" s="29"/>
      <c r="G4" s="30"/>
      <c r="H4" s="31"/>
      <c r="I4" s="32"/>
      <c r="J4" s="30"/>
      <c r="K4" s="30"/>
      <c r="L4" s="30"/>
      <c r="M4" s="26"/>
    </row>
    <row r="5" spans="1:13" ht="15" customHeight="1" thickBot="1">
      <c r="A5" s="124"/>
      <c r="B5" s="125"/>
      <c r="C5" s="126"/>
      <c r="D5" s="33" t="s">
        <v>38</v>
      </c>
      <c r="E5" s="34"/>
      <c r="F5" s="35"/>
      <c r="G5" s="30"/>
      <c r="H5" s="31"/>
      <c r="I5" s="32"/>
      <c r="J5" s="30"/>
      <c r="K5" s="30"/>
      <c r="L5" s="30"/>
      <c r="M5" s="26"/>
    </row>
    <row r="6" spans="1:13" ht="15" customHeight="1" thickBot="1">
      <c r="A6" s="124"/>
      <c r="B6" s="125"/>
      <c r="C6" s="126"/>
      <c r="D6" s="36" t="s">
        <v>39</v>
      </c>
      <c r="E6" s="28" t="str">
        <f>[1]Instructions!$A$25</f>
        <v>Workbook date: 19/9/14</v>
      </c>
      <c r="F6" s="35"/>
      <c r="G6" s="30"/>
      <c r="H6" s="31"/>
      <c r="I6" s="32"/>
      <c r="J6" s="25"/>
      <c r="K6" s="25"/>
      <c r="L6" s="30"/>
      <c r="M6" s="26"/>
    </row>
    <row r="7" spans="1:13" ht="15.75" thickBot="1">
      <c r="A7" s="37"/>
      <c r="B7" s="38"/>
      <c r="C7" s="38"/>
      <c r="D7" s="39" t="s">
        <v>40</v>
      </c>
      <c r="E7" s="38"/>
      <c r="F7" s="29"/>
      <c r="L7" s="26"/>
      <c r="M7" s="26"/>
    </row>
    <row r="8" spans="1:13" ht="15.75" thickBot="1">
      <c r="A8" s="37"/>
      <c r="B8" s="38"/>
      <c r="C8" s="38"/>
      <c r="D8" s="40" t="s">
        <v>41</v>
      </c>
      <c r="E8" s="38"/>
      <c r="F8" s="29"/>
    </row>
    <row r="9" spans="1:13">
      <c r="A9" s="37"/>
      <c r="B9" s="38"/>
      <c r="C9" s="38"/>
      <c r="D9" s="41"/>
      <c r="E9" s="38"/>
      <c r="F9" s="29"/>
    </row>
    <row r="10" spans="1:13" ht="26.25">
      <c r="A10" s="37"/>
      <c r="B10" s="42" t="s">
        <v>42</v>
      </c>
      <c r="C10" s="38"/>
      <c r="D10" s="38"/>
      <c r="E10" s="38"/>
      <c r="F10" s="29"/>
      <c r="G10" s="43"/>
      <c r="H10" s="43"/>
    </row>
    <row r="11" spans="1:13">
      <c r="A11" s="37"/>
      <c r="B11" s="38"/>
      <c r="C11" s="38"/>
      <c r="D11" s="38"/>
      <c r="E11" s="38"/>
      <c r="F11" s="29"/>
      <c r="G11" s="43"/>
      <c r="H11" s="43"/>
    </row>
    <row r="12" spans="1:13">
      <c r="A12" s="37"/>
      <c r="B12" s="127" t="s">
        <v>43</v>
      </c>
      <c r="C12" s="118" t="s">
        <v>44</v>
      </c>
      <c r="D12" s="119"/>
      <c r="E12" s="44" t="s">
        <v>45</v>
      </c>
      <c r="F12" s="29"/>
      <c r="G12" s="120"/>
      <c r="H12" s="120"/>
    </row>
    <row r="13" spans="1:13">
      <c r="A13" s="37"/>
      <c r="B13" s="128"/>
      <c r="C13" s="118" t="s">
        <v>46</v>
      </c>
      <c r="D13" s="119"/>
      <c r="E13" s="45" t="s">
        <v>47</v>
      </c>
      <c r="F13" s="29"/>
      <c r="G13" s="120"/>
      <c r="H13" s="120"/>
    </row>
    <row r="14" spans="1:13">
      <c r="A14" s="37"/>
      <c r="B14" s="128"/>
      <c r="C14" s="118" t="s">
        <v>48</v>
      </c>
      <c r="D14" s="119"/>
      <c r="E14" s="45" t="s">
        <v>49</v>
      </c>
      <c r="F14" s="29"/>
      <c r="G14" s="120"/>
      <c r="H14" s="120"/>
    </row>
    <row r="15" spans="1:13">
      <c r="A15" s="37"/>
      <c r="B15" s="128"/>
      <c r="C15" s="118" t="s">
        <v>50</v>
      </c>
      <c r="D15" s="119"/>
      <c r="E15" s="44" t="s">
        <v>51</v>
      </c>
      <c r="F15" s="29"/>
      <c r="G15" s="120"/>
      <c r="H15" s="120"/>
    </row>
    <row r="16" spans="1:13">
      <c r="A16" s="37"/>
      <c r="B16" s="128"/>
      <c r="C16" s="118" t="s">
        <v>52</v>
      </c>
      <c r="D16" s="119"/>
      <c r="E16" s="46">
        <v>39448</v>
      </c>
      <c r="F16" s="29"/>
      <c r="G16" s="43"/>
      <c r="H16" s="43"/>
    </row>
    <row r="17" spans="1:8">
      <c r="A17" s="37"/>
      <c r="B17" s="128"/>
      <c r="C17" s="118" t="str">
        <f>IF(OR(E14="kgC",E14="tonneC"),"Base year carbon emitted by target facility ("&amp;E14&amp;")","Base year energy consumed in target facility ("&amp;E14&amp;")")</f>
        <v>Base year energy consumed in target facility (kWh)</v>
      </c>
      <c r="D17" s="119"/>
      <c r="E17" s="47">
        <f>44.584*58050/0.952</f>
        <v>2718593.6974789919</v>
      </c>
      <c r="F17" s="29"/>
    </row>
    <row r="18" spans="1:8">
      <c r="A18" s="37"/>
      <c r="B18" s="129"/>
      <c r="C18" s="118" t="str">
        <f>IF(OR(E13="Novem",E13="Absolute"),"Base Year Throughput N/A","Base year Throughput ("&amp;E15&amp;")")</f>
        <v>Base year Throughput (kg)</v>
      </c>
      <c r="D18" s="119"/>
      <c r="E18" s="47">
        <f>116100/2</f>
        <v>58050</v>
      </c>
      <c r="F18" s="29"/>
    </row>
    <row r="19" spans="1:8">
      <c r="A19" s="37"/>
      <c r="B19" s="48"/>
      <c r="C19" s="130"/>
      <c r="D19" s="130"/>
      <c r="E19" s="49"/>
      <c r="F19" s="29"/>
    </row>
    <row r="20" spans="1:8">
      <c r="A20" s="37"/>
      <c r="B20" s="127" t="s">
        <v>53</v>
      </c>
      <c r="C20" s="118" t="str">
        <f>IF(E13="Absolute","Value of latest agreement target ("&amp;E14&amp;")",IF(E13="Relative","Value of latest agreement target ("&amp;E14&amp;"/"&amp;E15&amp;")","Value of latest agreement target N/A"))</f>
        <v>Value of latest agreement target (kWh/kg)</v>
      </c>
      <c r="D20" s="119"/>
      <c r="E20" s="50">
        <f>IF(E13="Absolute",2*E17*(1-E21),IF(E13="Relative",E17/E18*(1-E21),"N/A"))</f>
        <v>44.490336134453784</v>
      </c>
      <c r="F20" s="29"/>
    </row>
    <row r="21" spans="1:8">
      <c r="A21" s="37"/>
      <c r="B21" s="129"/>
      <c r="C21" s="118" t="s">
        <v>54</v>
      </c>
      <c r="D21" s="119"/>
      <c r="E21" s="51">
        <v>0.05</v>
      </c>
      <c r="F21" s="29"/>
    </row>
    <row r="22" spans="1:8">
      <c r="A22" s="37"/>
      <c r="B22" s="38"/>
      <c r="C22" s="38"/>
      <c r="D22" s="38"/>
      <c r="E22" s="38"/>
      <c r="F22" s="29"/>
    </row>
    <row r="23" spans="1:8" ht="26.25" customHeight="1">
      <c r="A23" s="37"/>
      <c r="B23" s="52" t="s">
        <v>55</v>
      </c>
      <c r="C23" s="53"/>
      <c r="D23" s="54"/>
      <c r="E23" s="54"/>
      <c r="F23" s="55"/>
      <c r="G23" s="54"/>
      <c r="H23" s="54"/>
    </row>
    <row r="24" spans="1:8">
      <c r="A24" s="37"/>
      <c r="B24" s="38"/>
      <c r="C24" s="38"/>
      <c r="D24" s="38"/>
      <c r="E24" s="38"/>
      <c r="F24" s="29"/>
    </row>
    <row r="25" spans="1:8" ht="15" customHeight="1">
      <c r="A25" s="37"/>
      <c r="B25" s="131" t="s">
        <v>56</v>
      </c>
      <c r="C25" s="132" t="str">
        <f>IF(AND(E13="Novem",OR(E14="kgC",E14="tonneC")),"Actual carbon emitted in target period {D} ("&amp;E14&amp;")",IF(AND(E13="Novem",OR(E14="kWh",E14="MWh",E14="GJ",E14="PJ")),"Actual energy consumed in target period {D} ("&amp;E14&amp;")",IF(OR(E14="kgC",E14="tonneC"),"Actual carbon emitted in target period ("&amp;E14&amp;")","Actual energy consumed in target period ("&amp;E14&amp;")")))</f>
        <v>Actual energy consumed in target period (kWh)</v>
      </c>
      <c r="D25" s="133"/>
      <c r="E25" s="47">
        <f>SUM('Plant Shutdown Example'!B5:B7)</f>
        <v>5188200</v>
      </c>
      <c r="F25" s="29"/>
    </row>
    <row r="26" spans="1:8">
      <c r="A26" s="37"/>
      <c r="B26" s="131"/>
      <c r="C26" s="132" t="str">
        <f>IF(E13="Absolute","Actual production in target period N/A",IF(E13="Novem",IF(OR(E14="kgC",E14="tonneC"),"Target carbon at target period throughput {E=SECn*tN} ("&amp;E14&amp;")","Target energy at target period throughput {E=SECn*tN} ("&amp;E14&amp;")"),"Actual production in target period ("&amp;E15&amp;")"))</f>
        <v>Actual production in target period (kg)</v>
      </c>
      <c r="D26" s="133"/>
      <c r="E26" s="47">
        <f>'Plant Shutdown Example'!B4</f>
        <v>116100</v>
      </c>
      <c r="F26" s="29"/>
    </row>
    <row r="27" spans="1:8">
      <c r="A27" s="37"/>
      <c r="B27" s="131"/>
      <c r="C27" s="134" t="str">
        <f>IF(AND(E13="Novem",OR(E14="kgC",E14="tonneC")),"Reference carbon emitted in target period {F=Sum of SEC0xtN} ("&amp;E14&amp;")",IF(AND(E13="Novem",OR(E14="kWh",E14="MWh",E14="GJ",E14="PJ")),"Reference energy consumed in target period {F= Sum of SEC0xtN} ("&amp;E14&amp;")","Only used for Novem TUs N/A"))</f>
        <v>Only used for Novem TUs N/A</v>
      </c>
      <c r="D27" s="132"/>
      <c r="E27" s="47"/>
      <c r="F27" s="29"/>
    </row>
    <row r="28" spans="1:8">
      <c r="A28" s="37"/>
      <c r="B28" s="131"/>
      <c r="C28" s="132" t="str">
        <f>IF(E13="Absolute","Target period performance ("&amp;E14&amp;")",IF(E13="Relative","Target period performance ("&amp;E14&amp;"/"&amp;E15&amp;")","Target period performance N/A"))</f>
        <v>Target period performance (kWh/kg)</v>
      </c>
      <c r="D28" s="133"/>
      <c r="E28" s="56">
        <f>IF(E13="Absolute",E25,IF(E13="Relative",E25/E26,"N/A"))</f>
        <v>44.68733850129199</v>
      </c>
      <c r="F28" s="29"/>
    </row>
    <row r="29" spans="1:8">
      <c r="A29" s="37"/>
      <c r="B29" s="131"/>
      <c r="C29" s="134" t="s">
        <v>57</v>
      </c>
      <c r="D29" s="132"/>
      <c r="E29" s="57">
        <f>IF(E13="Novem",1-E25/E27,IF(E13="Absolute",1-E25/(2*E17),1-(E25/E26)/(E17/E18)))</f>
        <v>4.5793417969900219E-2</v>
      </c>
      <c r="F29" s="29"/>
    </row>
    <row r="30" spans="1:8">
      <c r="A30" s="37"/>
      <c r="B30" s="38"/>
      <c r="C30" s="38"/>
      <c r="D30" s="38"/>
      <c r="E30" s="38"/>
      <c r="F30" s="29"/>
    </row>
    <row r="31" spans="1:8" ht="26.25">
      <c r="A31" s="37"/>
      <c r="B31" s="52" t="s">
        <v>58</v>
      </c>
      <c r="C31" s="52"/>
      <c r="D31" s="52"/>
      <c r="E31" s="52"/>
      <c r="F31" s="58"/>
      <c r="G31" s="52"/>
      <c r="H31" s="52"/>
    </row>
    <row r="32" spans="1:8">
      <c r="A32" s="37"/>
      <c r="B32" s="38"/>
      <c r="C32" s="38"/>
      <c r="D32" s="38"/>
      <c r="E32" s="38"/>
      <c r="F32" s="29"/>
    </row>
    <row r="33" spans="1:8">
      <c r="A33" s="37"/>
      <c r="B33" s="131" t="s">
        <v>59</v>
      </c>
      <c r="C33" s="133" t="str">
        <f>IF(E13="Novem","Revised Target Period target {1- actual TP ratio or 1-E/F} %",IF(E13="Relative","Target Period target ("&amp;E14&amp;")/("&amp;E15&amp;")","Target Period target ("&amp;E14&amp;")"))</f>
        <v>Target Period target (kWh)/(kg)</v>
      </c>
      <c r="D33" s="133"/>
      <c r="E33" s="59">
        <f>IF(E13="Absolute",E20,IF(E13="Relative",E20,1-E26/E27))</f>
        <v>44.490336134453784</v>
      </c>
      <c r="F33" s="29"/>
    </row>
    <row r="34" spans="1:8">
      <c r="A34" s="37"/>
      <c r="B34" s="131"/>
      <c r="C34" s="133" t="str">
        <f>IF(E13="Novem","Actual Target Period performance {1- actual TP ratio or 1-D/F} %",IF(E13="Relative","Actual Target Period performance ("&amp;E14&amp;")/("&amp;E15&amp;")","Actual Target Period performance ("&amp;E14&amp;")"))</f>
        <v>Actual Target Period performance (kWh)/(kg)</v>
      </c>
      <c r="D34" s="133"/>
      <c r="E34" s="59">
        <f>IF(E13="Absolute",E28,IF(E13="Relative",E28,E29))</f>
        <v>44.68733850129199</v>
      </c>
      <c r="F34" s="29"/>
    </row>
    <row r="35" spans="1:8">
      <c r="A35" s="37"/>
      <c r="B35" s="131"/>
      <c r="C35" s="133" t="s">
        <v>59</v>
      </c>
      <c r="D35" s="133"/>
      <c r="E35" s="60" t="str">
        <f>IF(OR(E13="Absolute",E13="Relative"),IF(E34&gt;E33,"YES","NO"),IF(E34&gt;E33,"No","Yes"))</f>
        <v>YES</v>
      </c>
      <c r="F35" s="29"/>
    </row>
    <row r="36" spans="1:8">
      <c r="A36" s="37"/>
      <c r="B36" s="38"/>
      <c r="C36" s="38"/>
      <c r="D36" s="38"/>
      <c r="E36" s="38"/>
      <c r="F36" s="29"/>
    </row>
    <row r="37" spans="1:8" ht="15" customHeight="1">
      <c r="A37" s="37"/>
      <c r="B37" s="135" t="s">
        <v>60</v>
      </c>
      <c r="C37" s="134" t="str">
        <f>IF(OR(E14="kgC",E14="tonneC"),"Additional carbon emitted as a result of disruption ("&amp;E14&amp;")","Additional energy consumed as a result of disruption ("&amp;E14&amp;")")</f>
        <v>Additional energy consumed as a result of disruption (kWh)</v>
      </c>
      <c r="D37" s="132"/>
      <c r="E37" s="61">
        <f>'Plant Shutdown Example'!B25</f>
        <v>34638.709677419625</v>
      </c>
      <c r="F37" s="29"/>
    </row>
    <row r="38" spans="1:8">
      <c r="A38" s="37"/>
      <c r="B38" s="135"/>
      <c r="C38" s="134" t="str">
        <f>IF(E13="Absolute","Revised Target Period target ("&amp;E14&amp;")",IF(E13="Relative","Revised Target Period target ("&amp;E14&amp;"/"&amp;E15&amp;")","Revised Target Period target N/A"))</f>
        <v>Revised Target Period target (kWh/kg)</v>
      </c>
      <c r="D38" s="132"/>
      <c r="E38" s="56">
        <f>IF(E13="Absolute",2*E17*(1-E21)+E37,IF(E13="Relative",(E17/E18*(1-E21)+E37/E26),"N/A"))</f>
        <v>44.788688500323033</v>
      </c>
      <c r="F38" s="29"/>
    </row>
    <row r="39" spans="1:8">
      <c r="A39" s="37"/>
      <c r="B39" s="135"/>
      <c r="C39" s="134" t="str">
        <f>IF(E13="Absolute","Revised Target Period target %",IF(E13="Relative","Revised Target Period target %","Adjusted actual Target Period target {1-Adjusted D/F} %"))</f>
        <v>Revised Target Period target %</v>
      </c>
      <c r="D39" s="132"/>
      <c r="E39" s="57">
        <f>IF(E13="Absolute",1-E38/(2*E17),IF(E13="Relative",1-E38/(E17/E18),1-(E26+E37)/E27))</f>
        <v>4.3629296332596379E-2</v>
      </c>
      <c r="F39" s="29"/>
    </row>
    <row r="40" spans="1:8">
      <c r="A40" s="37"/>
      <c r="B40" s="135"/>
      <c r="C40" s="134" t="s">
        <v>61</v>
      </c>
      <c r="D40" s="132"/>
      <c r="E40" s="62" t="str">
        <f>IF(E13="Novem",IF(E39&lt;E34,"YES","NO"),IF(E28&lt;E38, "YES","NO"))</f>
        <v>YES</v>
      </c>
      <c r="F40" s="29"/>
    </row>
    <row r="41" spans="1:8">
      <c r="A41" s="37"/>
      <c r="B41" s="63"/>
      <c r="C41" s="64"/>
      <c r="D41" s="64"/>
      <c r="E41" s="65"/>
      <c r="F41" s="29"/>
    </row>
    <row r="42" spans="1:8" ht="26.25" customHeight="1">
      <c r="A42" s="37"/>
      <c r="B42" s="52" t="s">
        <v>62</v>
      </c>
      <c r="C42" s="52"/>
      <c r="D42" s="52"/>
      <c r="E42" s="52"/>
      <c r="F42" s="58"/>
      <c r="G42" s="52"/>
      <c r="H42" s="52"/>
    </row>
    <row r="43" spans="1:8">
      <c r="A43" s="37"/>
      <c r="B43" s="66"/>
      <c r="C43" s="67"/>
      <c r="D43" s="67"/>
      <c r="E43" s="68"/>
      <c r="F43" s="29"/>
    </row>
    <row r="44" spans="1:8">
      <c r="A44" s="37"/>
      <c r="B44" s="135" t="s">
        <v>63</v>
      </c>
      <c r="C44" s="134" t="str">
        <f>IF(E13="Absolute","Adjusted Absolute Target Energy ("&amp;E14&amp;")","N/A")</f>
        <v>N/A</v>
      </c>
      <c r="D44" s="132"/>
      <c r="E44" s="69" t="str">
        <f>IF(AND(E13="Absolute",E40="YES"),2*E17*(1-E21)+E37,IF(AND(E13="Absolute",E40="No"),"No Change","N/A"))</f>
        <v>N/A</v>
      </c>
      <c r="F44" s="29"/>
    </row>
    <row r="45" spans="1:8">
      <c r="A45" s="37"/>
      <c r="B45" s="135"/>
      <c r="C45" s="134" t="str">
        <f>IF(E13="Relative","Adjusted Target Period target SEC ("&amp;E14&amp;"/"&amp;E15&amp;")","N/A")</f>
        <v>Adjusted Target Period target SEC (kWh/kg)</v>
      </c>
      <c r="D45" s="132"/>
      <c r="E45" s="69">
        <f>IF(AND(E13="Relative",E40="YES"),E38,IF(AND(E13="Relative",E40="No"),"No Change","N/A"))</f>
        <v>44.788688500323033</v>
      </c>
      <c r="F45" s="29"/>
    </row>
    <row r="46" spans="1:8">
      <c r="A46" s="37"/>
      <c r="B46" s="135"/>
      <c r="C46" s="134" t="str">
        <f>IF(E13="Novem","Adjusted Target Period target %","N/A")</f>
        <v>N/A</v>
      </c>
      <c r="D46" s="132"/>
      <c r="E46" s="70" t="str">
        <f>IF(AND(E13="Novem",E40="YES"),E39*E21/E33,IF(AND(E13="Novem",E40="No"),"No Change","N/A"))</f>
        <v>N/A</v>
      </c>
      <c r="F46" s="29"/>
    </row>
    <row r="47" spans="1:8" ht="15.75" thickBot="1">
      <c r="A47" s="71"/>
      <c r="B47" s="72"/>
      <c r="C47" s="72"/>
      <c r="D47" s="72"/>
      <c r="E47" s="72"/>
      <c r="F47" s="73"/>
    </row>
  </sheetData>
  <sheetProtection password="E3DD" sheet="1" objects="1" scenarios="1"/>
  <mergeCells count="39">
    <mergeCell ref="B44:B46"/>
    <mergeCell ref="C44:D44"/>
    <mergeCell ref="C45:D45"/>
    <mergeCell ref="C46:D46"/>
    <mergeCell ref="B33:B35"/>
    <mergeCell ref="C33:D33"/>
    <mergeCell ref="C34:D34"/>
    <mergeCell ref="C35:D35"/>
    <mergeCell ref="B37:B40"/>
    <mergeCell ref="C37:D37"/>
    <mergeCell ref="C38:D38"/>
    <mergeCell ref="C39:D39"/>
    <mergeCell ref="C40:D40"/>
    <mergeCell ref="C19:D19"/>
    <mergeCell ref="B20:B21"/>
    <mergeCell ref="C20:D20"/>
    <mergeCell ref="C21:D21"/>
    <mergeCell ref="B25:B29"/>
    <mergeCell ref="C25:D25"/>
    <mergeCell ref="C26:D26"/>
    <mergeCell ref="C27:D27"/>
    <mergeCell ref="C28:D28"/>
    <mergeCell ref="C29:D29"/>
    <mergeCell ref="C15:D15"/>
    <mergeCell ref="G15:H15"/>
    <mergeCell ref="A3:C3"/>
    <mergeCell ref="A4:C4"/>
    <mergeCell ref="A5:C5"/>
    <mergeCell ref="A6:C6"/>
    <mergeCell ref="B12:B18"/>
    <mergeCell ref="C12:D12"/>
    <mergeCell ref="C16:D16"/>
    <mergeCell ref="C17:D17"/>
    <mergeCell ref="C18:D18"/>
    <mergeCell ref="G12:H12"/>
    <mergeCell ref="C13:D13"/>
    <mergeCell ref="G13:H13"/>
    <mergeCell ref="C14:D14"/>
    <mergeCell ref="G14:H14"/>
  </mergeCells>
  <conditionalFormatting sqref="D4">
    <cfRule type="cellIs" dxfId="22" priority="23" stopIfTrue="1" operator="equal">
      <formula>"Yes"</formula>
    </cfRule>
  </conditionalFormatting>
  <conditionalFormatting sqref="D5">
    <cfRule type="cellIs" dxfId="21" priority="22" stopIfTrue="1" operator="equal">
      <formula>"Yes"</formula>
    </cfRule>
  </conditionalFormatting>
  <conditionalFormatting sqref="E44">
    <cfRule type="expression" dxfId="20" priority="19">
      <formula>$E$13="Novem"</formula>
    </cfRule>
    <cfRule type="expression" dxfId="19" priority="20">
      <formula>$E$13="Relative"</formula>
    </cfRule>
    <cfRule type="expression" dxfId="18" priority="21">
      <formula>$E$13="Absolute"</formula>
    </cfRule>
  </conditionalFormatting>
  <conditionalFormatting sqref="E45">
    <cfRule type="expression" dxfId="17" priority="16">
      <formula>$E$13="Novem"</formula>
    </cfRule>
    <cfRule type="expression" dxfId="16" priority="17">
      <formula>$E$13="Relative"</formula>
    </cfRule>
    <cfRule type="expression" dxfId="15" priority="18">
      <formula>$E$13="Absolute"</formula>
    </cfRule>
  </conditionalFormatting>
  <conditionalFormatting sqref="E46">
    <cfRule type="expression" dxfId="14" priority="13">
      <formula>$E$13="Novem"</formula>
    </cfRule>
    <cfRule type="expression" dxfId="13" priority="14">
      <formula>$E$13="Relative"</formula>
    </cfRule>
    <cfRule type="expression" dxfId="12" priority="15">
      <formula>$E$13="Absolute"</formula>
    </cfRule>
  </conditionalFormatting>
  <conditionalFormatting sqref="E27">
    <cfRule type="expression" dxfId="11" priority="10">
      <formula>$E$13="Novem"</formula>
    </cfRule>
    <cfRule type="expression" dxfId="10" priority="11">
      <formula>$E$13="Relative"</formula>
    </cfRule>
    <cfRule type="expression" dxfId="9" priority="12">
      <formula>$E$13="Absolute"</formula>
    </cfRule>
  </conditionalFormatting>
  <conditionalFormatting sqref="E18">
    <cfRule type="expression" dxfId="8" priority="7">
      <formula>$E$13="Novem"</formula>
    </cfRule>
    <cfRule type="expression" dxfId="7" priority="8">
      <formula>$E$13="Relative"</formula>
    </cfRule>
    <cfRule type="expression" dxfId="6" priority="9">
      <formula>$E$13="Absolute"</formula>
    </cfRule>
  </conditionalFormatting>
  <conditionalFormatting sqref="E26">
    <cfRule type="expression" dxfId="5" priority="4">
      <formula>$E$13="Novem"</formula>
    </cfRule>
    <cfRule type="expression" dxfId="4" priority="5">
      <formula>$E$13="Relative"</formula>
    </cfRule>
    <cfRule type="expression" dxfId="3" priority="6">
      <formula>$E$13="Absolute"</formula>
    </cfRule>
  </conditionalFormatting>
  <conditionalFormatting sqref="E25">
    <cfRule type="expression" dxfId="2" priority="1">
      <formula>$E$13="Novem"</formula>
    </cfRule>
    <cfRule type="expression" dxfId="1" priority="2">
      <formula>$E$13="Relative"</formula>
    </cfRule>
    <cfRule type="expression" dxfId="0" priority="3">
      <formula>$E$13="Absolute"</formula>
    </cfRule>
  </conditionalFormatting>
  <dataValidations count="4">
    <dataValidation allowBlank="1" showInputMessage="1" showErrorMessage="1" prompt="This cell sums the values in section C but can be overwritten if necessary." sqref="I4:I6"/>
    <dataValidation allowBlank="1" showInputMessage="1" showErrorMessage="1" prompt="This cell sums the values in section B but can be overwritten if necessary." sqref="H4:H6"/>
    <dataValidation type="list" allowBlank="1" showInputMessage="1" showErrorMessage="1" sqref="E13">
      <formula1>"Absolute, Relative, Novem"</formula1>
    </dataValidation>
    <dataValidation type="list" allowBlank="1" showInputMessage="1" showErrorMessage="1" sqref="E14">
      <formula1>"kWh, MWh, GJ, PJ, kgC, tonneC"</formula1>
    </dataValidation>
  </dataValidations>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Explanation</vt:lpstr>
      <vt:lpstr>Plant Shutdown Example</vt:lpstr>
      <vt:lpstr>TU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disruption plant shutdown example - no CHP</dc:title>
  <dc:creator>Richard Hodges</dc:creator>
  <dc:description>LIT 10084, version 1
issue date: 02/02/2015</dc:description>
  <cp:lastModifiedBy>nsiebdrat</cp:lastModifiedBy>
  <cp:lastPrinted>2014-09-10T13:44:31Z</cp:lastPrinted>
  <dcterms:created xsi:type="dcterms:W3CDTF">2014-08-20T15:07:41Z</dcterms:created>
  <dcterms:modified xsi:type="dcterms:W3CDTF">2015-02-03T17:44:14Z</dcterms:modified>
</cp:coreProperties>
</file>