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70" windowWidth="15600" windowHeight="9225" tabRatio="879" activeTab="0"/>
  </bookViews>
  <sheets>
    <sheet name="Notes" sheetId="1" r:id="rId1"/>
    <sheet name="Prisons" sheetId="2" r:id="rId2"/>
    <sheet name="Lab Charges" sheetId="3" r:id="rId3"/>
    <sheet name="Cost for testing" sheetId="4" r:id="rId4"/>
  </sheets>
  <definedNames>
    <definedName name="Prison">'Prisons'!$A:$A</definedName>
    <definedName name="Table">'Prisons'!$A$1:$B$128</definedName>
  </definedNames>
  <calcPr fullCalcOnLoad="1"/>
</workbook>
</file>

<file path=xl/sharedStrings.xml><?xml version="1.0" encoding="utf-8"?>
<sst xmlns="http://schemas.openxmlformats.org/spreadsheetml/2006/main" count="791" uniqueCount="242">
  <si>
    <t>Prison</t>
  </si>
  <si>
    <t>AT</t>
  </si>
  <si>
    <t>PHEC</t>
  </si>
  <si>
    <t>Region</t>
  </si>
  <si>
    <t>Altcourse</t>
  </si>
  <si>
    <t>Askham Grange</t>
  </si>
  <si>
    <t>Aylesbury</t>
  </si>
  <si>
    <t>Bedford</t>
  </si>
  <si>
    <t>Belmarsh</t>
  </si>
  <si>
    <t>Birmingham</t>
  </si>
  <si>
    <t>Blantyre House</t>
  </si>
  <si>
    <t>Brinsford</t>
  </si>
  <si>
    <t>Not supplied</t>
  </si>
  <si>
    <t>Bristol</t>
  </si>
  <si>
    <t>Brixton</t>
  </si>
  <si>
    <t>Bronzefield</t>
  </si>
  <si>
    <t>Buckley Hall</t>
  </si>
  <si>
    <t>Bullingdon</t>
  </si>
  <si>
    <t>Bure</t>
  </si>
  <si>
    <t>Channings Wood</t>
  </si>
  <si>
    <t>Chelmsford</t>
  </si>
  <si>
    <t>Coldingley</t>
  </si>
  <si>
    <t>Dartmoor</t>
  </si>
  <si>
    <t>Deerbolt</t>
  </si>
  <si>
    <t>Doncaster</t>
  </si>
  <si>
    <t>Dorchester</t>
  </si>
  <si>
    <t>Dovegate</t>
  </si>
  <si>
    <t>Downview</t>
  </si>
  <si>
    <t>Dover</t>
  </si>
  <si>
    <t>Drake Hall</t>
  </si>
  <si>
    <t>Durham</t>
  </si>
  <si>
    <t>East Sutton Park</t>
  </si>
  <si>
    <t>Eastwood Park</t>
  </si>
  <si>
    <t>Elmley</t>
  </si>
  <si>
    <t>Erlestoke</t>
  </si>
  <si>
    <t>Everthorpe</t>
  </si>
  <si>
    <t>Exeter</t>
  </si>
  <si>
    <t>Featherstone</t>
  </si>
  <si>
    <t>Feltham</t>
  </si>
  <si>
    <t xml:space="preserve">Ford </t>
  </si>
  <si>
    <t>Forest Bank</t>
  </si>
  <si>
    <t>Foston Hall</t>
  </si>
  <si>
    <t>Frankland</t>
  </si>
  <si>
    <t>Garth</t>
  </si>
  <si>
    <t>Gartree</t>
  </si>
  <si>
    <t>Glen Parva</t>
  </si>
  <si>
    <t>Grendon</t>
  </si>
  <si>
    <t>Guys Marsh</t>
  </si>
  <si>
    <t>Haverigg</t>
  </si>
  <si>
    <t>Hewell</t>
  </si>
  <si>
    <t>High Down</t>
  </si>
  <si>
    <t>Hollesley Bay</t>
  </si>
  <si>
    <t>Holloway</t>
  </si>
  <si>
    <t>Holme House</t>
  </si>
  <si>
    <t>Isis</t>
  </si>
  <si>
    <t>Kennet</t>
  </si>
  <si>
    <t>Kirkham</t>
  </si>
  <si>
    <t>Kirklevington</t>
  </si>
  <si>
    <t>Leeds</t>
  </si>
  <si>
    <t>Leicester</t>
  </si>
  <si>
    <t>Lewes</t>
  </si>
  <si>
    <t>Leyhill</t>
  </si>
  <si>
    <t>Lincoln</t>
  </si>
  <si>
    <t>Lindholme</t>
  </si>
  <si>
    <t>Littlehey</t>
  </si>
  <si>
    <t>Liverpool</t>
  </si>
  <si>
    <t>Long Lartin</t>
  </si>
  <si>
    <t>Low Newton</t>
  </si>
  <si>
    <t>Lowdham Grange</t>
  </si>
  <si>
    <t>Maidstone</t>
  </si>
  <si>
    <t>Manchester</t>
  </si>
  <si>
    <t>Moorland closed</t>
  </si>
  <si>
    <t>Morton Hall IRC</t>
  </si>
  <si>
    <t>New Hall</t>
  </si>
  <si>
    <t>North Sea Camp</t>
  </si>
  <si>
    <t>Northumberland</t>
  </si>
  <si>
    <t>Norwich</t>
  </si>
  <si>
    <t>Nottingham</t>
  </si>
  <si>
    <t>Oakwood</t>
  </si>
  <si>
    <t>Onley</t>
  </si>
  <si>
    <t>Pentonville</t>
  </si>
  <si>
    <t>Peterborough (female)</t>
  </si>
  <si>
    <t>Peterborough (male)</t>
  </si>
  <si>
    <t>Portland</t>
  </si>
  <si>
    <t>Preston</t>
  </si>
  <si>
    <t>Ranby</t>
  </si>
  <si>
    <t>Risley</t>
  </si>
  <si>
    <t>Rochester</t>
  </si>
  <si>
    <t>Rye Hill</t>
  </si>
  <si>
    <t xml:space="preserve">Send </t>
  </si>
  <si>
    <t>Spring Hill</t>
  </si>
  <si>
    <t>Stafford</t>
  </si>
  <si>
    <t>Standford Hill</t>
  </si>
  <si>
    <t>Stocken</t>
  </si>
  <si>
    <t>Stoke Heath</t>
  </si>
  <si>
    <t>Styal</t>
  </si>
  <si>
    <t>Sudbury</t>
  </si>
  <si>
    <t>Swaleside</t>
  </si>
  <si>
    <t>Swinfen Hall</t>
  </si>
  <si>
    <t>Thameside</t>
  </si>
  <si>
    <t>The Verne</t>
  </si>
  <si>
    <t>The Wolds</t>
  </si>
  <si>
    <t>Thorn Cross</t>
  </si>
  <si>
    <t>Wakefield</t>
  </si>
  <si>
    <t>Wandsworth</t>
  </si>
  <si>
    <t>Wayland</t>
  </si>
  <si>
    <t>Wealstun</t>
  </si>
  <si>
    <t>Whatton</t>
  </si>
  <si>
    <t>Whitemoor</t>
  </si>
  <si>
    <t>Winchester</t>
  </si>
  <si>
    <t>Woodhill</t>
  </si>
  <si>
    <t>Wormwood Scrubs</t>
  </si>
  <si>
    <t>Wymott</t>
  </si>
  <si>
    <t>Full Sutton</t>
  </si>
  <si>
    <t>Hindley</t>
  </si>
  <si>
    <t>Greater Manchester</t>
  </si>
  <si>
    <t>Cheshire &amp; Merseyside</t>
  </si>
  <si>
    <t>Cumbria &amp; Lancs</t>
  </si>
  <si>
    <t>North East</t>
  </si>
  <si>
    <t>Yorks &amp; Humber</t>
  </si>
  <si>
    <t>Wetherby</t>
  </si>
  <si>
    <t>Anglia &amp; Essex</t>
  </si>
  <si>
    <t>Highpoint North (previously Edmunds Hill) &amp; South</t>
  </si>
  <si>
    <t>Warren Hill</t>
  </si>
  <si>
    <t>Sth Mids &amp; Herts</t>
  </si>
  <si>
    <t>The Mount</t>
  </si>
  <si>
    <t>Rainsbrook STC</t>
  </si>
  <si>
    <t>Oakhill STC</t>
  </si>
  <si>
    <t>Lincs, Leics, Notts &amp; D'shire</t>
  </si>
  <si>
    <t>West Midlands</t>
  </si>
  <si>
    <t>Werrington</t>
  </si>
  <si>
    <t>London</t>
  </si>
  <si>
    <t>Thames Valley</t>
  </si>
  <si>
    <t>South</t>
  </si>
  <si>
    <t>Campsfield House IRC</t>
  </si>
  <si>
    <t>Wessex</t>
  </si>
  <si>
    <t>IoW</t>
  </si>
  <si>
    <t>Surrey, Sussex &amp; Kent</t>
  </si>
  <si>
    <t>Cookham Wood</t>
  </si>
  <si>
    <t>Brook House IRC</t>
  </si>
  <si>
    <t>Ashfield</t>
  </si>
  <si>
    <t>Avon, Goucs. &amp; Wiltshire</t>
  </si>
  <si>
    <t>Devon, Cornwall &amp; S'set</t>
  </si>
  <si>
    <t>North</t>
  </si>
  <si>
    <t>Bristol, North Somerset, Somerset &amp; South Gloucestershire</t>
  </si>
  <si>
    <t>Kent and Medway</t>
  </si>
  <si>
    <t>Shropshire &amp; Staffordshire</t>
  </si>
  <si>
    <t>Derbyshire &amp; Notts</t>
  </si>
  <si>
    <t>Midlands &amp; EoR</t>
  </si>
  <si>
    <t>East Anglia</t>
  </si>
  <si>
    <t>West Yorks</t>
  </si>
  <si>
    <t>Durham, Darlington &amp; Tees</t>
  </si>
  <si>
    <t>Lancs</t>
  </si>
  <si>
    <t>Haslar IRC</t>
  </si>
  <si>
    <t>Hatfield (Moorland open)</t>
  </si>
  <si>
    <t>Huntercombe FNP</t>
  </si>
  <si>
    <t>Lancaster Farms YOI</t>
  </si>
  <si>
    <t>Not on list</t>
  </si>
  <si>
    <t>Number of new receptions (based on healthcare screenings) 2013-14 (calculated using quarterly data), NDTMS</t>
  </si>
  <si>
    <t>Local</t>
  </si>
  <si>
    <t>YJB</t>
  </si>
  <si>
    <t>Female</t>
  </si>
  <si>
    <t>YOI</t>
  </si>
  <si>
    <t>High Security</t>
  </si>
  <si>
    <t>Cat C Trainer</t>
  </si>
  <si>
    <t>Cat B Trainer</t>
  </si>
  <si>
    <t>Open</t>
  </si>
  <si>
    <t>Cluster Prison</t>
  </si>
  <si>
    <t>Category</t>
  </si>
  <si>
    <t>IRC</t>
  </si>
  <si>
    <t>Cat D open</t>
  </si>
  <si>
    <t>STC</t>
  </si>
  <si>
    <t>Number of 2nd or more arrivals  within the year</t>
  </si>
  <si>
    <t>Kit</t>
  </si>
  <si>
    <t>Handling fee</t>
  </si>
  <si>
    <t>Hep C antibody</t>
  </si>
  <si>
    <t>Hep C PCR</t>
  </si>
  <si>
    <t>Cost for kit and all tests</t>
  </si>
  <si>
    <t>Number of new prison arrivals to potentially screen in a year (100% uptake)</t>
  </si>
  <si>
    <t>Testing</t>
  </si>
  <si>
    <t>Price per test + Kit</t>
  </si>
  <si>
    <t>Number of New arrivals</t>
  </si>
  <si>
    <t>80% of new arrivals screened</t>
  </si>
  <si>
    <t>Price for screening 80% of new arrivals</t>
  </si>
  <si>
    <t>Price for screening 50% of new arrivals</t>
  </si>
  <si>
    <t>50% of new arrivals screened</t>
  </si>
  <si>
    <t>Hep C antibody/HepBsAg/HIV (assuming 100% Hep C antibody -ve)</t>
  </si>
  <si>
    <t>Hep C antibody/Hep C PCR/HepBsAg/HIV (assuming 100% Hep C antibody +ve)</t>
  </si>
  <si>
    <t>30% of new arrivals screened</t>
  </si>
  <si>
    <t>Total for Hepatitis Screening</t>
  </si>
  <si>
    <t>Hepatitis C screening of new arrivals</t>
  </si>
  <si>
    <t>Complete screen</t>
  </si>
  <si>
    <t>Total screening</t>
  </si>
  <si>
    <t>Price for screening 30% of new arrivals</t>
  </si>
  <si>
    <t>Hepatitis C antibody +ve/Hep C PCR (20%)</t>
  </si>
  <si>
    <t>Hepatitis C antibody -ve (80%)</t>
  </si>
  <si>
    <t>PCR +ve = 70% of antibody +ve</t>
  </si>
  <si>
    <t>Hull</t>
  </si>
  <si>
    <t>New arrivals (no previous admissions)</t>
  </si>
  <si>
    <t>Select Prison</t>
  </si>
  <si>
    <t xml:space="preserve">Hepatitis C antibody + PCR tests </t>
  </si>
  <si>
    <t>Hepatitis C antibody test</t>
  </si>
  <si>
    <t>HIV confirmation</t>
  </si>
  <si>
    <t>HIV &amp; HIV confirmation (1.1% of cases)</t>
  </si>
  <si>
    <t>HIV - test (assuming 100% -ve)</t>
  </si>
  <si>
    <t>HBsAg + HBcAb</t>
  </si>
  <si>
    <t>HIV (Ab +Ag P 24)</t>
  </si>
  <si>
    <t>PHE (DBST)</t>
  </si>
  <si>
    <t>PHE (Serology)</t>
  </si>
  <si>
    <t>PHE (Venous Blood)</t>
  </si>
  <si>
    <t>Hep C PCR (20%)</t>
  </si>
  <si>
    <t>Genotype 1 (12 month treatment)</t>
  </si>
  <si>
    <t>Genotype 2/3 (12 month treatment)</t>
  </si>
  <si>
    <t>HIV Confirmation (1%)</t>
  </si>
  <si>
    <t>12 Month treatment</t>
  </si>
  <si>
    <t>Genotype1</t>
  </si>
  <si>
    <t>Genotype 2/3</t>
  </si>
  <si>
    <t>Price for screening 100% of new arrivals</t>
  </si>
  <si>
    <t>Price per individual test + Kit</t>
  </si>
  <si>
    <t>Number of new receptions (based on healthcare screenings) 2012-13, NDTMS/ or 2013-14 data (calculated using quarterly data), NDTMS</t>
  </si>
  <si>
    <t xml:space="preserve">Number of new prison arrivals to potentially screen in a year </t>
  </si>
  <si>
    <t>A NHS lab (venous blood/capillary)</t>
  </si>
  <si>
    <t xml:space="preserve">A private provider      </t>
  </si>
  <si>
    <t>Private provider</t>
  </si>
  <si>
    <t>NHS Lab</t>
  </si>
  <si>
    <t>Hep C antibody/HepBsAg/HIV</t>
  </si>
  <si>
    <t>Confirmatory testing on a separate blood sample will be required for all positive samples, whichever method is used first</t>
  </si>
  <si>
    <t>Number of new receptions (based on healthcare screenings) 2012-13, NDTMS</t>
  </si>
  <si>
    <t>Number of new receptions (based on PHPQI data 2013-14-(calculated using quarterly data), NHS Trust Development Agency</t>
  </si>
  <si>
    <t>856 - note quarter figure 295 so may want to amend to 1180)</t>
  </si>
  <si>
    <t>1247 - may want to merge this and Wolds = HMP Humber?</t>
  </si>
  <si>
    <t>2565 (quarter data 1045 so may want to change to 4180)</t>
  </si>
  <si>
    <t>2090 (quarter data 916 so may want to change to 3664)</t>
  </si>
  <si>
    <t>3309 (quarter figure 1301 may want to change to 5204)</t>
  </si>
  <si>
    <t>540 (may want to merge with Everthorpe = HMP Humber)</t>
  </si>
  <si>
    <t>a) NDTMS 2012-13 data, or</t>
  </si>
  <si>
    <t>b) NDTMS 2013-14 Quarterly data, or</t>
  </si>
  <si>
    <t>Number of new receptions are derived from either</t>
  </si>
  <si>
    <t>c) PHPQI 2013-14</t>
  </si>
  <si>
    <t xml:space="preserve">HBsAg </t>
  </si>
  <si>
    <t xml:space="preserve">This spreadsheet has been developed by PHE to assist commissioners and prisons estimate the costs  of introducing the BBV opt-out testing policy. This spreadsheet forms part of the suite of documents to accompany the BBV opt-out testing work which are available at: http://www.hpa.org.uk/Topics/InfectiousDiseases/InfectionsAZ/PublicHealthInPrisonsTeam/Guidelines/ </t>
  </si>
  <si>
    <t>PHE gateway number: 2014041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</si>
</sst>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35" borderId="0" xfId="0" applyFill="1" applyAlignment="1">
      <alignment/>
    </xf>
    <xf numFmtId="0" fontId="43" fillId="35" borderId="0" xfId="0" applyFont="1" applyFill="1" applyAlignment="1">
      <alignment/>
    </xf>
    <xf numFmtId="0" fontId="43" fillId="0" borderId="0" xfId="0" applyFont="1" applyAlignment="1">
      <alignment horizontal="center" wrapText="1"/>
    </xf>
    <xf numFmtId="0" fontId="43" fillId="35" borderId="0" xfId="0" applyFont="1" applyFill="1" applyAlignment="1">
      <alignment horizontal="center" wrapText="1"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 wrapText="1"/>
    </xf>
    <xf numFmtId="1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1" fontId="45" fillId="34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164" fontId="0" fillId="36" borderId="0" xfId="0" applyNumberFormat="1" applyFill="1" applyAlignment="1">
      <alignment/>
    </xf>
    <xf numFmtId="164" fontId="43" fillId="36" borderId="0" xfId="0" applyNumberFormat="1" applyFont="1" applyFill="1" applyAlignment="1">
      <alignment horizontal="center" wrapText="1"/>
    </xf>
    <xf numFmtId="164" fontId="43" fillId="36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9" fontId="4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3" fillId="0" borderId="0" xfId="0" applyFont="1" applyFill="1" applyAlignment="1">
      <alignment horizontal="center" wrapText="1"/>
    </xf>
    <xf numFmtId="1" fontId="43" fillId="0" borderId="0" xfId="0" applyNumberFormat="1" applyFont="1" applyFill="1" applyAlignment="1">
      <alignment horizontal="center" wrapText="1"/>
    </xf>
    <xf numFmtId="164" fontId="43" fillId="0" borderId="0" xfId="0" applyNumberFormat="1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1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43" fillId="33" borderId="0" xfId="0" applyNumberFormat="1" applyFont="1" applyFill="1" applyAlignment="1">
      <alignment horizontal="center" wrapText="1"/>
    </xf>
    <xf numFmtId="164" fontId="43" fillId="33" borderId="0" xfId="0" applyNumberFormat="1" applyFont="1" applyFill="1" applyAlignment="1">
      <alignment horizontal="center" wrapText="1"/>
    </xf>
    <xf numFmtId="1" fontId="43" fillId="33" borderId="0" xfId="0" applyNumberFormat="1" applyFont="1" applyFill="1" applyAlignment="1">
      <alignment/>
    </xf>
    <xf numFmtId="164" fontId="43" fillId="33" borderId="0" xfId="0" applyNumberFormat="1" applyFont="1" applyFill="1" applyAlignment="1">
      <alignment/>
    </xf>
    <xf numFmtId="1" fontId="0" fillId="37" borderId="0" xfId="0" applyNumberFormat="1" applyFill="1" applyAlignment="1">
      <alignment/>
    </xf>
    <xf numFmtId="164" fontId="0" fillId="37" borderId="0" xfId="0" applyNumberFormat="1" applyFill="1" applyAlignment="1">
      <alignment/>
    </xf>
    <xf numFmtId="1" fontId="43" fillId="37" borderId="0" xfId="0" applyNumberFormat="1" applyFont="1" applyFill="1" applyAlignment="1">
      <alignment horizontal="center" wrapText="1"/>
    </xf>
    <xf numFmtId="164" fontId="43" fillId="37" borderId="0" xfId="0" applyNumberFormat="1" applyFont="1" applyFill="1" applyAlignment="1">
      <alignment horizontal="center" wrapText="1"/>
    </xf>
    <xf numFmtId="1" fontId="43" fillId="37" borderId="0" xfId="0" applyNumberFormat="1" applyFont="1" applyFill="1" applyAlignment="1">
      <alignment/>
    </xf>
    <xf numFmtId="164" fontId="43" fillId="37" borderId="0" xfId="0" applyNumberFormat="1" applyFont="1" applyFill="1" applyAlignment="1">
      <alignment/>
    </xf>
    <xf numFmtId="1" fontId="0" fillId="15" borderId="0" xfId="0" applyNumberFormat="1" applyFill="1" applyAlignment="1">
      <alignment/>
    </xf>
    <xf numFmtId="164" fontId="0" fillId="15" borderId="0" xfId="0" applyNumberFormat="1" applyFill="1" applyAlignment="1">
      <alignment/>
    </xf>
    <xf numFmtId="1" fontId="43" fillId="15" borderId="0" xfId="0" applyNumberFormat="1" applyFont="1" applyFill="1" applyAlignment="1">
      <alignment horizontal="center" wrapText="1"/>
    </xf>
    <xf numFmtId="164" fontId="43" fillId="15" borderId="0" xfId="0" applyNumberFormat="1" applyFont="1" applyFill="1" applyAlignment="1">
      <alignment horizontal="center" wrapText="1"/>
    </xf>
    <xf numFmtId="1" fontId="43" fillId="15" borderId="0" xfId="0" applyNumberFormat="1" applyFont="1" applyFill="1" applyAlignment="1">
      <alignment/>
    </xf>
    <xf numFmtId="164" fontId="43" fillId="15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43" fillId="0" borderId="0" xfId="0" applyNumberFormat="1" applyFont="1" applyFill="1" applyAlignment="1">
      <alignment horizontal="center" wrapText="1"/>
    </xf>
    <xf numFmtId="2" fontId="0" fillId="33" borderId="0" xfId="0" applyNumberFormat="1" applyFill="1" applyAlignment="1">
      <alignment/>
    </xf>
    <xf numFmtId="2" fontId="43" fillId="33" borderId="0" xfId="0" applyNumberFormat="1" applyFont="1" applyFill="1" applyAlignment="1">
      <alignment horizontal="center" wrapText="1"/>
    </xf>
    <xf numFmtId="164" fontId="49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50" fillId="0" borderId="0" xfId="0" applyFont="1" applyAlignment="1">
      <alignment/>
    </xf>
    <xf numFmtId="0" fontId="45" fillId="38" borderId="10" xfId="0" applyFont="1" applyFill="1" applyBorder="1" applyAlignment="1">
      <alignment vertical="top" wrapText="1"/>
    </xf>
    <xf numFmtId="0" fontId="0" fillId="39" borderId="10" xfId="0" applyFill="1" applyBorder="1" applyAlignment="1">
      <alignment horizontal="left" vertical="top" wrapText="1"/>
    </xf>
    <xf numFmtId="1" fontId="46" fillId="0" borderId="0" xfId="0" applyNumberFormat="1" applyFont="1" applyAlignment="1">
      <alignment wrapText="1"/>
    </xf>
    <xf numFmtId="0" fontId="46" fillId="36" borderId="0" xfId="0" applyFont="1" applyFill="1" applyAlignment="1">
      <alignment wrapText="1"/>
    </xf>
    <xf numFmtId="1" fontId="51" fillId="0" borderId="0" xfId="0" applyNumberFormat="1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314325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53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I14" sqref="I14"/>
    </sheetView>
  </sheetViews>
  <sheetFormatPr defaultColWidth="9.140625" defaultRowHeight="15"/>
  <sheetData>
    <row r="1" spans="1:10" ht="15">
      <c r="A1" s="84" t="s">
        <v>240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15">
      <c r="A5" s="84"/>
      <c r="B5" s="84"/>
      <c r="C5" s="84"/>
      <c r="D5" s="84"/>
      <c r="E5" s="84"/>
      <c r="F5" s="84"/>
      <c r="G5" s="84"/>
      <c r="H5" s="84"/>
      <c r="I5" s="84"/>
      <c r="J5" s="84"/>
    </row>
    <row r="7" ht="15">
      <c r="A7" t="s">
        <v>241</v>
      </c>
    </row>
  </sheetData>
  <sheetProtection/>
  <mergeCells count="1">
    <mergeCell ref="A1:J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pane xSplit="2535" ySplit="3450" topLeftCell="B109" activePane="bottomRight" state="split"/>
      <selection pane="topLeft" activeCell="A1" sqref="A1"/>
      <selection pane="topRight" activeCell="J1" sqref="J1:J16384"/>
      <selection pane="bottomLeft" activeCell="A60" sqref="A60"/>
      <selection pane="bottomRight" activeCell="B105" sqref="B105"/>
    </sheetView>
  </sheetViews>
  <sheetFormatPr defaultColWidth="9.140625" defaultRowHeight="15"/>
  <cols>
    <col min="1" max="1" width="20.421875" style="1" customWidth="1"/>
    <col min="2" max="2" width="18.421875" style="6" customWidth="1"/>
    <col min="3" max="3" width="15.8515625" style="1" customWidth="1"/>
    <col min="4" max="4" width="18.140625" style="1" customWidth="1"/>
    <col min="5" max="5" width="20.7109375" style="1" customWidth="1"/>
    <col min="6" max="6" width="22.140625" style="1" customWidth="1"/>
    <col min="7" max="9" width="30.8515625" style="1" customWidth="1"/>
    <col min="10" max="10" width="18.421875" style="1" customWidth="1"/>
    <col min="11" max="12" width="18.421875" style="6" customWidth="1"/>
    <col min="13" max="16384" width="9.140625" style="1" customWidth="1"/>
  </cols>
  <sheetData>
    <row r="1" spans="1:12" s="8" customFormat="1" ht="157.5">
      <c r="A1" s="7" t="s">
        <v>0</v>
      </c>
      <c r="B1" s="22" t="s">
        <v>178</v>
      </c>
      <c r="C1" s="7" t="s">
        <v>168</v>
      </c>
      <c r="D1" s="7" t="s">
        <v>1</v>
      </c>
      <c r="E1" s="7" t="s">
        <v>2</v>
      </c>
      <c r="F1" s="7" t="s">
        <v>3</v>
      </c>
      <c r="G1" s="76" t="s">
        <v>227</v>
      </c>
      <c r="H1" s="76" t="s">
        <v>158</v>
      </c>
      <c r="I1" s="76" t="s">
        <v>228</v>
      </c>
      <c r="J1" s="7" t="s">
        <v>219</v>
      </c>
      <c r="K1" s="22" t="s">
        <v>172</v>
      </c>
      <c r="L1" s="22" t="s">
        <v>220</v>
      </c>
    </row>
    <row r="2" spans="1:12" ht="30">
      <c r="A2" s="2" t="s">
        <v>4</v>
      </c>
      <c r="B2" s="23">
        <f>ROUND(L2,0)</f>
        <v>2373</v>
      </c>
      <c r="C2" s="5" t="s">
        <v>159</v>
      </c>
      <c r="D2" s="2" t="s">
        <v>152</v>
      </c>
      <c r="E2" s="2" t="s">
        <v>116</v>
      </c>
      <c r="F2" s="2" t="s">
        <v>143</v>
      </c>
      <c r="G2" s="2" t="s">
        <v>12</v>
      </c>
      <c r="H2" s="2">
        <v>3796</v>
      </c>
      <c r="I2" s="2"/>
      <c r="J2" s="2">
        <v>3796</v>
      </c>
      <c r="K2" s="23">
        <f aca="true" t="shared" si="0" ref="K2:K59">SUM(37.5*J2)/100</f>
        <v>1423.5</v>
      </c>
      <c r="L2" s="23">
        <f aca="true" t="shared" si="1" ref="L2:L59">SUM(J2-K2)</f>
        <v>2372.5</v>
      </c>
    </row>
    <row r="3" spans="1:12" ht="60">
      <c r="A3" s="2" t="s">
        <v>140</v>
      </c>
      <c r="B3" s="23">
        <f>ROUND(L3,0)</f>
        <v>1040</v>
      </c>
      <c r="C3" s="5" t="s">
        <v>160</v>
      </c>
      <c r="D3" s="2" t="s">
        <v>144</v>
      </c>
      <c r="E3" s="2" t="s">
        <v>141</v>
      </c>
      <c r="F3" s="2" t="s">
        <v>133</v>
      </c>
      <c r="G3" s="2" t="s">
        <v>12</v>
      </c>
      <c r="H3" s="2">
        <v>1664</v>
      </c>
      <c r="I3" s="2"/>
      <c r="J3" s="2">
        <v>1664</v>
      </c>
      <c r="K3" s="23">
        <f t="shared" si="0"/>
        <v>624</v>
      </c>
      <c r="L3" s="23">
        <f t="shared" si="1"/>
        <v>1040</v>
      </c>
    </row>
    <row r="4" spans="1:12" ht="15">
      <c r="A4" s="2" t="s">
        <v>5</v>
      </c>
      <c r="B4" s="23">
        <f>ROUND(L4,0)</f>
        <v>93</v>
      </c>
      <c r="C4" s="5" t="s">
        <v>161</v>
      </c>
      <c r="D4" s="2" t="s">
        <v>150</v>
      </c>
      <c r="E4" s="2" t="s">
        <v>119</v>
      </c>
      <c r="F4" s="2" t="s">
        <v>143</v>
      </c>
      <c r="G4" s="2">
        <v>149</v>
      </c>
      <c r="H4" s="2"/>
      <c r="I4" s="2"/>
      <c r="J4" s="2">
        <v>149</v>
      </c>
      <c r="K4" s="23">
        <f t="shared" si="0"/>
        <v>55.875</v>
      </c>
      <c r="L4" s="23">
        <f t="shared" si="1"/>
        <v>93.125</v>
      </c>
    </row>
    <row r="5" spans="1:12" ht="15">
      <c r="A5" s="2" t="s">
        <v>6</v>
      </c>
      <c r="B5" s="23">
        <f aca="true" t="shared" si="2" ref="B5:B68">ROUND(L5,0)</f>
        <v>195</v>
      </c>
      <c r="C5" s="5" t="s">
        <v>162</v>
      </c>
      <c r="D5" s="2" t="s">
        <v>132</v>
      </c>
      <c r="E5" s="2" t="s">
        <v>132</v>
      </c>
      <c r="F5" s="2" t="s">
        <v>133</v>
      </c>
      <c r="G5" s="2">
        <v>312</v>
      </c>
      <c r="H5" s="2"/>
      <c r="I5" s="2"/>
      <c r="J5" s="2">
        <v>312</v>
      </c>
      <c r="K5" s="23">
        <f t="shared" si="0"/>
        <v>117</v>
      </c>
      <c r="L5" s="23">
        <f t="shared" si="1"/>
        <v>195</v>
      </c>
    </row>
    <row r="6" spans="1:12" ht="15">
      <c r="A6" s="2" t="s">
        <v>7</v>
      </c>
      <c r="B6" s="23">
        <f t="shared" si="2"/>
        <v>2099</v>
      </c>
      <c r="C6" s="5" t="s">
        <v>159</v>
      </c>
      <c r="D6" s="2" t="s">
        <v>147</v>
      </c>
      <c r="E6" s="2" t="s">
        <v>124</v>
      </c>
      <c r="F6" s="2" t="s">
        <v>148</v>
      </c>
      <c r="G6" s="2">
        <v>3358</v>
      </c>
      <c r="H6" s="2"/>
      <c r="I6" s="2"/>
      <c r="J6" s="2">
        <v>3358</v>
      </c>
      <c r="K6" s="23">
        <f t="shared" si="0"/>
        <v>1259.25</v>
      </c>
      <c r="L6" s="23">
        <f t="shared" si="1"/>
        <v>2098.75</v>
      </c>
    </row>
    <row r="7" spans="1:12" ht="15">
      <c r="A7" s="2" t="s">
        <v>8</v>
      </c>
      <c r="B7" s="23">
        <f t="shared" si="2"/>
        <v>2213</v>
      </c>
      <c r="C7" s="5" t="s">
        <v>163</v>
      </c>
      <c r="D7" s="2" t="s">
        <v>131</v>
      </c>
      <c r="E7" s="2" t="s">
        <v>131</v>
      </c>
      <c r="F7" s="2" t="s">
        <v>131</v>
      </c>
      <c r="G7" s="2">
        <v>3541</v>
      </c>
      <c r="H7" s="2"/>
      <c r="I7" s="2"/>
      <c r="J7" s="2">
        <v>3541</v>
      </c>
      <c r="K7" s="23">
        <f t="shared" si="0"/>
        <v>1327.875</v>
      </c>
      <c r="L7" s="23">
        <f t="shared" si="1"/>
        <v>2213.125</v>
      </c>
    </row>
    <row r="8" spans="1:12" ht="30">
      <c r="A8" s="2" t="s">
        <v>9</v>
      </c>
      <c r="B8" s="23">
        <f t="shared" si="2"/>
        <v>3441</v>
      </c>
      <c r="C8" s="5" t="s">
        <v>159</v>
      </c>
      <c r="D8" s="2" t="s">
        <v>146</v>
      </c>
      <c r="E8" s="2" t="s">
        <v>129</v>
      </c>
      <c r="F8" s="2" t="s">
        <v>148</v>
      </c>
      <c r="G8" s="2">
        <v>5505</v>
      </c>
      <c r="H8" s="2"/>
      <c r="I8" s="2"/>
      <c r="J8" s="2">
        <v>5505</v>
      </c>
      <c r="K8" s="23">
        <f t="shared" si="0"/>
        <v>2064.375</v>
      </c>
      <c r="L8" s="23">
        <f t="shared" si="1"/>
        <v>3440.625</v>
      </c>
    </row>
    <row r="9" spans="1:12" ht="15">
      <c r="A9" s="2" t="s">
        <v>10</v>
      </c>
      <c r="B9" s="23">
        <f t="shared" si="2"/>
        <v>53</v>
      </c>
      <c r="C9" s="5" t="s">
        <v>164</v>
      </c>
      <c r="D9" s="2" t="s">
        <v>145</v>
      </c>
      <c r="E9" s="2" t="s">
        <v>137</v>
      </c>
      <c r="F9" s="2" t="s">
        <v>133</v>
      </c>
      <c r="G9" s="2">
        <v>85</v>
      </c>
      <c r="H9" s="2"/>
      <c r="I9" s="2"/>
      <c r="J9" s="2">
        <v>85</v>
      </c>
      <c r="K9" s="23">
        <f t="shared" si="0"/>
        <v>31.875</v>
      </c>
      <c r="L9" s="23">
        <f t="shared" si="1"/>
        <v>53.125</v>
      </c>
    </row>
    <row r="10" spans="1:12" ht="30">
      <c r="A10" s="2" t="s">
        <v>11</v>
      </c>
      <c r="B10" s="23">
        <f t="shared" si="2"/>
        <v>1028</v>
      </c>
      <c r="C10" s="5" t="s">
        <v>162</v>
      </c>
      <c r="D10" s="2" t="s">
        <v>146</v>
      </c>
      <c r="E10" s="2" t="s">
        <v>129</v>
      </c>
      <c r="F10" s="2" t="s">
        <v>148</v>
      </c>
      <c r="G10" s="2" t="s">
        <v>12</v>
      </c>
      <c r="H10" s="2">
        <v>1644</v>
      </c>
      <c r="I10" s="2"/>
      <c r="J10" s="2">
        <v>1644</v>
      </c>
      <c r="K10" s="23">
        <f t="shared" si="0"/>
        <v>616.5</v>
      </c>
      <c r="L10" s="23">
        <f t="shared" si="1"/>
        <v>1027.5</v>
      </c>
    </row>
    <row r="11" spans="1:12" ht="60">
      <c r="A11" s="2" t="s">
        <v>13</v>
      </c>
      <c r="B11" s="23">
        <f t="shared" si="2"/>
        <v>1873</v>
      </c>
      <c r="C11" s="5" t="s">
        <v>159</v>
      </c>
      <c r="D11" s="2" t="s">
        <v>144</v>
      </c>
      <c r="E11" s="2" t="s">
        <v>141</v>
      </c>
      <c r="F11" s="2" t="s">
        <v>133</v>
      </c>
      <c r="G11" s="2">
        <v>2997</v>
      </c>
      <c r="H11" s="2"/>
      <c r="I11" s="2"/>
      <c r="J11" s="2">
        <v>2997</v>
      </c>
      <c r="K11" s="23">
        <f t="shared" si="0"/>
        <v>1123.875</v>
      </c>
      <c r="L11" s="23">
        <f t="shared" si="1"/>
        <v>1873.125</v>
      </c>
    </row>
    <row r="12" spans="1:12" ht="15">
      <c r="A12" s="2" t="s">
        <v>14</v>
      </c>
      <c r="B12" s="23">
        <f t="shared" si="2"/>
        <v>1014</v>
      </c>
      <c r="C12" s="5" t="s">
        <v>164</v>
      </c>
      <c r="D12" s="2" t="s">
        <v>131</v>
      </c>
      <c r="E12" s="2" t="s">
        <v>131</v>
      </c>
      <c r="F12" s="2" t="s">
        <v>131</v>
      </c>
      <c r="G12" s="2">
        <v>1623</v>
      </c>
      <c r="H12" s="2"/>
      <c r="I12" s="2"/>
      <c r="J12" s="2">
        <v>1623</v>
      </c>
      <c r="K12" s="23">
        <f t="shared" si="0"/>
        <v>608.625</v>
      </c>
      <c r="L12" s="23">
        <f t="shared" si="1"/>
        <v>1014.375</v>
      </c>
    </row>
    <row r="13" spans="1:12" ht="15">
      <c r="A13" s="2" t="s">
        <v>139</v>
      </c>
      <c r="B13" s="23">
        <f t="shared" si="2"/>
        <v>0</v>
      </c>
      <c r="C13" s="4"/>
      <c r="D13" s="2" t="s">
        <v>145</v>
      </c>
      <c r="E13" s="2" t="s">
        <v>137</v>
      </c>
      <c r="F13" s="2" t="s">
        <v>133</v>
      </c>
      <c r="G13" s="2"/>
      <c r="H13" s="2"/>
      <c r="I13" s="2"/>
      <c r="J13" s="2"/>
      <c r="K13" s="23">
        <f t="shared" si="0"/>
        <v>0</v>
      </c>
      <c r="L13" s="23">
        <f t="shared" si="1"/>
        <v>0</v>
      </c>
    </row>
    <row r="14" spans="1:12" ht="15">
      <c r="A14" s="2" t="s">
        <v>15</v>
      </c>
      <c r="B14" s="23">
        <f t="shared" si="2"/>
        <v>1316</v>
      </c>
      <c r="C14" s="5" t="s">
        <v>161</v>
      </c>
      <c r="D14" s="2" t="s">
        <v>145</v>
      </c>
      <c r="E14" s="2" t="s">
        <v>137</v>
      </c>
      <c r="F14" s="2" t="s">
        <v>133</v>
      </c>
      <c r="G14" s="2">
        <v>2105</v>
      </c>
      <c r="H14" s="2"/>
      <c r="I14" s="2"/>
      <c r="J14" s="2">
        <v>2105</v>
      </c>
      <c r="K14" s="23">
        <f t="shared" si="0"/>
        <v>789.375</v>
      </c>
      <c r="L14" s="23">
        <f t="shared" si="1"/>
        <v>1315.625</v>
      </c>
    </row>
    <row r="15" spans="1:12" ht="15">
      <c r="A15" s="3" t="s">
        <v>16</v>
      </c>
      <c r="B15" s="23">
        <f t="shared" si="2"/>
        <v>490</v>
      </c>
      <c r="C15" s="5" t="s">
        <v>164</v>
      </c>
      <c r="D15" s="2"/>
      <c r="E15" s="2" t="s">
        <v>115</v>
      </c>
      <c r="F15" s="2" t="s">
        <v>143</v>
      </c>
      <c r="G15" s="2" t="s">
        <v>12</v>
      </c>
      <c r="H15" s="2"/>
      <c r="I15" s="2">
        <v>784</v>
      </c>
      <c r="J15" s="2">
        <v>784</v>
      </c>
      <c r="K15" s="23">
        <f t="shared" si="0"/>
        <v>294</v>
      </c>
      <c r="L15" s="23">
        <f t="shared" si="1"/>
        <v>490</v>
      </c>
    </row>
    <row r="16" spans="1:12" ht="15">
      <c r="A16" s="2" t="s">
        <v>17</v>
      </c>
      <c r="B16" s="23">
        <f t="shared" si="2"/>
        <v>1674</v>
      </c>
      <c r="C16" s="5" t="s">
        <v>159</v>
      </c>
      <c r="D16" s="2" t="s">
        <v>132</v>
      </c>
      <c r="E16" s="2" t="s">
        <v>132</v>
      </c>
      <c r="F16" s="2" t="s">
        <v>133</v>
      </c>
      <c r="G16" s="2">
        <v>2679</v>
      </c>
      <c r="H16" s="2"/>
      <c r="I16" s="2"/>
      <c r="J16" s="2">
        <v>2679</v>
      </c>
      <c r="K16" s="23">
        <f t="shared" si="0"/>
        <v>1004.625</v>
      </c>
      <c r="L16" s="23">
        <f t="shared" si="1"/>
        <v>1674.375</v>
      </c>
    </row>
    <row r="17" spans="1:12" ht="15">
      <c r="A17" s="2" t="s">
        <v>18</v>
      </c>
      <c r="B17" s="23">
        <f t="shared" si="2"/>
        <v>248</v>
      </c>
      <c r="C17" s="5" t="s">
        <v>164</v>
      </c>
      <c r="D17" s="2" t="s">
        <v>149</v>
      </c>
      <c r="E17" s="2" t="s">
        <v>121</v>
      </c>
      <c r="F17" s="2" t="s">
        <v>148</v>
      </c>
      <c r="G17" s="2">
        <v>397</v>
      </c>
      <c r="H17" s="2"/>
      <c r="I17" s="2"/>
      <c r="J17" s="2">
        <v>397</v>
      </c>
      <c r="K17" s="23">
        <f t="shared" si="0"/>
        <v>148.875</v>
      </c>
      <c r="L17" s="23">
        <f t="shared" si="1"/>
        <v>248.125</v>
      </c>
    </row>
    <row r="18" spans="1:12" ht="30">
      <c r="A18" s="3" t="s">
        <v>134</v>
      </c>
      <c r="B18" s="23" t="e">
        <f t="shared" si="2"/>
        <v>#VALUE!</v>
      </c>
      <c r="C18" s="5" t="s">
        <v>169</v>
      </c>
      <c r="D18" s="2" t="s">
        <v>132</v>
      </c>
      <c r="E18" s="2" t="s">
        <v>132</v>
      </c>
      <c r="F18" s="2" t="s">
        <v>133</v>
      </c>
      <c r="G18" s="2" t="s">
        <v>12</v>
      </c>
      <c r="H18" s="2" t="s">
        <v>12</v>
      </c>
      <c r="I18" s="2" t="s">
        <v>12</v>
      </c>
      <c r="J18" s="2" t="s">
        <v>12</v>
      </c>
      <c r="K18" s="23" t="e">
        <f t="shared" si="0"/>
        <v>#VALUE!</v>
      </c>
      <c r="L18" s="23" t="e">
        <f t="shared" si="1"/>
        <v>#VALUE!</v>
      </c>
    </row>
    <row r="19" spans="1:12" ht="60">
      <c r="A19" s="2" t="s">
        <v>19</v>
      </c>
      <c r="B19" s="23">
        <f t="shared" si="2"/>
        <v>496</v>
      </c>
      <c r="C19" s="5" t="s">
        <v>164</v>
      </c>
      <c r="D19" s="2" t="s">
        <v>144</v>
      </c>
      <c r="E19" s="2" t="s">
        <v>142</v>
      </c>
      <c r="F19" s="2" t="s">
        <v>133</v>
      </c>
      <c r="G19" s="2">
        <v>793</v>
      </c>
      <c r="H19" s="2"/>
      <c r="I19" s="2"/>
      <c r="J19" s="2">
        <v>793</v>
      </c>
      <c r="K19" s="23">
        <f t="shared" si="0"/>
        <v>297.375</v>
      </c>
      <c r="L19" s="23">
        <f t="shared" si="1"/>
        <v>495.625</v>
      </c>
    </row>
    <row r="20" spans="1:12" ht="15">
      <c r="A20" s="2" t="s">
        <v>20</v>
      </c>
      <c r="B20" s="23">
        <f t="shared" si="2"/>
        <v>1751</v>
      </c>
      <c r="C20" s="5" t="s">
        <v>159</v>
      </c>
      <c r="D20" s="2" t="s">
        <v>149</v>
      </c>
      <c r="E20" s="2" t="s">
        <v>121</v>
      </c>
      <c r="F20" s="2" t="s">
        <v>148</v>
      </c>
      <c r="G20" s="2">
        <v>2802</v>
      </c>
      <c r="H20" s="2"/>
      <c r="I20" s="2"/>
      <c r="J20" s="2">
        <v>2802</v>
      </c>
      <c r="K20" s="23">
        <f t="shared" si="0"/>
        <v>1050.75</v>
      </c>
      <c r="L20" s="23">
        <f t="shared" si="1"/>
        <v>1751.25</v>
      </c>
    </row>
    <row r="21" spans="1:12" ht="15">
      <c r="A21" s="2" t="s">
        <v>21</v>
      </c>
      <c r="B21" s="23">
        <f t="shared" si="2"/>
        <v>383</v>
      </c>
      <c r="C21" s="5" t="s">
        <v>164</v>
      </c>
      <c r="D21" s="2" t="s">
        <v>145</v>
      </c>
      <c r="E21" s="2" t="s">
        <v>137</v>
      </c>
      <c r="F21" s="2" t="s">
        <v>133</v>
      </c>
      <c r="G21" s="2">
        <v>612</v>
      </c>
      <c r="H21" s="2"/>
      <c r="I21" s="2"/>
      <c r="J21" s="2">
        <v>612</v>
      </c>
      <c r="K21" s="23">
        <f t="shared" si="0"/>
        <v>229.5</v>
      </c>
      <c r="L21" s="23">
        <f t="shared" si="1"/>
        <v>382.5</v>
      </c>
    </row>
    <row r="22" spans="1:12" ht="15">
      <c r="A22" s="2" t="s">
        <v>138</v>
      </c>
      <c r="B22" s="23">
        <f t="shared" si="2"/>
        <v>180</v>
      </c>
      <c r="C22" s="5" t="s">
        <v>160</v>
      </c>
      <c r="D22" s="2" t="s">
        <v>145</v>
      </c>
      <c r="E22" s="2" t="s">
        <v>137</v>
      </c>
      <c r="F22" s="2" t="s">
        <v>133</v>
      </c>
      <c r="G22" s="2" t="s">
        <v>157</v>
      </c>
      <c r="H22" s="2" t="s">
        <v>12</v>
      </c>
      <c r="I22" s="2">
        <v>288</v>
      </c>
      <c r="J22" s="2">
        <v>288</v>
      </c>
      <c r="K22" s="23">
        <f t="shared" si="0"/>
        <v>108</v>
      </c>
      <c r="L22" s="23">
        <f t="shared" si="1"/>
        <v>180</v>
      </c>
    </row>
    <row r="23" spans="1:12" ht="60">
      <c r="A23" s="2" t="s">
        <v>22</v>
      </c>
      <c r="B23" s="23">
        <f t="shared" si="2"/>
        <v>664</v>
      </c>
      <c r="C23" s="5" t="s">
        <v>164</v>
      </c>
      <c r="D23" s="2" t="s">
        <v>144</v>
      </c>
      <c r="E23" s="2" t="s">
        <v>142</v>
      </c>
      <c r="F23" s="2" t="s">
        <v>133</v>
      </c>
      <c r="G23" s="2">
        <v>1062</v>
      </c>
      <c r="H23" s="2"/>
      <c r="I23" s="2"/>
      <c r="J23" s="2">
        <v>1062</v>
      </c>
      <c r="K23" s="23">
        <f t="shared" si="0"/>
        <v>398.25</v>
      </c>
      <c r="L23" s="23">
        <f t="shared" si="1"/>
        <v>663.75</v>
      </c>
    </row>
    <row r="24" spans="1:12" ht="30">
      <c r="A24" s="2" t="s">
        <v>23</v>
      </c>
      <c r="B24" s="23">
        <f t="shared" si="2"/>
        <v>738</v>
      </c>
      <c r="C24" s="5" t="s">
        <v>162</v>
      </c>
      <c r="D24" s="2" t="s">
        <v>151</v>
      </c>
      <c r="E24" s="2" t="s">
        <v>118</v>
      </c>
      <c r="F24" s="2" t="s">
        <v>143</v>
      </c>
      <c r="G24" s="77" t="s">
        <v>229</v>
      </c>
      <c r="H24" s="2"/>
      <c r="I24" s="2"/>
      <c r="J24" s="2">
        <v>1180</v>
      </c>
      <c r="K24" s="23">
        <f t="shared" si="0"/>
        <v>442.5</v>
      </c>
      <c r="L24" s="23">
        <f t="shared" si="1"/>
        <v>737.5</v>
      </c>
    </row>
    <row r="25" spans="1:12" ht="15">
      <c r="A25" s="2" t="s">
        <v>24</v>
      </c>
      <c r="B25" s="23">
        <f t="shared" si="2"/>
        <v>3094</v>
      </c>
      <c r="C25" s="5" t="s">
        <v>159</v>
      </c>
      <c r="D25" s="2" t="s">
        <v>150</v>
      </c>
      <c r="E25" s="2" t="s">
        <v>119</v>
      </c>
      <c r="F25" s="2" t="s">
        <v>143</v>
      </c>
      <c r="G25" s="2">
        <v>4950</v>
      </c>
      <c r="H25" s="2"/>
      <c r="I25" s="2"/>
      <c r="J25" s="2">
        <v>4950</v>
      </c>
      <c r="K25" s="23">
        <f t="shared" si="0"/>
        <v>1856.25</v>
      </c>
      <c r="L25" s="23">
        <f t="shared" si="1"/>
        <v>3093.75</v>
      </c>
    </row>
    <row r="26" spans="1:12" ht="15">
      <c r="A26" s="2" t="s">
        <v>25</v>
      </c>
      <c r="B26" s="23">
        <f t="shared" si="2"/>
        <v>758</v>
      </c>
      <c r="C26" s="5" t="s">
        <v>159</v>
      </c>
      <c r="D26" s="2" t="s">
        <v>145</v>
      </c>
      <c r="E26" s="2" t="s">
        <v>135</v>
      </c>
      <c r="F26" s="2" t="s">
        <v>133</v>
      </c>
      <c r="G26" s="2">
        <v>1213</v>
      </c>
      <c r="H26" s="2"/>
      <c r="I26" s="2"/>
      <c r="J26" s="2">
        <v>1213</v>
      </c>
      <c r="K26" s="23">
        <f t="shared" si="0"/>
        <v>454.875</v>
      </c>
      <c r="L26" s="23">
        <f t="shared" si="1"/>
        <v>758.125</v>
      </c>
    </row>
    <row r="27" spans="1:12" ht="30">
      <c r="A27" s="2" t="s">
        <v>26</v>
      </c>
      <c r="B27" s="23">
        <f t="shared" si="2"/>
        <v>1381</v>
      </c>
      <c r="C27" s="5" t="s">
        <v>165</v>
      </c>
      <c r="D27" s="2" t="s">
        <v>146</v>
      </c>
      <c r="E27" s="2" t="s">
        <v>129</v>
      </c>
      <c r="F27" s="2" t="s">
        <v>148</v>
      </c>
      <c r="G27" s="2">
        <v>2210</v>
      </c>
      <c r="H27" s="2"/>
      <c r="I27" s="2"/>
      <c r="J27" s="2">
        <v>2210</v>
      </c>
      <c r="K27" s="23">
        <f t="shared" si="0"/>
        <v>828.75</v>
      </c>
      <c r="L27" s="23">
        <f t="shared" si="1"/>
        <v>1381.25</v>
      </c>
    </row>
    <row r="28" spans="1:12" ht="15">
      <c r="A28" s="3" t="s">
        <v>28</v>
      </c>
      <c r="B28" s="23" t="e">
        <f t="shared" si="2"/>
        <v>#VALUE!</v>
      </c>
      <c r="C28" s="4" t="s">
        <v>169</v>
      </c>
      <c r="D28" s="2" t="s">
        <v>145</v>
      </c>
      <c r="E28" s="2" t="s">
        <v>137</v>
      </c>
      <c r="F28" s="2" t="s">
        <v>133</v>
      </c>
      <c r="G28" s="2" t="s">
        <v>12</v>
      </c>
      <c r="H28" s="2" t="s">
        <v>12</v>
      </c>
      <c r="I28" s="2" t="s">
        <v>12</v>
      </c>
      <c r="J28" s="2" t="s">
        <v>12</v>
      </c>
      <c r="K28" s="23" t="e">
        <f t="shared" si="0"/>
        <v>#VALUE!</v>
      </c>
      <c r="L28" s="23" t="e">
        <f t="shared" si="1"/>
        <v>#VALUE!</v>
      </c>
    </row>
    <row r="29" spans="1:12" ht="15">
      <c r="A29" s="2" t="s">
        <v>27</v>
      </c>
      <c r="B29" s="23">
        <f t="shared" si="2"/>
        <v>244</v>
      </c>
      <c r="C29" s="5" t="s">
        <v>161</v>
      </c>
      <c r="D29" s="2" t="s">
        <v>145</v>
      </c>
      <c r="E29" s="2" t="s">
        <v>137</v>
      </c>
      <c r="F29" s="2" t="s">
        <v>133</v>
      </c>
      <c r="G29" s="2">
        <v>390</v>
      </c>
      <c r="H29" s="2"/>
      <c r="I29" s="2"/>
      <c r="J29" s="2">
        <v>390</v>
      </c>
      <c r="K29" s="23">
        <f t="shared" si="0"/>
        <v>146.25</v>
      </c>
      <c r="L29" s="23">
        <f t="shared" si="1"/>
        <v>243.75</v>
      </c>
    </row>
    <row r="30" spans="1:12" ht="30">
      <c r="A30" s="2" t="s">
        <v>29</v>
      </c>
      <c r="B30" s="23">
        <f t="shared" si="2"/>
        <v>280</v>
      </c>
      <c r="C30" s="5" t="s">
        <v>161</v>
      </c>
      <c r="D30" s="2" t="s">
        <v>146</v>
      </c>
      <c r="E30" s="2" t="s">
        <v>129</v>
      </c>
      <c r="F30" s="2" t="s">
        <v>148</v>
      </c>
      <c r="G30" s="2" t="s">
        <v>12</v>
      </c>
      <c r="H30" s="2">
        <v>448</v>
      </c>
      <c r="I30" s="2"/>
      <c r="J30" s="2">
        <v>448</v>
      </c>
      <c r="K30" s="23">
        <f t="shared" si="0"/>
        <v>168</v>
      </c>
      <c r="L30" s="23">
        <f t="shared" si="1"/>
        <v>280</v>
      </c>
    </row>
    <row r="31" spans="1:12" ht="30">
      <c r="A31" s="2" t="s">
        <v>30</v>
      </c>
      <c r="B31" s="23">
        <f t="shared" si="2"/>
        <v>2739</v>
      </c>
      <c r="C31" s="5" t="s">
        <v>159</v>
      </c>
      <c r="D31" s="2" t="s">
        <v>151</v>
      </c>
      <c r="E31" s="2" t="s">
        <v>118</v>
      </c>
      <c r="F31" s="2" t="s">
        <v>143</v>
      </c>
      <c r="G31" s="2">
        <v>4383</v>
      </c>
      <c r="H31" s="2"/>
      <c r="I31" s="2"/>
      <c r="J31" s="2">
        <v>4383</v>
      </c>
      <c r="K31" s="23">
        <f t="shared" si="0"/>
        <v>1643.625</v>
      </c>
      <c r="L31" s="23">
        <f t="shared" si="1"/>
        <v>2739.375</v>
      </c>
    </row>
    <row r="32" spans="1:12" ht="15">
      <c r="A32" s="2" t="s">
        <v>31</v>
      </c>
      <c r="B32" s="23">
        <f t="shared" si="2"/>
        <v>76</v>
      </c>
      <c r="C32" s="5" t="s">
        <v>161</v>
      </c>
      <c r="D32" s="2" t="s">
        <v>145</v>
      </c>
      <c r="E32" s="2" t="s">
        <v>137</v>
      </c>
      <c r="F32" s="2" t="s">
        <v>133</v>
      </c>
      <c r="G32" s="2">
        <v>121</v>
      </c>
      <c r="H32" s="2"/>
      <c r="I32" s="2"/>
      <c r="J32" s="2">
        <v>121</v>
      </c>
      <c r="K32" s="23">
        <f t="shared" si="0"/>
        <v>45.375</v>
      </c>
      <c r="L32" s="23">
        <f t="shared" si="1"/>
        <v>75.625</v>
      </c>
    </row>
    <row r="33" spans="1:12" ht="60">
      <c r="A33" s="2" t="s">
        <v>32</v>
      </c>
      <c r="B33" s="23">
        <f t="shared" si="2"/>
        <v>1001</v>
      </c>
      <c r="C33" s="5" t="s">
        <v>161</v>
      </c>
      <c r="D33" s="2" t="s">
        <v>144</v>
      </c>
      <c r="E33" s="2" t="s">
        <v>141</v>
      </c>
      <c r="F33" s="2" t="s">
        <v>133</v>
      </c>
      <c r="G33" s="2">
        <v>1602</v>
      </c>
      <c r="H33" s="2"/>
      <c r="I33" s="2"/>
      <c r="J33" s="2">
        <v>1602</v>
      </c>
      <c r="K33" s="23">
        <f t="shared" si="0"/>
        <v>600.75</v>
      </c>
      <c r="L33" s="23">
        <f t="shared" si="1"/>
        <v>1001.25</v>
      </c>
    </row>
    <row r="34" spans="1:12" ht="15">
      <c r="A34" s="2" t="s">
        <v>33</v>
      </c>
      <c r="B34" s="23">
        <f t="shared" si="2"/>
        <v>2286</v>
      </c>
      <c r="C34" s="5" t="s">
        <v>159</v>
      </c>
      <c r="D34" s="2" t="s">
        <v>145</v>
      </c>
      <c r="E34" s="2" t="s">
        <v>137</v>
      </c>
      <c r="F34" s="2" t="s">
        <v>133</v>
      </c>
      <c r="G34" s="2">
        <v>3658</v>
      </c>
      <c r="H34" s="2"/>
      <c r="I34" s="2"/>
      <c r="J34" s="2">
        <v>3658</v>
      </c>
      <c r="K34" s="23">
        <f t="shared" si="0"/>
        <v>1371.75</v>
      </c>
      <c r="L34" s="23">
        <f t="shared" si="1"/>
        <v>2286.25</v>
      </c>
    </row>
    <row r="35" spans="1:12" ht="60">
      <c r="A35" s="2" t="s">
        <v>34</v>
      </c>
      <c r="B35" s="23">
        <f t="shared" si="2"/>
        <v>366</v>
      </c>
      <c r="C35" s="5" t="s">
        <v>164</v>
      </c>
      <c r="D35" s="2" t="s">
        <v>144</v>
      </c>
      <c r="E35" s="2" t="s">
        <v>141</v>
      </c>
      <c r="F35" s="2" t="s">
        <v>133</v>
      </c>
      <c r="G35" s="2">
        <v>585</v>
      </c>
      <c r="H35" s="2"/>
      <c r="I35" s="2"/>
      <c r="J35" s="2">
        <v>585</v>
      </c>
      <c r="K35" s="23">
        <f t="shared" si="0"/>
        <v>219.375</v>
      </c>
      <c r="L35" s="23">
        <f t="shared" si="1"/>
        <v>365.625</v>
      </c>
    </row>
    <row r="36" spans="1:12" ht="30">
      <c r="A36" s="2" t="s">
        <v>35</v>
      </c>
      <c r="B36" s="23">
        <f t="shared" si="2"/>
        <v>779</v>
      </c>
      <c r="C36" s="5" t="s">
        <v>164</v>
      </c>
      <c r="D36" s="2" t="s">
        <v>150</v>
      </c>
      <c r="E36" s="2" t="s">
        <v>119</v>
      </c>
      <c r="F36" s="2" t="s">
        <v>143</v>
      </c>
      <c r="G36" s="77" t="s">
        <v>230</v>
      </c>
      <c r="H36" s="2"/>
      <c r="I36" s="2"/>
      <c r="J36" s="2">
        <v>1247</v>
      </c>
      <c r="K36" s="23">
        <f t="shared" si="0"/>
        <v>467.625</v>
      </c>
      <c r="L36" s="23">
        <f t="shared" si="1"/>
        <v>779.375</v>
      </c>
    </row>
    <row r="37" spans="1:12" ht="60">
      <c r="A37" s="2" t="s">
        <v>36</v>
      </c>
      <c r="B37" s="23">
        <f t="shared" si="2"/>
        <v>1238</v>
      </c>
      <c r="C37" s="5" t="s">
        <v>159</v>
      </c>
      <c r="D37" s="2" t="s">
        <v>144</v>
      </c>
      <c r="E37" s="2" t="s">
        <v>142</v>
      </c>
      <c r="F37" s="2" t="s">
        <v>133</v>
      </c>
      <c r="G37" s="2">
        <v>1980</v>
      </c>
      <c r="H37" s="2"/>
      <c r="I37" s="2"/>
      <c r="J37" s="2">
        <v>1980</v>
      </c>
      <c r="K37" s="23">
        <f t="shared" si="0"/>
        <v>742.5</v>
      </c>
      <c r="L37" s="23">
        <f t="shared" si="1"/>
        <v>1237.5</v>
      </c>
    </row>
    <row r="38" spans="1:12" ht="30">
      <c r="A38" s="2" t="s">
        <v>37</v>
      </c>
      <c r="B38" s="23">
        <f t="shared" si="2"/>
        <v>595</v>
      </c>
      <c r="C38" s="5" t="s">
        <v>164</v>
      </c>
      <c r="D38" s="2" t="s">
        <v>146</v>
      </c>
      <c r="E38" s="2" t="s">
        <v>129</v>
      </c>
      <c r="F38" s="2" t="s">
        <v>148</v>
      </c>
      <c r="G38" s="2" t="s">
        <v>12</v>
      </c>
      <c r="H38" s="2">
        <v>952</v>
      </c>
      <c r="I38" s="2"/>
      <c r="J38" s="2">
        <v>952</v>
      </c>
      <c r="K38" s="23">
        <f t="shared" si="0"/>
        <v>357</v>
      </c>
      <c r="L38" s="23">
        <f t="shared" si="1"/>
        <v>595</v>
      </c>
    </row>
    <row r="39" spans="1:12" ht="15">
      <c r="A39" s="2" t="s">
        <v>38</v>
      </c>
      <c r="B39" s="23">
        <f t="shared" si="2"/>
        <v>1294</v>
      </c>
      <c r="C39" s="5" t="s">
        <v>162</v>
      </c>
      <c r="D39" s="2" t="s">
        <v>131</v>
      </c>
      <c r="E39" s="2" t="s">
        <v>131</v>
      </c>
      <c r="F39" s="2" t="s">
        <v>131</v>
      </c>
      <c r="G39" s="2">
        <v>2071</v>
      </c>
      <c r="H39" s="2"/>
      <c r="I39" s="2"/>
      <c r="J39" s="2">
        <v>2071</v>
      </c>
      <c r="K39" s="23">
        <f t="shared" si="0"/>
        <v>776.625</v>
      </c>
      <c r="L39" s="23">
        <f t="shared" si="1"/>
        <v>1294.375</v>
      </c>
    </row>
    <row r="40" spans="1:12" ht="15">
      <c r="A40" s="2" t="s">
        <v>39</v>
      </c>
      <c r="B40" s="23">
        <f t="shared" si="2"/>
        <v>482</v>
      </c>
      <c r="C40" s="5" t="s">
        <v>166</v>
      </c>
      <c r="D40" s="2" t="s">
        <v>145</v>
      </c>
      <c r="E40" s="2" t="s">
        <v>137</v>
      </c>
      <c r="F40" s="2" t="s">
        <v>133</v>
      </c>
      <c r="G40" s="2">
        <v>771</v>
      </c>
      <c r="H40" s="2"/>
      <c r="I40" s="2"/>
      <c r="J40" s="2">
        <v>771</v>
      </c>
      <c r="K40" s="23">
        <f t="shared" si="0"/>
        <v>289.125</v>
      </c>
      <c r="L40" s="23">
        <f t="shared" si="1"/>
        <v>481.875</v>
      </c>
    </row>
    <row r="41" spans="1:12" ht="15">
      <c r="A41" s="2" t="s">
        <v>40</v>
      </c>
      <c r="B41" s="23">
        <f t="shared" si="2"/>
        <v>3365</v>
      </c>
      <c r="C41" s="5" t="s">
        <v>159</v>
      </c>
      <c r="D41" s="2" t="s">
        <v>152</v>
      </c>
      <c r="E41" s="2" t="s">
        <v>115</v>
      </c>
      <c r="F41" s="2" t="s">
        <v>143</v>
      </c>
      <c r="G41" s="2" t="s">
        <v>12</v>
      </c>
      <c r="H41" s="2">
        <v>5384</v>
      </c>
      <c r="I41" s="2"/>
      <c r="J41" s="2">
        <v>5384</v>
      </c>
      <c r="K41" s="23">
        <f t="shared" si="0"/>
        <v>2019</v>
      </c>
      <c r="L41" s="23">
        <f t="shared" si="1"/>
        <v>3365</v>
      </c>
    </row>
    <row r="42" spans="1:12" ht="30">
      <c r="A42" s="2" t="s">
        <v>41</v>
      </c>
      <c r="B42" s="23">
        <f t="shared" si="2"/>
        <v>654</v>
      </c>
      <c r="C42" s="5" t="s">
        <v>161</v>
      </c>
      <c r="D42" s="2" t="s">
        <v>147</v>
      </c>
      <c r="E42" s="2" t="s">
        <v>128</v>
      </c>
      <c r="F42" s="2" t="s">
        <v>148</v>
      </c>
      <c r="G42" s="2">
        <v>1047</v>
      </c>
      <c r="H42" s="2"/>
      <c r="I42" s="2"/>
      <c r="J42" s="2">
        <v>1047</v>
      </c>
      <c r="K42" s="23">
        <f t="shared" si="0"/>
        <v>392.625</v>
      </c>
      <c r="L42" s="23">
        <f t="shared" si="1"/>
        <v>654.375</v>
      </c>
    </row>
    <row r="43" spans="1:12" ht="30">
      <c r="A43" s="2" t="s">
        <v>42</v>
      </c>
      <c r="B43" s="23">
        <f t="shared" si="2"/>
        <v>197</v>
      </c>
      <c r="C43" s="5" t="s">
        <v>163</v>
      </c>
      <c r="D43" s="2" t="s">
        <v>151</v>
      </c>
      <c r="E43" s="2" t="s">
        <v>118</v>
      </c>
      <c r="F43" s="2" t="s">
        <v>143</v>
      </c>
      <c r="G43" s="2">
        <v>315</v>
      </c>
      <c r="H43" s="2"/>
      <c r="I43" s="2"/>
      <c r="J43" s="2">
        <v>315</v>
      </c>
      <c r="K43" s="23">
        <f t="shared" si="0"/>
        <v>118.125</v>
      </c>
      <c r="L43" s="23">
        <f t="shared" si="1"/>
        <v>196.875</v>
      </c>
    </row>
    <row r="44" spans="1:12" ht="15">
      <c r="A44" s="2" t="s">
        <v>113</v>
      </c>
      <c r="B44" s="23">
        <f t="shared" si="2"/>
        <v>127</v>
      </c>
      <c r="C44" s="5" t="s">
        <v>163</v>
      </c>
      <c r="D44" s="2" t="s">
        <v>150</v>
      </c>
      <c r="E44" s="2" t="s">
        <v>119</v>
      </c>
      <c r="F44" s="2" t="s">
        <v>143</v>
      </c>
      <c r="G44" s="2">
        <v>203</v>
      </c>
      <c r="H44" s="2"/>
      <c r="I44" s="2"/>
      <c r="J44" s="2">
        <v>203</v>
      </c>
      <c r="K44" s="23">
        <f t="shared" si="0"/>
        <v>76.125</v>
      </c>
      <c r="L44" s="23">
        <f t="shared" si="1"/>
        <v>126.875</v>
      </c>
    </row>
    <row r="45" spans="1:12" ht="15">
      <c r="A45" s="2" t="s">
        <v>43</v>
      </c>
      <c r="B45" s="23">
        <f t="shared" si="2"/>
        <v>205</v>
      </c>
      <c r="C45" s="5" t="s">
        <v>165</v>
      </c>
      <c r="D45" s="2" t="s">
        <v>152</v>
      </c>
      <c r="E45" s="2" t="s">
        <v>117</v>
      </c>
      <c r="F45" s="2" t="s">
        <v>143</v>
      </c>
      <c r="G45" s="2" t="s">
        <v>12</v>
      </c>
      <c r="H45" s="2">
        <v>328</v>
      </c>
      <c r="I45" s="2"/>
      <c r="J45" s="2">
        <v>328</v>
      </c>
      <c r="K45" s="23">
        <f t="shared" si="0"/>
        <v>123</v>
      </c>
      <c r="L45" s="23">
        <f t="shared" si="1"/>
        <v>205</v>
      </c>
    </row>
    <row r="46" spans="1:12" ht="30">
      <c r="A46" s="2" t="s">
        <v>44</v>
      </c>
      <c r="B46" s="23">
        <f t="shared" si="2"/>
        <v>109</v>
      </c>
      <c r="C46" s="5" t="s">
        <v>165</v>
      </c>
      <c r="D46" s="2" t="s">
        <v>147</v>
      </c>
      <c r="E46" s="2" t="s">
        <v>128</v>
      </c>
      <c r="F46" s="2" t="s">
        <v>148</v>
      </c>
      <c r="G46" s="2">
        <v>175</v>
      </c>
      <c r="H46" s="2"/>
      <c r="I46" s="2"/>
      <c r="J46" s="2">
        <v>175</v>
      </c>
      <c r="K46" s="23">
        <f t="shared" si="0"/>
        <v>65.625</v>
      </c>
      <c r="L46" s="23">
        <f t="shared" si="1"/>
        <v>109.375</v>
      </c>
    </row>
    <row r="47" spans="1:12" ht="30">
      <c r="A47" s="2" t="s">
        <v>45</v>
      </c>
      <c r="B47" s="23">
        <f t="shared" si="2"/>
        <v>1261</v>
      </c>
      <c r="C47" s="5" t="s">
        <v>162</v>
      </c>
      <c r="D47" s="2" t="s">
        <v>147</v>
      </c>
      <c r="E47" s="2" t="s">
        <v>128</v>
      </c>
      <c r="F47" s="2" t="s">
        <v>148</v>
      </c>
      <c r="G47" s="2">
        <v>2018</v>
      </c>
      <c r="H47" s="2"/>
      <c r="I47" s="2"/>
      <c r="J47" s="2">
        <v>2018</v>
      </c>
      <c r="K47" s="23">
        <f t="shared" si="0"/>
        <v>756.75</v>
      </c>
      <c r="L47" s="23">
        <f t="shared" si="1"/>
        <v>1261.25</v>
      </c>
    </row>
    <row r="48" spans="1:12" ht="15">
      <c r="A48" s="2" t="s">
        <v>46</v>
      </c>
      <c r="B48" s="23">
        <f t="shared" si="2"/>
        <v>66</v>
      </c>
      <c r="C48" s="4"/>
      <c r="D48" s="2" t="s">
        <v>132</v>
      </c>
      <c r="E48" s="2" t="s">
        <v>132</v>
      </c>
      <c r="F48" s="2" t="s">
        <v>133</v>
      </c>
      <c r="G48" s="2">
        <v>105</v>
      </c>
      <c r="H48" s="2"/>
      <c r="I48" s="2"/>
      <c r="J48" s="2">
        <v>105</v>
      </c>
      <c r="K48" s="23">
        <f t="shared" si="0"/>
        <v>39.375</v>
      </c>
      <c r="L48" s="23">
        <f t="shared" si="1"/>
        <v>65.625</v>
      </c>
    </row>
    <row r="49" spans="1:12" ht="15">
      <c r="A49" s="2" t="s">
        <v>47</v>
      </c>
      <c r="B49" s="23">
        <f t="shared" si="2"/>
        <v>583</v>
      </c>
      <c r="C49" s="5" t="s">
        <v>164</v>
      </c>
      <c r="D49" s="2" t="s">
        <v>145</v>
      </c>
      <c r="E49" s="2" t="s">
        <v>135</v>
      </c>
      <c r="F49" s="2" t="s">
        <v>133</v>
      </c>
      <c r="G49" s="2">
        <v>932</v>
      </c>
      <c r="H49" s="2"/>
      <c r="I49" s="2"/>
      <c r="J49" s="2">
        <v>932</v>
      </c>
      <c r="K49" s="23">
        <f t="shared" si="0"/>
        <v>349.5</v>
      </c>
      <c r="L49" s="23">
        <f t="shared" si="1"/>
        <v>582.5</v>
      </c>
    </row>
    <row r="50" spans="1:12" ht="15">
      <c r="A50" s="3" t="s">
        <v>153</v>
      </c>
      <c r="B50" s="23" t="e">
        <f t="shared" si="2"/>
        <v>#VALUE!</v>
      </c>
      <c r="C50" s="4" t="s">
        <v>169</v>
      </c>
      <c r="D50" s="2" t="s">
        <v>145</v>
      </c>
      <c r="E50" s="2" t="s">
        <v>135</v>
      </c>
      <c r="F50" s="2" t="s">
        <v>133</v>
      </c>
      <c r="G50" s="2" t="s">
        <v>12</v>
      </c>
      <c r="H50" s="2" t="s">
        <v>12</v>
      </c>
      <c r="I50" s="2" t="s">
        <v>12</v>
      </c>
      <c r="J50" s="2" t="s">
        <v>12</v>
      </c>
      <c r="K50" s="23" t="e">
        <f t="shared" si="0"/>
        <v>#VALUE!</v>
      </c>
      <c r="L50" s="23" t="e">
        <f t="shared" si="1"/>
        <v>#VALUE!</v>
      </c>
    </row>
    <row r="51" spans="1:12" ht="30">
      <c r="A51" s="2" t="s">
        <v>154</v>
      </c>
      <c r="B51" s="23">
        <f t="shared" si="2"/>
        <v>14</v>
      </c>
      <c r="C51" s="4" t="s">
        <v>170</v>
      </c>
      <c r="D51" s="2" t="s">
        <v>150</v>
      </c>
      <c r="E51" s="2" t="s">
        <v>119</v>
      </c>
      <c r="F51" s="2" t="s">
        <v>143</v>
      </c>
      <c r="G51" s="2">
        <v>22</v>
      </c>
      <c r="H51" s="2"/>
      <c r="I51" s="2"/>
      <c r="J51" s="2">
        <v>22</v>
      </c>
      <c r="K51" s="23">
        <f t="shared" si="0"/>
        <v>8.25</v>
      </c>
      <c r="L51" s="23">
        <f t="shared" si="1"/>
        <v>13.75</v>
      </c>
    </row>
    <row r="52" spans="1:12" ht="30">
      <c r="A52" s="3" t="s">
        <v>48</v>
      </c>
      <c r="B52" s="23">
        <f t="shared" si="2"/>
        <v>763</v>
      </c>
      <c r="C52" s="5" t="s">
        <v>164</v>
      </c>
      <c r="D52" s="2" t="s">
        <v>151</v>
      </c>
      <c r="E52" s="2" t="s">
        <v>117</v>
      </c>
      <c r="F52" s="2" t="s">
        <v>143</v>
      </c>
      <c r="G52" s="2" t="s">
        <v>12</v>
      </c>
      <c r="H52" s="2" t="s">
        <v>12</v>
      </c>
      <c r="I52" s="2">
        <v>1220</v>
      </c>
      <c r="J52" s="2">
        <v>1220</v>
      </c>
      <c r="K52" s="23">
        <f t="shared" si="0"/>
        <v>457.5</v>
      </c>
      <c r="L52" s="23">
        <f t="shared" si="1"/>
        <v>762.5</v>
      </c>
    </row>
    <row r="53" spans="1:12" ht="30">
      <c r="A53" s="2" t="s">
        <v>49</v>
      </c>
      <c r="B53" s="23">
        <f t="shared" si="2"/>
        <v>3449</v>
      </c>
      <c r="C53" s="5" t="s">
        <v>167</v>
      </c>
      <c r="D53" s="2" t="s">
        <v>146</v>
      </c>
      <c r="E53" s="2" t="s">
        <v>129</v>
      </c>
      <c r="F53" s="2" t="s">
        <v>148</v>
      </c>
      <c r="G53" s="2">
        <v>5518</v>
      </c>
      <c r="H53" s="2"/>
      <c r="I53" s="2"/>
      <c r="J53" s="2">
        <v>5518</v>
      </c>
      <c r="K53" s="23">
        <f t="shared" si="0"/>
        <v>2069.25</v>
      </c>
      <c r="L53" s="23">
        <f t="shared" si="1"/>
        <v>3448.75</v>
      </c>
    </row>
    <row r="54" spans="1:12" ht="15">
      <c r="A54" s="2" t="s">
        <v>50</v>
      </c>
      <c r="B54" s="23">
        <f t="shared" si="2"/>
        <v>3169</v>
      </c>
      <c r="C54" s="5" t="s">
        <v>159</v>
      </c>
      <c r="D54" s="2" t="s">
        <v>145</v>
      </c>
      <c r="E54" s="2" t="s">
        <v>137</v>
      </c>
      <c r="F54" s="2" t="s">
        <v>133</v>
      </c>
      <c r="G54" s="2">
        <v>5070</v>
      </c>
      <c r="H54" s="2"/>
      <c r="I54" s="2"/>
      <c r="J54" s="2">
        <v>5070</v>
      </c>
      <c r="K54" s="23">
        <f t="shared" si="0"/>
        <v>1901.25</v>
      </c>
      <c r="L54" s="23">
        <f t="shared" si="1"/>
        <v>3168.75</v>
      </c>
    </row>
    <row r="55" spans="1:12" ht="45">
      <c r="A55" s="2" t="s">
        <v>122</v>
      </c>
      <c r="B55" s="23">
        <f t="shared" si="2"/>
        <v>1434</v>
      </c>
      <c r="C55" s="5" t="s">
        <v>164</v>
      </c>
      <c r="D55" s="2" t="s">
        <v>149</v>
      </c>
      <c r="E55" s="2" t="s">
        <v>121</v>
      </c>
      <c r="F55" s="2" t="s">
        <v>148</v>
      </c>
      <c r="G55" s="2" t="s">
        <v>12</v>
      </c>
      <c r="H55" s="2">
        <v>2294</v>
      </c>
      <c r="I55" s="2"/>
      <c r="J55" s="24">
        <v>2294</v>
      </c>
      <c r="K55" s="23">
        <f t="shared" si="0"/>
        <v>860.25</v>
      </c>
      <c r="L55" s="23">
        <f t="shared" si="1"/>
        <v>1433.75</v>
      </c>
    </row>
    <row r="56" spans="1:12" ht="15">
      <c r="A56" s="3" t="s">
        <v>114</v>
      </c>
      <c r="B56" s="23">
        <f t="shared" si="2"/>
        <v>348</v>
      </c>
      <c r="C56" s="5" t="s">
        <v>160</v>
      </c>
      <c r="D56" s="2" t="s">
        <v>152</v>
      </c>
      <c r="E56" s="2" t="s">
        <v>115</v>
      </c>
      <c r="F56" s="2" t="s">
        <v>143</v>
      </c>
      <c r="G56" s="2" t="s">
        <v>157</v>
      </c>
      <c r="H56" s="2" t="s">
        <v>12</v>
      </c>
      <c r="I56" s="2">
        <v>556</v>
      </c>
      <c r="J56" s="2">
        <v>556</v>
      </c>
      <c r="K56" s="23">
        <f t="shared" si="0"/>
        <v>208.5</v>
      </c>
      <c r="L56" s="23">
        <f t="shared" si="1"/>
        <v>347.5</v>
      </c>
    </row>
    <row r="57" spans="1:12" ht="15">
      <c r="A57" s="2" t="s">
        <v>51</v>
      </c>
      <c r="B57" s="23">
        <f t="shared" si="2"/>
        <v>350</v>
      </c>
      <c r="C57" s="5" t="s">
        <v>166</v>
      </c>
      <c r="D57" s="2" t="s">
        <v>149</v>
      </c>
      <c r="E57" s="2" t="s">
        <v>121</v>
      </c>
      <c r="F57" s="2" t="s">
        <v>148</v>
      </c>
      <c r="G57" s="2">
        <v>560</v>
      </c>
      <c r="H57" s="2"/>
      <c r="I57" s="2"/>
      <c r="J57" s="2">
        <v>560</v>
      </c>
      <c r="K57" s="23">
        <f t="shared" si="0"/>
        <v>210</v>
      </c>
      <c r="L57" s="23">
        <f t="shared" si="1"/>
        <v>350</v>
      </c>
    </row>
    <row r="58" spans="1:12" ht="15">
      <c r="A58" s="2" t="s">
        <v>52</v>
      </c>
      <c r="B58" s="23">
        <f t="shared" si="2"/>
        <v>1219</v>
      </c>
      <c r="C58" s="5" t="s">
        <v>161</v>
      </c>
      <c r="D58" s="2" t="s">
        <v>131</v>
      </c>
      <c r="E58" s="2" t="s">
        <v>131</v>
      </c>
      <c r="F58" s="2" t="s">
        <v>131</v>
      </c>
      <c r="G58" s="2" t="s">
        <v>12</v>
      </c>
      <c r="H58" s="2">
        <v>1950</v>
      </c>
      <c r="I58" s="2"/>
      <c r="J58" s="24">
        <v>1950</v>
      </c>
      <c r="K58" s="23">
        <f t="shared" si="0"/>
        <v>731.25</v>
      </c>
      <c r="L58" s="23">
        <f t="shared" si="1"/>
        <v>1218.75</v>
      </c>
    </row>
    <row r="59" spans="1:12" ht="30">
      <c r="A59" s="2" t="s">
        <v>53</v>
      </c>
      <c r="B59" s="23">
        <f t="shared" si="2"/>
        <v>2234</v>
      </c>
      <c r="C59" s="5" t="s">
        <v>159</v>
      </c>
      <c r="D59" s="2" t="s">
        <v>151</v>
      </c>
      <c r="E59" s="2" t="s">
        <v>118</v>
      </c>
      <c r="F59" s="2" t="s">
        <v>143</v>
      </c>
      <c r="G59" s="2">
        <v>3574</v>
      </c>
      <c r="H59" s="2"/>
      <c r="I59" s="2"/>
      <c r="J59" s="2">
        <v>3574</v>
      </c>
      <c r="K59" s="23">
        <f t="shared" si="0"/>
        <v>1340.25</v>
      </c>
      <c r="L59" s="23">
        <f t="shared" si="1"/>
        <v>2233.75</v>
      </c>
    </row>
    <row r="60" spans="1:12" ht="15">
      <c r="A60" s="2" t="s">
        <v>197</v>
      </c>
      <c r="B60" s="23">
        <f t="shared" si="2"/>
        <v>2279</v>
      </c>
      <c r="C60" s="5" t="s">
        <v>159</v>
      </c>
      <c r="D60" s="2" t="s">
        <v>150</v>
      </c>
      <c r="E60" s="2" t="s">
        <v>119</v>
      </c>
      <c r="F60" s="2" t="s">
        <v>143</v>
      </c>
      <c r="G60" s="2">
        <v>3646</v>
      </c>
      <c r="H60" s="2"/>
      <c r="I60" s="2"/>
      <c r="J60" s="2">
        <v>3646</v>
      </c>
      <c r="K60" s="23">
        <f>SUM(37.5*J60)/100</f>
        <v>1367.25</v>
      </c>
      <c r="L60" s="23">
        <f>SUM(J60-K60)</f>
        <v>2278.75</v>
      </c>
    </row>
    <row r="61" spans="1:12" ht="15">
      <c r="A61" s="3" t="s">
        <v>155</v>
      </c>
      <c r="B61" s="23">
        <f t="shared" si="2"/>
        <v>378</v>
      </c>
      <c r="C61" s="5" t="s">
        <v>164</v>
      </c>
      <c r="D61" s="2" t="s">
        <v>132</v>
      </c>
      <c r="E61" s="2" t="s">
        <v>132</v>
      </c>
      <c r="F61" s="2" t="s">
        <v>133</v>
      </c>
      <c r="G61" s="2" t="s">
        <v>12</v>
      </c>
      <c r="H61" s="2" t="s">
        <v>12</v>
      </c>
      <c r="I61" s="2">
        <v>604</v>
      </c>
      <c r="J61" s="2">
        <v>604</v>
      </c>
      <c r="K61" s="23">
        <f aca="true" t="shared" si="3" ref="K61:K124">SUM(37.5*J61)/100</f>
        <v>226.5</v>
      </c>
      <c r="L61" s="23">
        <f aca="true" t="shared" si="4" ref="L61:L124">SUM(J61-K61)</f>
        <v>377.5</v>
      </c>
    </row>
    <row r="62" spans="1:12" ht="15">
      <c r="A62" s="2" t="s">
        <v>54</v>
      </c>
      <c r="B62" s="23">
        <f t="shared" si="2"/>
        <v>514</v>
      </c>
      <c r="C62" s="5" t="s">
        <v>162</v>
      </c>
      <c r="D62" s="2" t="s">
        <v>131</v>
      </c>
      <c r="E62" s="2" t="s">
        <v>131</v>
      </c>
      <c r="F62" s="2" t="s">
        <v>131</v>
      </c>
      <c r="G62" s="2">
        <v>822</v>
      </c>
      <c r="H62" s="2"/>
      <c r="I62" s="2"/>
      <c r="J62" s="2">
        <v>822</v>
      </c>
      <c r="K62" s="23">
        <f t="shared" si="3"/>
        <v>308.25</v>
      </c>
      <c r="L62" s="23">
        <f t="shared" si="4"/>
        <v>513.75</v>
      </c>
    </row>
    <row r="63" spans="1:12" ht="15">
      <c r="A63" s="2" t="s">
        <v>136</v>
      </c>
      <c r="B63" s="23">
        <f t="shared" si="2"/>
        <v>544</v>
      </c>
      <c r="C63" s="5" t="s">
        <v>167</v>
      </c>
      <c r="D63" s="2" t="s">
        <v>145</v>
      </c>
      <c r="E63" s="2" t="s">
        <v>135</v>
      </c>
      <c r="F63" s="2" t="s">
        <v>133</v>
      </c>
      <c r="G63" s="2" t="s">
        <v>12</v>
      </c>
      <c r="H63" s="2">
        <v>870</v>
      </c>
      <c r="I63" s="2"/>
      <c r="J63" s="24">
        <v>870</v>
      </c>
      <c r="K63" s="23">
        <f t="shared" si="3"/>
        <v>326.25</v>
      </c>
      <c r="L63" s="23">
        <f t="shared" si="4"/>
        <v>543.75</v>
      </c>
    </row>
    <row r="64" spans="1:12" ht="30">
      <c r="A64" s="2" t="s">
        <v>55</v>
      </c>
      <c r="B64" s="23">
        <f t="shared" si="2"/>
        <v>398</v>
      </c>
      <c r="C64" s="5" t="s">
        <v>164</v>
      </c>
      <c r="D64" s="2" t="s">
        <v>152</v>
      </c>
      <c r="E64" s="2" t="s">
        <v>116</v>
      </c>
      <c r="F64" s="2" t="s">
        <v>143</v>
      </c>
      <c r="G64" s="2" t="s">
        <v>12</v>
      </c>
      <c r="H64" s="2">
        <v>636</v>
      </c>
      <c r="I64" s="2"/>
      <c r="J64" s="2">
        <v>636</v>
      </c>
      <c r="K64" s="23">
        <f t="shared" si="3"/>
        <v>238.5</v>
      </c>
      <c r="L64" s="23">
        <f t="shared" si="4"/>
        <v>397.5</v>
      </c>
    </row>
    <row r="65" spans="1:12" ht="15">
      <c r="A65" s="3" t="s">
        <v>56</v>
      </c>
      <c r="B65" s="23">
        <f t="shared" si="2"/>
        <v>580</v>
      </c>
      <c r="C65" s="5" t="s">
        <v>166</v>
      </c>
      <c r="D65" s="2" t="s">
        <v>152</v>
      </c>
      <c r="E65" s="2" t="s">
        <v>117</v>
      </c>
      <c r="F65" s="2" t="s">
        <v>143</v>
      </c>
      <c r="G65" s="2" t="s">
        <v>12</v>
      </c>
      <c r="H65" s="2" t="s">
        <v>12</v>
      </c>
      <c r="I65" s="2">
        <v>928</v>
      </c>
      <c r="J65" s="2">
        <v>928</v>
      </c>
      <c r="K65" s="23">
        <f t="shared" si="3"/>
        <v>348</v>
      </c>
      <c r="L65" s="23">
        <f t="shared" si="4"/>
        <v>580</v>
      </c>
    </row>
    <row r="66" spans="1:12" ht="30">
      <c r="A66" s="2" t="s">
        <v>57</v>
      </c>
      <c r="B66" s="23">
        <f t="shared" si="2"/>
        <v>183</v>
      </c>
      <c r="C66" s="5" t="s">
        <v>164</v>
      </c>
      <c r="D66" s="2" t="s">
        <v>151</v>
      </c>
      <c r="E66" s="2" t="s">
        <v>118</v>
      </c>
      <c r="F66" s="2" t="s">
        <v>143</v>
      </c>
      <c r="G66" s="2">
        <v>292</v>
      </c>
      <c r="H66" s="2"/>
      <c r="I66" s="2"/>
      <c r="J66" s="2">
        <v>292</v>
      </c>
      <c r="K66" s="23">
        <f t="shared" si="3"/>
        <v>109.5</v>
      </c>
      <c r="L66" s="23">
        <f t="shared" si="4"/>
        <v>182.5</v>
      </c>
    </row>
    <row r="67" spans="1:12" ht="15">
      <c r="A67" s="3" t="s">
        <v>156</v>
      </c>
      <c r="B67" s="23">
        <f t="shared" si="2"/>
        <v>328</v>
      </c>
      <c r="C67" s="5" t="s">
        <v>162</v>
      </c>
      <c r="D67" s="2" t="s">
        <v>152</v>
      </c>
      <c r="E67" s="2" t="s">
        <v>117</v>
      </c>
      <c r="F67" s="2" t="s">
        <v>143</v>
      </c>
      <c r="G67" s="2" t="s">
        <v>12</v>
      </c>
      <c r="H67" s="2" t="s">
        <v>12</v>
      </c>
      <c r="I67" s="2">
        <v>524</v>
      </c>
      <c r="J67" s="2">
        <v>524</v>
      </c>
      <c r="K67" s="23">
        <f t="shared" si="3"/>
        <v>196.5</v>
      </c>
      <c r="L67" s="23">
        <f t="shared" si="4"/>
        <v>327.5</v>
      </c>
    </row>
    <row r="68" spans="1:12" ht="15">
      <c r="A68" s="2" t="s">
        <v>58</v>
      </c>
      <c r="B68" s="23">
        <f t="shared" si="2"/>
        <v>3408</v>
      </c>
      <c r="C68" s="5" t="s">
        <v>159</v>
      </c>
      <c r="D68" s="2" t="s">
        <v>150</v>
      </c>
      <c r="E68" s="2" t="s">
        <v>119</v>
      </c>
      <c r="F68" s="2" t="s">
        <v>143</v>
      </c>
      <c r="G68" s="2">
        <v>5452</v>
      </c>
      <c r="H68" s="2"/>
      <c r="I68" s="2"/>
      <c r="J68" s="2">
        <v>5452</v>
      </c>
      <c r="K68" s="23">
        <f t="shared" si="3"/>
        <v>2044.5</v>
      </c>
      <c r="L68" s="23">
        <f t="shared" si="4"/>
        <v>3407.5</v>
      </c>
    </row>
    <row r="69" spans="1:12" ht="30">
      <c r="A69" s="2" t="s">
        <v>59</v>
      </c>
      <c r="B69" s="23">
        <f aca="true" t="shared" si="5" ref="B69:B128">ROUND(L69,0)</f>
        <v>2613</v>
      </c>
      <c r="C69" s="5" t="s">
        <v>159</v>
      </c>
      <c r="D69" s="2" t="s">
        <v>147</v>
      </c>
      <c r="E69" s="2" t="s">
        <v>128</v>
      </c>
      <c r="F69" s="2" t="s">
        <v>148</v>
      </c>
      <c r="G69" s="77" t="s">
        <v>231</v>
      </c>
      <c r="H69" s="2"/>
      <c r="I69" s="2"/>
      <c r="J69" s="2">
        <v>4180</v>
      </c>
      <c r="K69" s="23">
        <f t="shared" si="3"/>
        <v>1567.5</v>
      </c>
      <c r="L69" s="23">
        <f t="shared" si="4"/>
        <v>2612.5</v>
      </c>
    </row>
    <row r="70" spans="1:12" ht="15">
      <c r="A70" s="2" t="s">
        <v>60</v>
      </c>
      <c r="B70" s="23">
        <f t="shared" si="5"/>
        <v>977</v>
      </c>
      <c r="C70" s="5" t="s">
        <v>159</v>
      </c>
      <c r="D70" s="2" t="s">
        <v>145</v>
      </c>
      <c r="E70" s="2" t="s">
        <v>137</v>
      </c>
      <c r="F70" s="2" t="s">
        <v>133</v>
      </c>
      <c r="G70" s="2">
        <v>1563</v>
      </c>
      <c r="H70" s="2"/>
      <c r="I70" s="2"/>
      <c r="J70" s="2">
        <v>1563</v>
      </c>
      <c r="K70" s="23">
        <f t="shared" si="3"/>
        <v>586.125</v>
      </c>
      <c r="L70" s="23">
        <f t="shared" si="4"/>
        <v>976.875</v>
      </c>
    </row>
    <row r="71" spans="1:12" ht="60">
      <c r="A71" s="2" t="s">
        <v>61</v>
      </c>
      <c r="B71" s="23">
        <f t="shared" si="5"/>
        <v>448</v>
      </c>
      <c r="C71" s="5" t="s">
        <v>166</v>
      </c>
      <c r="D71" s="2" t="s">
        <v>144</v>
      </c>
      <c r="E71" s="2" t="s">
        <v>141</v>
      </c>
      <c r="F71" s="2" t="s">
        <v>133</v>
      </c>
      <c r="G71" s="2">
        <v>716</v>
      </c>
      <c r="H71" s="2"/>
      <c r="I71" s="2"/>
      <c r="J71" s="2">
        <v>716</v>
      </c>
      <c r="K71" s="23">
        <f t="shared" si="3"/>
        <v>268.5</v>
      </c>
      <c r="L71" s="23">
        <f t="shared" si="4"/>
        <v>447.5</v>
      </c>
    </row>
    <row r="72" spans="1:12" ht="30">
      <c r="A72" s="2" t="s">
        <v>62</v>
      </c>
      <c r="B72" s="23">
        <f t="shared" si="5"/>
        <v>1414</v>
      </c>
      <c r="C72" s="5" t="s">
        <v>159</v>
      </c>
      <c r="D72" s="2" t="s">
        <v>147</v>
      </c>
      <c r="E72" s="2" t="s">
        <v>128</v>
      </c>
      <c r="F72" s="2" t="s">
        <v>148</v>
      </c>
      <c r="G72" s="2">
        <v>2262</v>
      </c>
      <c r="H72" s="2"/>
      <c r="I72" s="2"/>
      <c r="J72" s="2">
        <v>2262</v>
      </c>
      <c r="K72" s="23">
        <f t="shared" si="3"/>
        <v>848.25</v>
      </c>
      <c r="L72" s="23">
        <f t="shared" si="4"/>
        <v>1413.75</v>
      </c>
    </row>
    <row r="73" spans="1:12" ht="15">
      <c r="A73" s="2" t="s">
        <v>63</v>
      </c>
      <c r="B73" s="23">
        <f t="shared" si="5"/>
        <v>965</v>
      </c>
      <c r="C73" s="5" t="s">
        <v>164</v>
      </c>
      <c r="D73" s="2" t="s">
        <v>150</v>
      </c>
      <c r="E73" s="2" t="s">
        <v>119</v>
      </c>
      <c r="F73" s="2" t="s">
        <v>143</v>
      </c>
      <c r="G73" s="2">
        <v>1544</v>
      </c>
      <c r="H73" s="2"/>
      <c r="I73" s="2"/>
      <c r="J73" s="2">
        <v>1544</v>
      </c>
      <c r="K73" s="23">
        <f t="shared" si="3"/>
        <v>579</v>
      </c>
      <c r="L73" s="23">
        <f t="shared" si="4"/>
        <v>965</v>
      </c>
    </row>
    <row r="74" spans="1:12" ht="15">
      <c r="A74" s="2" t="s">
        <v>64</v>
      </c>
      <c r="B74" s="23">
        <f t="shared" si="5"/>
        <v>764</v>
      </c>
      <c r="C74" s="5" t="s">
        <v>164</v>
      </c>
      <c r="D74" s="2" t="s">
        <v>149</v>
      </c>
      <c r="E74" s="2" t="s">
        <v>121</v>
      </c>
      <c r="F74" s="2" t="s">
        <v>148</v>
      </c>
      <c r="G74" s="2">
        <v>1223</v>
      </c>
      <c r="H74" s="2"/>
      <c r="I74" s="2"/>
      <c r="J74" s="2">
        <v>1223</v>
      </c>
      <c r="K74" s="23">
        <f t="shared" si="3"/>
        <v>458.625</v>
      </c>
      <c r="L74" s="23">
        <f t="shared" si="4"/>
        <v>764.375</v>
      </c>
    </row>
    <row r="75" spans="1:12" ht="30">
      <c r="A75" s="2" t="s">
        <v>65</v>
      </c>
      <c r="B75" s="23">
        <f t="shared" si="5"/>
        <v>3035</v>
      </c>
      <c r="C75" s="5" t="s">
        <v>159</v>
      </c>
      <c r="D75" s="2" t="s">
        <v>152</v>
      </c>
      <c r="E75" s="2" t="s">
        <v>116</v>
      </c>
      <c r="F75" s="2" t="s">
        <v>143</v>
      </c>
      <c r="G75" s="2" t="s">
        <v>12</v>
      </c>
      <c r="H75" s="2">
        <v>4856</v>
      </c>
      <c r="I75" s="2"/>
      <c r="J75" s="24">
        <v>4856</v>
      </c>
      <c r="K75" s="23">
        <f t="shared" si="3"/>
        <v>1821</v>
      </c>
      <c r="L75" s="23">
        <f t="shared" si="4"/>
        <v>3035</v>
      </c>
    </row>
    <row r="76" spans="1:12" ht="30">
      <c r="A76" s="2" t="s">
        <v>66</v>
      </c>
      <c r="B76" s="23">
        <f t="shared" si="5"/>
        <v>180</v>
      </c>
      <c r="C76" s="5" t="s">
        <v>163</v>
      </c>
      <c r="D76" s="2" t="s">
        <v>146</v>
      </c>
      <c r="E76" s="2" t="s">
        <v>129</v>
      </c>
      <c r="F76" s="2" t="s">
        <v>148</v>
      </c>
      <c r="G76" s="2">
        <v>288</v>
      </c>
      <c r="H76" s="2"/>
      <c r="I76" s="2"/>
      <c r="J76" s="2">
        <v>288</v>
      </c>
      <c r="K76" s="23">
        <f t="shared" si="3"/>
        <v>108</v>
      </c>
      <c r="L76" s="23">
        <f t="shared" si="4"/>
        <v>180</v>
      </c>
    </row>
    <row r="77" spans="1:12" ht="30">
      <c r="A77" s="2" t="s">
        <v>67</v>
      </c>
      <c r="B77" s="23">
        <f t="shared" si="5"/>
        <v>511</v>
      </c>
      <c r="C77" s="5" t="s">
        <v>161</v>
      </c>
      <c r="D77" s="2" t="s">
        <v>151</v>
      </c>
      <c r="E77" s="2" t="s">
        <v>118</v>
      </c>
      <c r="F77" s="2" t="s">
        <v>143</v>
      </c>
      <c r="G77" s="2">
        <v>818</v>
      </c>
      <c r="H77" s="2"/>
      <c r="I77" s="2"/>
      <c r="J77" s="2">
        <v>818</v>
      </c>
      <c r="K77" s="23">
        <f t="shared" si="3"/>
        <v>306.75</v>
      </c>
      <c r="L77" s="23">
        <f t="shared" si="4"/>
        <v>511.25</v>
      </c>
    </row>
    <row r="78" spans="1:12" ht="30">
      <c r="A78" s="2" t="s">
        <v>68</v>
      </c>
      <c r="B78" s="23">
        <f t="shared" si="5"/>
        <v>375</v>
      </c>
      <c r="C78" s="5" t="s">
        <v>165</v>
      </c>
      <c r="D78" s="2" t="s">
        <v>147</v>
      </c>
      <c r="E78" s="2" t="s">
        <v>128</v>
      </c>
      <c r="F78" s="2" t="s">
        <v>148</v>
      </c>
      <c r="G78" s="2">
        <v>600</v>
      </c>
      <c r="H78" s="2"/>
      <c r="I78" s="2"/>
      <c r="J78" s="2">
        <v>600</v>
      </c>
      <c r="K78" s="23">
        <f t="shared" si="3"/>
        <v>225</v>
      </c>
      <c r="L78" s="23">
        <f t="shared" si="4"/>
        <v>375</v>
      </c>
    </row>
    <row r="79" spans="1:12" ht="15">
      <c r="A79" s="2" t="s">
        <v>69</v>
      </c>
      <c r="B79" s="23">
        <f t="shared" si="5"/>
        <v>290</v>
      </c>
      <c r="C79" s="5" t="s">
        <v>164</v>
      </c>
      <c r="D79" s="2" t="s">
        <v>145</v>
      </c>
      <c r="E79" s="2" t="s">
        <v>137</v>
      </c>
      <c r="F79" s="2" t="s">
        <v>133</v>
      </c>
      <c r="G79" s="2">
        <v>464</v>
      </c>
      <c r="H79" s="2"/>
      <c r="I79" s="2"/>
      <c r="J79" s="2">
        <v>464</v>
      </c>
      <c r="K79" s="23">
        <f t="shared" si="3"/>
        <v>174</v>
      </c>
      <c r="L79" s="23">
        <f t="shared" si="4"/>
        <v>290</v>
      </c>
    </row>
    <row r="80" spans="1:12" ht="15">
      <c r="A80" s="2" t="s">
        <v>70</v>
      </c>
      <c r="B80" s="23">
        <f t="shared" si="5"/>
        <v>490</v>
      </c>
      <c r="C80" s="5" t="s">
        <v>163</v>
      </c>
      <c r="D80" s="2" t="s">
        <v>152</v>
      </c>
      <c r="E80" s="2" t="s">
        <v>115</v>
      </c>
      <c r="F80" s="2" t="s">
        <v>143</v>
      </c>
      <c r="G80" s="2" t="s">
        <v>12</v>
      </c>
      <c r="H80" s="2">
        <v>784</v>
      </c>
      <c r="I80" s="2"/>
      <c r="J80" s="24">
        <v>784</v>
      </c>
      <c r="K80" s="23">
        <f t="shared" si="3"/>
        <v>294</v>
      </c>
      <c r="L80" s="23">
        <f t="shared" si="4"/>
        <v>490</v>
      </c>
    </row>
    <row r="81" spans="1:12" ht="15">
      <c r="A81" s="2" t="s">
        <v>71</v>
      </c>
      <c r="B81" s="23">
        <f t="shared" si="5"/>
        <v>152</v>
      </c>
      <c r="C81" s="5" t="s">
        <v>164</v>
      </c>
      <c r="D81" s="2" t="s">
        <v>150</v>
      </c>
      <c r="E81" s="2" t="s">
        <v>119</v>
      </c>
      <c r="F81" s="2" t="s">
        <v>143</v>
      </c>
      <c r="G81" s="2">
        <v>243</v>
      </c>
      <c r="H81" s="2"/>
      <c r="I81" s="2"/>
      <c r="J81" s="2">
        <v>243</v>
      </c>
      <c r="K81" s="23">
        <f t="shared" si="3"/>
        <v>91.125</v>
      </c>
      <c r="L81" s="23">
        <f t="shared" si="4"/>
        <v>151.875</v>
      </c>
    </row>
    <row r="82" spans="1:12" ht="30">
      <c r="A82" s="2" t="s">
        <v>72</v>
      </c>
      <c r="B82" s="23">
        <f t="shared" si="5"/>
        <v>2805</v>
      </c>
      <c r="C82" s="4"/>
      <c r="D82" s="2" t="s">
        <v>147</v>
      </c>
      <c r="E82" s="2" t="s">
        <v>128</v>
      </c>
      <c r="F82" s="2" t="s">
        <v>148</v>
      </c>
      <c r="G82" s="2" t="s">
        <v>12</v>
      </c>
      <c r="H82" s="2">
        <v>4488</v>
      </c>
      <c r="I82" s="2"/>
      <c r="J82" s="2">
        <v>4488</v>
      </c>
      <c r="K82" s="23">
        <f t="shared" si="3"/>
        <v>1683</v>
      </c>
      <c r="L82" s="23">
        <f t="shared" si="4"/>
        <v>2805</v>
      </c>
    </row>
    <row r="83" spans="1:12" ht="15">
      <c r="A83" s="2" t="s">
        <v>73</v>
      </c>
      <c r="B83" s="23">
        <f t="shared" si="5"/>
        <v>826</v>
      </c>
      <c r="C83" s="5" t="s">
        <v>161</v>
      </c>
      <c r="D83" s="2" t="s">
        <v>150</v>
      </c>
      <c r="E83" s="2" t="s">
        <v>119</v>
      </c>
      <c r="F83" s="2" t="s">
        <v>143</v>
      </c>
      <c r="G83" s="2">
        <v>1321</v>
      </c>
      <c r="H83" s="2"/>
      <c r="I83" s="2"/>
      <c r="J83" s="2">
        <v>1321</v>
      </c>
      <c r="K83" s="23">
        <f t="shared" si="3"/>
        <v>495.375</v>
      </c>
      <c r="L83" s="23">
        <f t="shared" si="4"/>
        <v>825.625</v>
      </c>
    </row>
    <row r="84" spans="1:12" ht="30">
      <c r="A84" s="2" t="s">
        <v>74</v>
      </c>
      <c r="B84" s="23">
        <f t="shared" si="5"/>
        <v>344</v>
      </c>
      <c r="C84" s="5" t="s">
        <v>166</v>
      </c>
      <c r="D84" s="2" t="s">
        <v>147</v>
      </c>
      <c r="E84" s="2" t="s">
        <v>128</v>
      </c>
      <c r="F84" s="2" t="s">
        <v>148</v>
      </c>
      <c r="G84" s="2">
        <v>550</v>
      </c>
      <c r="H84" s="2"/>
      <c r="I84" s="2"/>
      <c r="J84" s="2">
        <v>550</v>
      </c>
      <c r="K84" s="23">
        <f t="shared" si="3"/>
        <v>206.25</v>
      </c>
      <c r="L84" s="23">
        <f t="shared" si="4"/>
        <v>343.75</v>
      </c>
    </row>
    <row r="85" spans="1:12" ht="30">
      <c r="A85" s="2" t="s">
        <v>75</v>
      </c>
      <c r="B85" s="23">
        <f t="shared" si="5"/>
        <v>888</v>
      </c>
      <c r="C85" s="5" t="s">
        <v>164</v>
      </c>
      <c r="D85" s="2" t="s">
        <v>151</v>
      </c>
      <c r="E85" s="2" t="s">
        <v>118</v>
      </c>
      <c r="F85" s="2" t="s">
        <v>143</v>
      </c>
      <c r="G85" s="2">
        <v>1420</v>
      </c>
      <c r="H85" s="2"/>
      <c r="I85" s="2"/>
      <c r="J85" s="2">
        <v>1420</v>
      </c>
      <c r="K85" s="23">
        <f t="shared" si="3"/>
        <v>532.5</v>
      </c>
      <c r="L85" s="23">
        <f t="shared" si="4"/>
        <v>887.5</v>
      </c>
    </row>
    <row r="86" spans="1:12" ht="15">
      <c r="A86" s="2" t="s">
        <v>76</v>
      </c>
      <c r="B86" s="23">
        <f t="shared" si="5"/>
        <v>1822</v>
      </c>
      <c r="C86" s="5" t="s">
        <v>159</v>
      </c>
      <c r="D86" s="2" t="s">
        <v>149</v>
      </c>
      <c r="E86" s="2" t="s">
        <v>121</v>
      </c>
      <c r="F86" s="2" t="s">
        <v>148</v>
      </c>
      <c r="G86" s="2">
        <v>2915</v>
      </c>
      <c r="H86" s="2"/>
      <c r="I86" s="2"/>
      <c r="J86" s="2">
        <v>2915</v>
      </c>
      <c r="K86" s="23">
        <f t="shared" si="3"/>
        <v>1093.125</v>
      </c>
      <c r="L86" s="23">
        <f t="shared" si="4"/>
        <v>1821.875</v>
      </c>
    </row>
    <row r="87" spans="1:12" ht="30">
      <c r="A87" s="2" t="s">
        <v>77</v>
      </c>
      <c r="B87" s="23">
        <f t="shared" si="5"/>
        <v>2290</v>
      </c>
      <c r="C87" s="5" t="s">
        <v>159</v>
      </c>
      <c r="D87" s="2" t="s">
        <v>147</v>
      </c>
      <c r="E87" s="2" t="s">
        <v>128</v>
      </c>
      <c r="F87" s="2" t="s">
        <v>148</v>
      </c>
      <c r="G87" s="77" t="s">
        <v>232</v>
      </c>
      <c r="H87" s="2"/>
      <c r="I87" s="2"/>
      <c r="J87" s="2">
        <v>3664</v>
      </c>
      <c r="K87" s="23">
        <f t="shared" si="3"/>
        <v>1374</v>
      </c>
      <c r="L87" s="23">
        <f t="shared" si="4"/>
        <v>2290</v>
      </c>
    </row>
    <row r="88" spans="1:12" ht="15">
      <c r="A88" s="2" t="s">
        <v>127</v>
      </c>
      <c r="B88" s="23">
        <f t="shared" si="5"/>
        <v>0</v>
      </c>
      <c r="C88" s="4" t="s">
        <v>171</v>
      </c>
      <c r="D88" s="2" t="s">
        <v>147</v>
      </c>
      <c r="E88" s="2" t="s">
        <v>124</v>
      </c>
      <c r="F88" s="2" t="s">
        <v>148</v>
      </c>
      <c r="G88" s="2"/>
      <c r="H88" s="2"/>
      <c r="I88" s="2"/>
      <c r="J88" s="2">
        <v>0</v>
      </c>
      <c r="K88" s="23">
        <f t="shared" si="3"/>
        <v>0</v>
      </c>
      <c r="L88" s="23">
        <f t="shared" si="4"/>
        <v>0</v>
      </c>
    </row>
    <row r="89" spans="1:12" ht="30">
      <c r="A89" s="2" t="s">
        <v>78</v>
      </c>
      <c r="B89" s="23">
        <f t="shared" si="5"/>
        <v>1286</v>
      </c>
      <c r="C89" s="5" t="s">
        <v>164</v>
      </c>
      <c r="D89" s="2" t="s">
        <v>146</v>
      </c>
      <c r="E89" s="2" t="s">
        <v>129</v>
      </c>
      <c r="F89" s="2" t="s">
        <v>148</v>
      </c>
      <c r="G89" s="2">
        <v>2058</v>
      </c>
      <c r="H89" s="2"/>
      <c r="I89" s="2"/>
      <c r="J89" s="2">
        <v>2058</v>
      </c>
      <c r="K89" s="23">
        <f t="shared" si="3"/>
        <v>771.75</v>
      </c>
      <c r="L89" s="23">
        <f t="shared" si="4"/>
        <v>1286.25</v>
      </c>
    </row>
    <row r="90" spans="1:12" ht="15">
      <c r="A90" s="2" t="s">
        <v>79</v>
      </c>
      <c r="B90" s="23">
        <f t="shared" si="5"/>
        <v>653</v>
      </c>
      <c r="C90" s="5" t="s">
        <v>164</v>
      </c>
      <c r="D90" s="2" t="s">
        <v>147</v>
      </c>
      <c r="E90" s="2" t="s">
        <v>124</v>
      </c>
      <c r="F90" s="2" t="s">
        <v>148</v>
      </c>
      <c r="G90" s="2">
        <v>1045</v>
      </c>
      <c r="H90" s="2"/>
      <c r="I90" s="2"/>
      <c r="J90" s="2">
        <v>1045</v>
      </c>
      <c r="K90" s="23">
        <f t="shared" si="3"/>
        <v>391.875</v>
      </c>
      <c r="L90" s="23">
        <f t="shared" si="4"/>
        <v>653.125</v>
      </c>
    </row>
    <row r="91" spans="1:12" ht="15">
      <c r="A91" s="2" t="s">
        <v>80</v>
      </c>
      <c r="B91" s="23">
        <f t="shared" si="5"/>
        <v>3661</v>
      </c>
      <c r="C91" s="5" t="s">
        <v>159</v>
      </c>
      <c r="D91" s="2" t="s">
        <v>131</v>
      </c>
      <c r="E91" s="2" t="s">
        <v>131</v>
      </c>
      <c r="F91" s="2" t="s">
        <v>131</v>
      </c>
      <c r="G91" s="2">
        <v>5858</v>
      </c>
      <c r="H91" s="2"/>
      <c r="I91" s="2"/>
      <c r="J91" s="2">
        <v>5858</v>
      </c>
      <c r="K91" s="23">
        <f t="shared" si="3"/>
        <v>2196.75</v>
      </c>
      <c r="L91" s="23">
        <f t="shared" si="4"/>
        <v>3661.25</v>
      </c>
    </row>
    <row r="92" spans="1:12" ht="30">
      <c r="A92" s="2" t="s">
        <v>81</v>
      </c>
      <c r="B92" s="23">
        <f t="shared" si="5"/>
        <v>943</v>
      </c>
      <c r="C92" s="5" t="s">
        <v>159</v>
      </c>
      <c r="D92" s="2" t="s">
        <v>149</v>
      </c>
      <c r="E92" s="2" t="s">
        <v>121</v>
      </c>
      <c r="F92" s="2" t="s">
        <v>148</v>
      </c>
      <c r="G92" s="2">
        <v>1509</v>
      </c>
      <c r="H92" s="2"/>
      <c r="I92" s="2"/>
      <c r="J92" s="2">
        <v>1509</v>
      </c>
      <c r="K92" s="23">
        <f t="shared" si="3"/>
        <v>565.875</v>
      </c>
      <c r="L92" s="23">
        <f t="shared" si="4"/>
        <v>943.125</v>
      </c>
    </row>
    <row r="93" spans="1:12" ht="15">
      <c r="A93" s="2" t="s">
        <v>82</v>
      </c>
      <c r="B93" s="23">
        <f t="shared" si="5"/>
        <v>1466</v>
      </c>
      <c r="C93" s="4"/>
      <c r="D93" s="2" t="s">
        <v>149</v>
      </c>
      <c r="E93" s="2" t="s">
        <v>121</v>
      </c>
      <c r="F93" s="2" t="s">
        <v>148</v>
      </c>
      <c r="G93" s="2">
        <v>2346</v>
      </c>
      <c r="H93" s="2"/>
      <c r="I93" s="2"/>
      <c r="J93" s="2">
        <v>2346</v>
      </c>
      <c r="K93" s="23">
        <f t="shared" si="3"/>
        <v>879.75</v>
      </c>
      <c r="L93" s="23">
        <f t="shared" si="4"/>
        <v>1466.25</v>
      </c>
    </row>
    <row r="94" spans="1:12" ht="15">
      <c r="A94" s="2" t="s">
        <v>83</v>
      </c>
      <c r="B94" s="23">
        <f t="shared" si="5"/>
        <v>683</v>
      </c>
      <c r="C94" s="5" t="s">
        <v>162</v>
      </c>
      <c r="D94" s="2" t="s">
        <v>145</v>
      </c>
      <c r="E94" s="2" t="s">
        <v>135</v>
      </c>
      <c r="F94" s="2" t="s">
        <v>133</v>
      </c>
      <c r="G94" s="2">
        <v>1092</v>
      </c>
      <c r="H94" s="2"/>
      <c r="I94" s="2"/>
      <c r="J94" s="2">
        <v>1092</v>
      </c>
      <c r="K94" s="23">
        <f t="shared" si="3"/>
        <v>409.5</v>
      </c>
      <c r="L94" s="23">
        <f t="shared" si="4"/>
        <v>682.5</v>
      </c>
    </row>
    <row r="95" spans="1:12" ht="15">
      <c r="A95" s="2" t="s">
        <v>84</v>
      </c>
      <c r="B95" s="23">
        <f t="shared" si="5"/>
        <v>1976</v>
      </c>
      <c r="C95" s="5" t="s">
        <v>159</v>
      </c>
      <c r="D95" s="2" t="s">
        <v>152</v>
      </c>
      <c r="E95" s="2" t="s">
        <v>117</v>
      </c>
      <c r="F95" s="2" t="s">
        <v>143</v>
      </c>
      <c r="G95" s="2" t="s">
        <v>12</v>
      </c>
      <c r="H95" s="2">
        <v>3162</v>
      </c>
      <c r="I95" s="2"/>
      <c r="J95" s="24">
        <v>3162</v>
      </c>
      <c r="K95" s="23">
        <f t="shared" si="3"/>
        <v>1185.75</v>
      </c>
      <c r="L95" s="23">
        <f t="shared" si="4"/>
        <v>1976.25</v>
      </c>
    </row>
    <row r="96" spans="1:12" ht="15">
      <c r="A96" s="3" t="s">
        <v>126</v>
      </c>
      <c r="B96" s="23" t="e">
        <f t="shared" si="5"/>
        <v>#VALUE!</v>
      </c>
      <c r="C96" s="4" t="s">
        <v>171</v>
      </c>
      <c r="D96" s="2" t="s">
        <v>147</v>
      </c>
      <c r="E96" s="2" t="s">
        <v>124</v>
      </c>
      <c r="F96" s="2" t="s">
        <v>148</v>
      </c>
      <c r="G96" s="2" t="s">
        <v>157</v>
      </c>
      <c r="H96" s="2" t="s">
        <v>157</v>
      </c>
      <c r="I96" s="2" t="s">
        <v>157</v>
      </c>
      <c r="J96" s="2" t="s">
        <v>157</v>
      </c>
      <c r="K96" s="23" t="e">
        <f t="shared" si="3"/>
        <v>#VALUE!</v>
      </c>
      <c r="L96" s="23" t="e">
        <f t="shared" si="4"/>
        <v>#VALUE!</v>
      </c>
    </row>
    <row r="97" spans="1:12" ht="30">
      <c r="A97" s="2" t="s">
        <v>85</v>
      </c>
      <c r="B97" s="23">
        <f t="shared" si="5"/>
        <v>1309</v>
      </c>
      <c r="C97" s="5" t="s">
        <v>164</v>
      </c>
      <c r="D97" s="2" t="s">
        <v>147</v>
      </c>
      <c r="E97" s="2" t="s">
        <v>128</v>
      </c>
      <c r="F97" s="2" t="s">
        <v>148</v>
      </c>
      <c r="G97" s="2">
        <v>2095</v>
      </c>
      <c r="H97" s="2"/>
      <c r="I97" s="2"/>
      <c r="J97" s="2">
        <v>2095</v>
      </c>
      <c r="K97" s="23">
        <f t="shared" si="3"/>
        <v>785.625</v>
      </c>
      <c r="L97" s="23">
        <f t="shared" si="4"/>
        <v>1309.375</v>
      </c>
    </row>
    <row r="98" spans="1:12" ht="30">
      <c r="A98" s="2" t="s">
        <v>86</v>
      </c>
      <c r="B98" s="23">
        <f t="shared" si="5"/>
        <v>1056</v>
      </c>
      <c r="C98" s="5" t="s">
        <v>164</v>
      </c>
      <c r="D98" s="2" t="s">
        <v>152</v>
      </c>
      <c r="E98" s="2" t="s">
        <v>116</v>
      </c>
      <c r="F98" s="2" t="s">
        <v>143</v>
      </c>
      <c r="G98" s="2" t="s">
        <v>12</v>
      </c>
      <c r="H98" s="2">
        <v>1690</v>
      </c>
      <c r="I98" s="2"/>
      <c r="J98" s="24">
        <v>1690</v>
      </c>
      <c r="K98" s="23">
        <f t="shared" si="3"/>
        <v>633.75</v>
      </c>
      <c r="L98" s="23">
        <f t="shared" si="4"/>
        <v>1056.25</v>
      </c>
    </row>
    <row r="99" spans="1:12" ht="15">
      <c r="A99" s="2" t="s">
        <v>87</v>
      </c>
      <c r="B99" s="23">
        <f t="shared" si="5"/>
        <v>691</v>
      </c>
      <c r="C99" s="5" t="s">
        <v>162</v>
      </c>
      <c r="D99" s="2" t="s">
        <v>145</v>
      </c>
      <c r="E99" s="2" t="s">
        <v>137</v>
      </c>
      <c r="F99" s="2" t="s">
        <v>133</v>
      </c>
      <c r="G99" s="2">
        <v>1106</v>
      </c>
      <c r="H99" s="2"/>
      <c r="I99" s="2"/>
      <c r="J99" s="2">
        <v>1106</v>
      </c>
      <c r="K99" s="23">
        <f t="shared" si="3"/>
        <v>414.75</v>
      </c>
      <c r="L99" s="23">
        <f t="shared" si="4"/>
        <v>691.25</v>
      </c>
    </row>
    <row r="100" spans="1:12" ht="15">
      <c r="A100" s="2" t="s">
        <v>88</v>
      </c>
      <c r="B100" s="23">
        <f t="shared" si="5"/>
        <v>232</v>
      </c>
      <c r="C100" s="5" t="s">
        <v>165</v>
      </c>
      <c r="D100" s="2" t="s">
        <v>147</v>
      </c>
      <c r="E100" s="2" t="s">
        <v>124</v>
      </c>
      <c r="F100" s="2" t="s">
        <v>148</v>
      </c>
      <c r="G100" s="2">
        <v>371</v>
      </c>
      <c r="H100" s="2"/>
      <c r="I100" s="2"/>
      <c r="J100" s="2">
        <v>371</v>
      </c>
      <c r="K100" s="23">
        <f t="shared" si="3"/>
        <v>139.125</v>
      </c>
      <c r="L100" s="23">
        <f t="shared" si="4"/>
        <v>231.875</v>
      </c>
    </row>
    <row r="101" spans="1:12" ht="15">
      <c r="A101" s="2" t="s">
        <v>89</v>
      </c>
      <c r="B101" s="23">
        <f t="shared" si="5"/>
        <v>136</v>
      </c>
      <c r="C101" s="5" t="s">
        <v>161</v>
      </c>
      <c r="D101" s="2" t="s">
        <v>145</v>
      </c>
      <c r="E101" s="2" t="s">
        <v>137</v>
      </c>
      <c r="F101" s="2" t="s">
        <v>133</v>
      </c>
      <c r="G101" s="2">
        <v>217</v>
      </c>
      <c r="H101" s="2"/>
      <c r="I101" s="2"/>
      <c r="J101" s="2">
        <v>217</v>
      </c>
      <c r="K101" s="23">
        <f t="shared" si="3"/>
        <v>81.375</v>
      </c>
      <c r="L101" s="23">
        <f t="shared" si="4"/>
        <v>135.625</v>
      </c>
    </row>
    <row r="102" spans="1:12" ht="15">
      <c r="A102" s="2" t="s">
        <v>90</v>
      </c>
      <c r="B102" s="23">
        <f t="shared" si="5"/>
        <v>277</v>
      </c>
      <c r="C102" s="5" t="s">
        <v>166</v>
      </c>
      <c r="D102" s="2" t="s">
        <v>132</v>
      </c>
      <c r="E102" s="2" t="s">
        <v>132</v>
      </c>
      <c r="F102" s="2" t="s">
        <v>133</v>
      </c>
      <c r="G102" s="2">
        <v>443</v>
      </c>
      <c r="H102" s="2"/>
      <c r="I102" s="2"/>
      <c r="J102" s="2">
        <v>443</v>
      </c>
      <c r="K102" s="23">
        <f t="shared" si="3"/>
        <v>166.125</v>
      </c>
      <c r="L102" s="23">
        <f t="shared" si="4"/>
        <v>276.875</v>
      </c>
    </row>
    <row r="103" spans="1:12" ht="30">
      <c r="A103" s="2" t="s">
        <v>91</v>
      </c>
      <c r="B103" s="23">
        <f t="shared" si="5"/>
        <v>625</v>
      </c>
      <c r="C103" s="5" t="s">
        <v>164</v>
      </c>
      <c r="D103" s="2" t="s">
        <v>146</v>
      </c>
      <c r="E103" s="2" t="s">
        <v>129</v>
      </c>
      <c r="F103" s="2" t="s">
        <v>148</v>
      </c>
      <c r="G103" s="2" t="s">
        <v>12</v>
      </c>
      <c r="H103" s="2">
        <v>1000</v>
      </c>
      <c r="I103" s="2"/>
      <c r="J103" s="24">
        <v>1000</v>
      </c>
      <c r="K103" s="23">
        <f t="shared" si="3"/>
        <v>375</v>
      </c>
      <c r="L103" s="23">
        <f t="shared" si="4"/>
        <v>625</v>
      </c>
    </row>
    <row r="104" spans="1:12" ht="15">
      <c r="A104" s="2" t="s">
        <v>92</v>
      </c>
      <c r="B104" s="23">
        <f t="shared" si="5"/>
        <v>388</v>
      </c>
      <c r="C104" s="5" t="s">
        <v>166</v>
      </c>
      <c r="D104" s="2" t="s">
        <v>145</v>
      </c>
      <c r="E104" s="2" t="s">
        <v>137</v>
      </c>
      <c r="F104" s="2" t="s">
        <v>133</v>
      </c>
      <c r="G104" s="2">
        <v>621</v>
      </c>
      <c r="H104" s="2"/>
      <c r="I104" s="2"/>
      <c r="J104" s="2">
        <v>621</v>
      </c>
      <c r="K104" s="23">
        <f t="shared" si="3"/>
        <v>232.875</v>
      </c>
      <c r="L104" s="23">
        <f t="shared" si="4"/>
        <v>388.125</v>
      </c>
    </row>
    <row r="105" spans="1:12" ht="30">
      <c r="A105" s="2" t="s">
        <v>93</v>
      </c>
      <c r="B105" s="23">
        <f t="shared" si="5"/>
        <v>664</v>
      </c>
      <c r="C105" s="5" t="s">
        <v>164</v>
      </c>
      <c r="D105" s="2" t="s">
        <v>147</v>
      </c>
      <c r="E105" s="2" t="s">
        <v>128</v>
      </c>
      <c r="F105" s="2" t="s">
        <v>148</v>
      </c>
      <c r="G105" s="2">
        <v>1062</v>
      </c>
      <c r="H105" s="2"/>
      <c r="I105" s="2"/>
      <c r="J105" s="2">
        <v>1062</v>
      </c>
      <c r="K105" s="23">
        <f t="shared" si="3"/>
        <v>398.25</v>
      </c>
      <c r="L105" s="23">
        <f t="shared" si="4"/>
        <v>663.75</v>
      </c>
    </row>
    <row r="106" spans="1:12" ht="30">
      <c r="A106" s="2" t="s">
        <v>94</v>
      </c>
      <c r="B106" s="23">
        <f t="shared" si="5"/>
        <v>489</v>
      </c>
      <c r="C106" s="5" t="s">
        <v>164</v>
      </c>
      <c r="D106" s="2" t="s">
        <v>146</v>
      </c>
      <c r="E106" s="2" t="s">
        <v>129</v>
      </c>
      <c r="F106" s="2" t="s">
        <v>148</v>
      </c>
      <c r="G106" s="2" t="s">
        <v>12</v>
      </c>
      <c r="H106" s="2">
        <v>782</v>
      </c>
      <c r="I106" s="2"/>
      <c r="J106" s="24">
        <v>782</v>
      </c>
      <c r="K106" s="23">
        <f t="shared" si="3"/>
        <v>293.25</v>
      </c>
      <c r="L106" s="23">
        <f t="shared" si="4"/>
        <v>488.75</v>
      </c>
    </row>
    <row r="107" spans="1:12" ht="30">
      <c r="A107" s="2" t="s">
        <v>95</v>
      </c>
      <c r="B107" s="23">
        <f t="shared" si="5"/>
        <v>973</v>
      </c>
      <c r="C107" s="5" t="s">
        <v>161</v>
      </c>
      <c r="D107" s="2" t="s">
        <v>152</v>
      </c>
      <c r="E107" s="2" t="s">
        <v>116</v>
      </c>
      <c r="F107" s="2" t="s">
        <v>143</v>
      </c>
      <c r="G107" s="2" t="s">
        <v>12</v>
      </c>
      <c r="H107" s="2">
        <v>1556</v>
      </c>
      <c r="I107" s="2"/>
      <c r="J107" s="24">
        <v>1556</v>
      </c>
      <c r="K107" s="23">
        <f t="shared" si="3"/>
        <v>583.5</v>
      </c>
      <c r="L107" s="23">
        <f t="shared" si="4"/>
        <v>972.5</v>
      </c>
    </row>
    <row r="108" spans="1:12" ht="30">
      <c r="A108" s="2" t="s">
        <v>96</v>
      </c>
      <c r="B108" s="23">
        <f t="shared" si="5"/>
        <v>573</v>
      </c>
      <c r="C108" s="5" t="s">
        <v>166</v>
      </c>
      <c r="D108" s="2" t="s">
        <v>147</v>
      </c>
      <c r="E108" s="2" t="s">
        <v>128</v>
      </c>
      <c r="F108" s="2" t="s">
        <v>148</v>
      </c>
      <c r="G108" s="2">
        <v>916</v>
      </c>
      <c r="H108" s="2"/>
      <c r="I108" s="2"/>
      <c r="J108" s="2">
        <v>916</v>
      </c>
      <c r="K108" s="23">
        <f t="shared" si="3"/>
        <v>343.5</v>
      </c>
      <c r="L108" s="23">
        <f t="shared" si="4"/>
        <v>572.5</v>
      </c>
    </row>
    <row r="109" spans="1:12" ht="15">
      <c r="A109" s="2" t="s">
        <v>97</v>
      </c>
      <c r="B109" s="23">
        <f t="shared" si="5"/>
        <v>355</v>
      </c>
      <c r="C109" s="5" t="s">
        <v>165</v>
      </c>
      <c r="D109" s="2" t="s">
        <v>145</v>
      </c>
      <c r="E109" s="2" t="s">
        <v>137</v>
      </c>
      <c r="F109" s="2" t="s">
        <v>133</v>
      </c>
      <c r="G109" s="2">
        <v>568</v>
      </c>
      <c r="H109" s="2"/>
      <c r="I109" s="2"/>
      <c r="J109" s="2">
        <v>568</v>
      </c>
      <c r="K109" s="23">
        <f t="shared" si="3"/>
        <v>213</v>
      </c>
      <c r="L109" s="23">
        <f t="shared" si="4"/>
        <v>355</v>
      </c>
    </row>
    <row r="110" spans="1:12" ht="30">
      <c r="A110" s="2" t="s">
        <v>98</v>
      </c>
      <c r="B110" s="23">
        <f t="shared" si="5"/>
        <v>254</v>
      </c>
      <c r="C110" s="5" t="s">
        <v>164</v>
      </c>
      <c r="D110" s="2" t="s">
        <v>146</v>
      </c>
      <c r="E110" s="2" t="s">
        <v>129</v>
      </c>
      <c r="F110" s="2" t="s">
        <v>148</v>
      </c>
      <c r="G110" s="2" t="s">
        <v>12</v>
      </c>
      <c r="H110" s="2">
        <v>406</v>
      </c>
      <c r="I110" s="2"/>
      <c r="J110" s="24">
        <v>406</v>
      </c>
      <c r="K110" s="23">
        <f t="shared" si="3"/>
        <v>152.25</v>
      </c>
      <c r="L110" s="23">
        <f t="shared" si="4"/>
        <v>253.75</v>
      </c>
    </row>
    <row r="111" spans="1:12" ht="30">
      <c r="A111" s="2" t="s">
        <v>99</v>
      </c>
      <c r="B111" s="23">
        <f t="shared" si="5"/>
        <v>3253</v>
      </c>
      <c r="C111" s="4" t="s">
        <v>159</v>
      </c>
      <c r="D111" s="2" t="s">
        <v>131</v>
      </c>
      <c r="E111" s="2" t="s">
        <v>131</v>
      </c>
      <c r="F111" s="2" t="s">
        <v>131</v>
      </c>
      <c r="G111" s="77" t="s">
        <v>233</v>
      </c>
      <c r="H111" s="2"/>
      <c r="I111" s="2"/>
      <c r="J111" s="2">
        <v>5204</v>
      </c>
      <c r="K111" s="23">
        <f t="shared" si="3"/>
        <v>1951.5</v>
      </c>
      <c r="L111" s="23">
        <f t="shared" si="4"/>
        <v>3252.5</v>
      </c>
    </row>
    <row r="112" spans="1:12" ht="15">
      <c r="A112" s="2" t="s">
        <v>125</v>
      </c>
      <c r="B112" s="23">
        <f t="shared" si="5"/>
        <v>424</v>
      </c>
      <c r="C112" s="5" t="s">
        <v>164</v>
      </c>
      <c r="D112" s="2" t="s">
        <v>147</v>
      </c>
      <c r="E112" s="2" t="s">
        <v>124</v>
      </c>
      <c r="F112" s="2" t="s">
        <v>148</v>
      </c>
      <c r="G112" s="2">
        <v>678</v>
      </c>
      <c r="H112" s="2"/>
      <c r="I112" s="2"/>
      <c r="J112" s="2">
        <v>678</v>
      </c>
      <c r="K112" s="23">
        <f t="shared" si="3"/>
        <v>254.25</v>
      </c>
      <c r="L112" s="23">
        <f t="shared" si="4"/>
        <v>423.75</v>
      </c>
    </row>
    <row r="113" spans="1:12" ht="15">
      <c r="A113" s="2" t="s">
        <v>100</v>
      </c>
      <c r="B113" s="23">
        <f t="shared" si="5"/>
        <v>440</v>
      </c>
      <c r="C113" s="5" t="s">
        <v>164</v>
      </c>
      <c r="D113" s="2" t="s">
        <v>145</v>
      </c>
      <c r="E113" s="2" t="s">
        <v>135</v>
      </c>
      <c r="F113" s="2" t="s">
        <v>133</v>
      </c>
      <c r="G113" s="2">
        <v>704</v>
      </c>
      <c r="H113" s="2"/>
      <c r="I113" s="2"/>
      <c r="J113" s="2">
        <v>704</v>
      </c>
      <c r="K113" s="23">
        <f t="shared" si="3"/>
        <v>264</v>
      </c>
      <c r="L113" s="23">
        <f t="shared" si="4"/>
        <v>440</v>
      </c>
    </row>
    <row r="114" spans="1:12" ht="30">
      <c r="A114" s="2" t="s">
        <v>101</v>
      </c>
      <c r="B114" s="23">
        <f t="shared" si="5"/>
        <v>338</v>
      </c>
      <c r="C114" s="5" t="s">
        <v>164</v>
      </c>
      <c r="D114" s="2" t="s">
        <v>150</v>
      </c>
      <c r="E114" s="2" t="s">
        <v>119</v>
      </c>
      <c r="F114" s="2" t="s">
        <v>143</v>
      </c>
      <c r="G114" s="77" t="s">
        <v>234</v>
      </c>
      <c r="H114" s="2"/>
      <c r="I114" s="2"/>
      <c r="J114" s="2">
        <v>540</v>
      </c>
      <c r="K114" s="23">
        <f t="shared" si="3"/>
        <v>202.5</v>
      </c>
      <c r="L114" s="23">
        <f t="shared" si="4"/>
        <v>337.5</v>
      </c>
    </row>
    <row r="115" spans="1:12" ht="30">
      <c r="A115" s="2" t="s">
        <v>102</v>
      </c>
      <c r="B115" s="23">
        <f t="shared" si="5"/>
        <v>353</v>
      </c>
      <c r="C115" s="4" t="s">
        <v>166</v>
      </c>
      <c r="D115" s="2" t="s">
        <v>152</v>
      </c>
      <c r="E115" s="2" t="s">
        <v>116</v>
      </c>
      <c r="F115" s="2" t="s">
        <v>143</v>
      </c>
      <c r="G115" s="2" t="s">
        <v>12</v>
      </c>
      <c r="H115" s="2">
        <v>564</v>
      </c>
      <c r="I115" s="2"/>
      <c r="J115" s="24">
        <v>564</v>
      </c>
      <c r="K115" s="23">
        <f t="shared" si="3"/>
        <v>211.5</v>
      </c>
      <c r="L115" s="23">
        <f t="shared" si="4"/>
        <v>352.5</v>
      </c>
    </row>
    <row r="116" spans="1:12" ht="15">
      <c r="A116" s="2" t="s">
        <v>103</v>
      </c>
      <c r="B116" s="23">
        <f t="shared" si="5"/>
        <v>91</v>
      </c>
      <c r="C116" s="5" t="s">
        <v>163</v>
      </c>
      <c r="D116" s="2" t="s">
        <v>150</v>
      </c>
      <c r="E116" s="2" t="s">
        <v>119</v>
      </c>
      <c r="F116" s="2" t="s">
        <v>143</v>
      </c>
      <c r="G116" s="2">
        <v>146</v>
      </c>
      <c r="H116" s="2"/>
      <c r="I116" s="2"/>
      <c r="J116" s="2">
        <v>146</v>
      </c>
      <c r="K116" s="23">
        <f t="shared" si="3"/>
        <v>54.75</v>
      </c>
      <c r="L116" s="23">
        <f t="shared" si="4"/>
        <v>91.25</v>
      </c>
    </row>
    <row r="117" spans="1:12" ht="15">
      <c r="A117" s="2" t="s">
        <v>104</v>
      </c>
      <c r="B117" s="23">
        <f t="shared" si="5"/>
        <v>4384</v>
      </c>
      <c r="C117" s="5" t="s">
        <v>159</v>
      </c>
      <c r="D117" s="2" t="s">
        <v>131</v>
      </c>
      <c r="E117" s="2" t="s">
        <v>131</v>
      </c>
      <c r="F117" s="2" t="s">
        <v>131</v>
      </c>
      <c r="G117" s="2">
        <v>7014</v>
      </c>
      <c r="H117" s="2"/>
      <c r="I117" s="2"/>
      <c r="J117" s="2">
        <v>7014</v>
      </c>
      <c r="K117" s="23">
        <f t="shared" si="3"/>
        <v>2630.25</v>
      </c>
      <c r="L117" s="23">
        <f t="shared" si="4"/>
        <v>4383.75</v>
      </c>
    </row>
    <row r="118" spans="1:12" ht="15">
      <c r="A118" s="3" t="s">
        <v>123</v>
      </c>
      <c r="B118" s="23">
        <f t="shared" si="5"/>
        <v>230</v>
      </c>
      <c r="C118" s="5" t="s">
        <v>160</v>
      </c>
      <c r="D118" s="2" t="s">
        <v>149</v>
      </c>
      <c r="E118" s="2" t="s">
        <v>121</v>
      </c>
      <c r="F118" s="2" t="s">
        <v>148</v>
      </c>
      <c r="G118" s="2" t="s">
        <v>157</v>
      </c>
      <c r="H118" s="2" t="s">
        <v>157</v>
      </c>
      <c r="I118" s="2">
        <v>368</v>
      </c>
      <c r="J118" s="2">
        <v>368</v>
      </c>
      <c r="K118" s="23">
        <f t="shared" si="3"/>
        <v>138</v>
      </c>
      <c r="L118" s="23">
        <f t="shared" si="4"/>
        <v>230</v>
      </c>
    </row>
    <row r="119" spans="1:12" ht="15">
      <c r="A119" s="2" t="s">
        <v>105</v>
      </c>
      <c r="B119" s="23">
        <f t="shared" si="5"/>
        <v>913</v>
      </c>
      <c r="C119" s="5" t="s">
        <v>164</v>
      </c>
      <c r="D119" s="2" t="s">
        <v>149</v>
      </c>
      <c r="E119" s="2" t="s">
        <v>121</v>
      </c>
      <c r="F119" s="2" t="s">
        <v>148</v>
      </c>
      <c r="G119" s="2">
        <v>1460</v>
      </c>
      <c r="H119" s="2"/>
      <c r="I119" s="2"/>
      <c r="J119" s="2">
        <v>1460</v>
      </c>
      <c r="K119" s="23">
        <f t="shared" si="3"/>
        <v>547.5</v>
      </c>
      <c r="L119" s="23">
        <f t="shared" si="4"/>
        <v>912.5</v>
      </c>
    </row>
    <row r="120" spans="1:12" ht="15">
      <c r="A120" s="2" t="s">
        <v>106</v>
      </c>
      <c r="B120" s="23">
        <f t="shared" si="5"/>
        <v>807</v>
      </c>
      <c r="C120" s="5" t="s">
        <v>164</v>
      </c>
      <c r="D120" s="2" t="s">
        <v>150</v>
      </c>
      <c r="E120" s="2" t="s">
        <v>119</v>
      </c>
      <c r="F120" s="2" t="s">
        <v>143</v>
      </c>
      <c r="G120" s="2">
        <v>1291</v>
      </c>
      <c r="H120" s="2"/>
      <c r="I120" s="2"/>
      <c r="J120" s="2">
        <v>1291</v>
      </c>
      <c r="K120" s="23">
        <f t="shared" si="3"/>
        <v>484.125</v>
      </c>
      <c r="L120" s="23">
        <f t="shared" si="4"/>
        <v>806.875</v>
      </c>
    </row>
    <row r="121" spans="1:12" ht="30">
      <c r="A121" s="3" t="s">
        <v>130</v>
      </c>
      <c r="B121" s="23">
        <f t="shared" si="5"/>
        <v>228</v>
      </c>
      <c r="C121" s="5" t="s">
        <v>160</v>
      </c>
      <c r="D121" s="2" t="s">
        <v>146</v>
      </c>
      <c r="E121" s="2" t="s">
        <v>129</v>
      </c>
      <c r="F121" s="2" t="s">
        <v>148</v>
      </c>
      <c r="G121" s="2" t="s">
        <v>157</v>
      </c>
      <c r="H121" s="2" t="s">
        <v>157</v>
      </c>
      <c r="I121" s="2">
        <v>364</v>
      </c>
      <c r="J121" s="2">
        <v>364</v>
      </c>
      <c r="K121" s="23">
        <f t="shared" si="3"/>
        <v>136.5</v>
      </c>
      <c r="L121" s="23">
        <f t="shared" si="4"/>
        <v>227.5</v>
      </c>
    </row>
    <row r="122" spans="1:12" ht="15">
      <c r="A122" s="3" t="s">
        <v>120</v>
      </c>
      <c r="B122" s="23">
        <f t="shared" si="5"/>
        <v>405</v>
      </c>
      <c r="C122" s="5" t="s">
        <v>160</v>
      </c>
      <c r="D122" s="2" t="s">
        <v>150</v>
      </c>
      <c r="E122" s="2" t="s">
        <v>119</v>
      </c>
      <c r="F122" s="2" t="s">
        <v>143</v>
      </c>
      <c r="G122" s="2" t="s">
        <v>157</v>
      </c>
      <c r="H122" s="2" t="s">
        <v>157</v>
      </c>
      <c r="I122" s="2">
        <v>648</v>
      </c>
      <c r="J122" s="2">
        <v>648</v>
      </c>
      <c r="K122" s="23">
        <f t="shared" si="3"/>
        <v>243</v>
      </c>
      <c r="L122" s="23">
        <f t="shared" si="4"/>
        <v>405</v>
      </c>
    </row>
    <row r="123" spans="1:12" ht="30">
      <c r="A123" s="2" t="s">
        <v>107</v>
      </c>
      <c r="B123" s="23">
        <f t="shared" si="5"/>
        <v>254</v>
      </c>
      <c r="C123" s="5" t="s">
        <v>164</v>
      </c>
      <c r="D123" s="2" t="s">
        <v>147</v>
      </c>
      <c r="E123" s="2" t="s">
        <v>128</v>
      </c>
      <c r="F123" s="2" t="s">
        <v>148</v>
      </c>
      <c r="G123" s="2">
        <v>407</v>
      </c>
      <c r="H123" s="2"/>
      <c r="I123" s="2"/>
      <c r="J123" s="2">
        <v>407</v>
      </c>
      <c r="K123" s="23">
        <f t="shared" si="3"/>
        <v>152.625</v>
      </c>
      <c r="L123" s="23">
        <f t="shared" si="4"/>
        <v>254.375</v>
      </c>
    </row>
    <row r="124" spans="1:12" ht="15">
      <c r="A124" s="2" t="s">
        <v>108</v>
      </c>
      <c r="B124" s="23">
        <f t="shared" si="5"/>
        <v>109</v>
      </c>
      <c r="C124" s="5" t="s">
        <v>163</v>
      </c>
      <c r="D124" s="2" t="s">
        <v>149</v>
      </c>
      <c r="E124" s="2" t="s">
        <v>121</v>
      </c>
      <c r="F124" s="2" t="s">
        <v>148</v>
      </c>
      <c r="G124" s="2">
        <v>174</v>
      </c>
      <c r="H124" s="2"/>
      <c r="I124" s="2"/>
      <c r="J124" s="2">
        <v>174</v>
      </c>
      <c r="K124" s="23">
        <f t="shared" si="3"/>
        <v>65.25</v>
      </c>
      <c r="L124" s="23">
        <f t="shared" si="4"/>
        <v>108.75</v>
      </c>
    </row>
    <row r="125" spans="1:12" ht="15">
      <c r="A125" s="2" t="s">
        <v>109</v>
      </c>
      <c r="B125" s="23">
        <f t="shared" si="5"/>
        <v>1399</v>
      </c>
      <c r="C125" s="5" t="s">
        <v>159</v>
      </c>
      <c r="D125" s="2" t="s">
        <v>145</v>
      </c>
      <c r="E125" s="2" t="s">
        <v>135</v>
      </c>
      <c r="F125" s="2" t="s">
        <v>133</v>
      </c>
      <c r="G125" s="2">
        <v>2238</v>
      </c>
      <c r="H125" s="2"/>
      <c r="I125" s="2"/>
      <c r="J125" s="2">
        <v>2238</v>
      </c>
      <c r="K125" s="23">
        <f>SUM(37.5*J125)/100</f>
        <v>839.25</v>
      </c>
      <c r="L125" s="23">
        <f>SUM(J125-K125)</f>
        <v>1398.75</v>
      </c>
    </row>
    <row r="126" spans="1:12" ht="15">
      <c r="A126" s="2" t="s">
        <v>110</v>
      </c>
      <c r="B126" s="23">
        <f t="shared" si="5"/>
        <v>1927</v>
      </c>
      <c r="C126" s="5" t="s">
        <v>163</v>
      </c>
      <c r="D126" s="2" t="s">
        <v>147</v>
      </c>
      <c r="E126" s="2" t="s">
        <v>124</v>
      </c>
      <c r="F126" s="2" t="s">
        <v>148</v>
      </c>
      <c r="G126" s="2">
        <v>3083</v>
      </c>
      <c r="H126" s="2"/>
      <c r="I126" s="2"/>
      <c r="J126" s="2">
        <v>3083</v>
      </c>
      <c r="K126" s="23">
        <f>SUM(37.5*J126)/100</f>
        <v>1156.125</v>
      </c>
      <c r="L126" s="23">
        <f>SUM(J126-K126)</f>
        <v>1926.875</v>
      </c>
    </row>
    <row r="127" spans="1:12" ht="15">
      <c r="A127" s="2" t="s">
        <v>111</v>
      </c>
      <c r="B127" s="23">
        <f t="shared" si="5"/>
        <v>3761</v>
      </c>
      <c r="C127" s="5" t="s">
        <v>159</v>
      </c>
      <c r="D127" s="2" t="s">
        <v>131</v>
      </c>
      <c r="E127" s="2" t="s">
        <v>131</v>
      </c>
      <c r="F127" s="2" t="s">
        <v>131</v>
      </c>
      <c r="G127" s="2">
        <v>6018</v>
      </c>
      <c r="H127" s="2"/>
      <c r="I127" s="2"/>
      <c r="J127" s="2">
        <v>6018</v>
      </c>
      <c r="K127" s="23">
        <f>SUM(37.5*J127)/100</f>
        <v>2256.75</v>
      </c>
      <c r="L127" s="23">
        <f>SUM(J127-K127)</f>
        <v>3761.25</v>
      </c>
    </row>
    <row r="128" spans="1:12" ht="15">
      <c r="A128" s="2" t="s">
        <v>112</v>
      </c>
      <c r="B128" s="23">
        <f t="shared" si="5"/>
        <v>639</v>
      </c>
      <c r="C128" s="5" t="s">
        <v>164</v>
      </c>
      <c r="D128" s="2" t="s">
        <v>152</v>
      </c>
      <c r="E128" s="2" t="s">
        <v>117</v>
      </c>
      <c r="F128" s="2" t="s">
        <v>143</v>
      </c>
      <c r="G128" s="2" t="s">
        <v>12</v>
      </c>
      <c r="H128" s="2">
        <v>1022</v>
      </c>
      <c r="I128" s="2"/>
      <c r="J128" s="24">
        <v>1022</v>
      </c>
      <c r="K128" s="23">
        <f>SUM(37.5*J128)/100</f>
        <v>383.25</v>
      </c>
      <c r="L128" s="23">
        <f>SUM(J128-K128)</f>
        <v>638.75</v>
      </c>
    </row>
  </sheetData>
  <sheetProtection/>
  <conditionalFormatting sqref="C11:C12 C2:C9 C14:C27 C29:C47 C49 C52:C81 C83:C87 C89:C92 C94:C95 C97:C110 C116:C128 C112:C114">
    <cfRule type="cellIs" priority="3" dxfId="4" operator="equal" stopIfTrue="1">
      <formula>0</formula>
    </cfRule>
    <cfRule type="cellIs" priority="4" dxfId="4" operator="equal" stopIfTrue="1">
      <formula>FALSE</formula>
    </cfRule>
  </conditionalFormatting>
  <conditionalFormatting sqref="C10">
    <cfRule type="cellIs" priority="1" dxfId="4" operator="equal" stopIfTrue="1">
      <formula>0</formula>
    </cfRule>
    <cfRule type="cellIs" priority="2" dxfId="4" operator="equal" stopIfTrue="1">
      <formula>FALSE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2.421875" style="0" customWidth="1"/>
    <col min="2" max="2" width="16.8515625" style="0" customWidth="1"/>
    <col min="3" max="3" width="12.57421875" style="0" customWidth="1"/>
    <col min="4" max="4" width="18.421875" style="0" customWidth="1"/>
    <col min="5" max="5" width="21.140625" style="0" customWidth="1"/>
  </cols>
  <sheetData>
    <row r="1" spans="2:5" ht="51" customHeight="1">
      <c r="B1" s="10" t="s">
        <v>223</v>
      </c>
      <c r="C1" t="s">
        <v>224</v>
      </c>
      <c r="D1" t="s">
        <v>207</v>
      </c>
      <c r="E1" t="s">
        <v>208</v>
      </c>
    </row>
    <row r="2" spans="1:4" ht="15">
      <c r="A2" t="s">
        <v>173</v>
      </c>
      <c r="B2" s="9">
        <v>3.38</v>
      </c>
      <c r="C2" s="9"/>
      <c r="D2" s="9">
        <v>6</v>
      </c>
    </row>
    <row r="3" spans="1:4" ht="15">
      <c r="A3" t="s">
        <v>174</v>
      </c>
      <c r="B3" s="9">
        <v>6</v>
      </c>
      <c r="C3" s="9"/>
      <c r="D3" s="9"/>
    </row>
    <row r="4" spans="1:5" ht="15">
      <c r="A4" t="s">
        <v>175</v>
      </c>
      <c r="B4" s="9">
        <v>8.55</v>
      </c>
      <c r="C4" s="9">
        <v>8.88</v>
      </c>
      <c r="D4" s="9">
        <v>3.91</v>
      </c>
      <c r="E4" s="9">
        <v>4.7</v>
      </c>
    </row>
    <row r="5" spans="1:5" ht="15">
      <c r="A5" t="s">
        <v>176</v>
      </c>
      <c r="B5" s="9">
        <v>60</v>
      </c>
      <c r="C5" s="9">
        <v>56.26</v>
      </c>
      <c r="D5" s="9">
        <v>45.57</v>
      </c>
      <c r="E5" s="9">
        <v>51.46</v>
      </c>
    </row>
    <row r="6" spans="1:5" ht="15">
      <c r="A6" t="s">
        <v>239</v>
      </c>
      <c r="B6" s="9">
        <v>6.65</v>
      </c>
      <c r="C6" s="9">
        <v>8.88</v>
      </c>
      <c r="D6" s="9">
        <v>8.73</v>
      </c>
      <c r="E6" s="9">
        <v>5.02</v>
      </c>
    </row>
    <row r="7" spans="1:5" ht="15">
      <c r="A7" t="s">
        <v>206</v>
      </c>
      <c r="B7" s="9">
        <v>4.75</v>
      </c>
      <c r="C7" s="9">
        <v>8.88</v>
      </c>
      <c r="D7" s="9">
        <v>5.82</v>
      </c>
      <c r="E7" s="9">
        <v>3.87</v>
      </c>
    </row>
    <row r="8" spans="1:4" ht="15">
      <c r="A8" t="s">
        <v>202</v>
      </c>
      <c r="D8" s="9"/>
    </row>
    <row r="9" spans="1:5" ht="15">
      <c r="A9" t="s">
        <v>177</v>
      </c>
      <c r="B9" s="9">
        <f>SUM(B2:B7)</f>
        <v>89.33000000000001</v>
      </c>
      <c r="C9" s="9">
        <f>SUM(C2:C7)</f>
        <v>82.89999999999999</v>
      </c>
      <c r="D9" s="9">
        <f>SUM(D2:D8)</f>
        <v>70.03</v>
      </c>
      <c r="E9" s="9">
        <f>SUM(E4:E7)</f>
        <v>65.05000000000001</v>
      </c>
    </row>
    <row r="10" spans="3:5" ht="15">
      <c r="C10" s="75"/>
      <c r="E10" s="75"/>
    </row>
    <row r="11" ht="15">
      <c r="B11" t="s">
        <v>226</v>
      </c>
    </row>
    <row r="12" ht="15">
      <c r="A12" s="13" t="s">
        <v>214</v>
      </c>
    </row>
    <row r="13" spans="1:2" ht="15">
      <c r="A13" t="s">
        <v>215</v>
      </c>
      <c r="B13" s="21">
        <v>30000</v>
      </c>
    </row>
    <row r="14" spans="1:2" ht="15">
      <c r="A14" t="s">
        <v>216</v>
      </c>
      <c r="B14" s="21">
        <v>4500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3"/>
  <sheetViews>
    <sheetView zoomScalePageLayoutView="0" workbookViewId="0" topLeftCell="B13">
      <pane xSplit="4500" ySplit="3975" topLeftCell="B27" activePane="bottomRight" state="split"/>
      <selection pane="topLeft" activeCell="B4" sqref="B4"/>
      <selection pane="topRight" activeCell="D6" sqref="D6"/>
      <selection pane="bottomLeft" activeCell="B16" sqref="B16"/>
      <selection pane="bottomRight" activeCell="B17" sqref="B17"/>
    </sheetView>
  </sheetViews>
  <sheetFormatPr defaultColWidth="9.140625" defaultRowHeight="15"/>
  <cols>
    <col min="1" max="1" width="12.00390625" style="0" hidden="1" customWidth="1"/>
    <col min="2" max="2" width="36.140625" style="10" customWidth="1"/>
    <col min="3" max="3" width="3.28125" style="10" customWidth="1"/>
    <col min="4" max="4" width="10.7109375" style="33" customWidth="1"/>
    <col min="5" max="5" width="14.28125" style="30" customWidth="1"/>
    <col min="6" max="6" width="13.140625" style="26" customWidth="1"/>
    <col min="7" max="7" width="3.8515625" style="34" customWidth="1"/>
    <col min="8" max="8" width="11.28125" style="50" customWidth="1"/>
    <col min="9" max="9" width="14.28125" style="51" customWidth="1"/>
    <col min="10" max="10" width="14.00390625" style="56" customWidth="1"/>
    <col min="11" max="11" width="13.7109375" style="57" customWidth="1"/>
    <col min="12" max="12" width="11.7109375" style="44" customWidth="1"/>
    <col min="13" max="13" width="13.28125" style="45" customWidth="1"/>
    <col min="14" max="14" width="3.140625" style="14" customWidth="1"/>
    <col min="15" max="15" width="9.140625" style="33" customWidth="1"/>
    <col min="16" max="16" width="12.57421875" style="30" customWidth="1"/>
    <col min="17" max="17" width="15.00390625" style="26" customWidth="1"/>
    <col min="18" max="18" width="5.00390625" style="33" customWidth="1"/>
    <col min="19" max="19" width="10.8515625" style="50" customWidth="1"/>
    <col min="20" max="20" width="12.8515625" style="51" customWidth="1"/>
    <col min="21" max="21" width="12.7109375" style="56" customWidth="1"/>
    <col min="22" max="22" width="13.28125" style="57" customWidth="1"/>
    <col min="23" max="23" width="11.7109375" style="44" customWidth="1"/>
    <col min="24" max="24" width="14.28125" style="45" customWidth="1"/>
    <col min="25" max="25" width="4.7109375" style="14" customWidth="1"/>
    <col min="26" max="26" width="9.140625" style="33" customWidth="1"/>
    <col min="27" max="27" width="14.28125" style="65" customWidth="1"/>
    <col min="28" max="28" width="13.8515625" style="26" customWidth="1"/>
    <col min="29" max="29" width="4.57421875" style="33" customWidth="1"/>
    <col min="30" max="30" width="10.8515625" style="50" customWidth="1"/>
    <col min="31" max="31" width="12.57421875" style="51" customWidth="1"/>
    <col min="32" max="32" width="12.7109375" style="56" customWidth="1"/>
    <col min="33" max="33" width="14.421875" style="57" customWidth="1"/>
    <col min="34" max="34" width="11.7109375" style="67" customWidth="1"/>
    <col min="35" max="35" width="14.57421875" style="45" customWidth="1"/>
    <col min="36" max="36" width="5.140625" style="14" customWidth="1"/>
    <col min="37" max="37" width="10.140625" style="31" bestFit="1" customWidth="1"/>
    <col min="38" max="38" width="13.7109375" style="30" customWidth="1"/>
    <col min="39" max="39" width="14.140625" style="70" customWidth="1"/>
    <col min="40" max="40" width="2.7109375" style="33" customWidth="1"/>
    <col min="41" max="41" width="11.7109375" style="50" customWidth="1"/>
    <col min="42" max="42" width="12.7109375" style="71" customWidth="1"/>
    <col min="43" max="43" width="11.7109375" style="56" customWidth="1"/>
    <col min="44" max="44" width="12.421875" style="72" customWidth="1"/>
    <col min="45" max="45" width="10.8515625" style="44" customWidth="1"/>
    <col min="46" max="46" width="15.28125" style="73" customWidth="1"/>
    <col min="47" max="47" width="4.57421875" style="14" customWidth="1"/>
  </cols>
  <sheetData>
    <row r="1" spans="2:29" ht="18.75">
      <c r="B1" s="25" t="s">
        <v>199</v>
      </c>
      <c r="D1" s="29"/>
      <c r="G1" s="32"/>
      <c r="O1" s="29"/>
      <c r="R1" s="29"/>
      <c r="Z1" s="29"/>
      <c r="AC1" s="29"/>
    </row>
    <row r="2" spans="1:3" ht="18.75">
      <c r="A2" s="18" t="s">
        <v>0</v>
      </c>
      <c r="B2" s="79" t="s">
        <v>197</v>
      </c>
      <c r="C2" s="19"/>
    </row>
    <row r="3" spans="1:3" ht="23.25" customHeight="1">
      <c r="A3" s="10" t="s">
        <v>198</v>
      </c>
      <c r="B3" s="78">
        <f>VLOOKUP($B$2,Prisons!$A$2:$B$128,2,FALSE)</f>
        <v>2279</v>
      </c>
      <c r="C3" s="20"/>
    </row>
    <row r="4" spans="2:3" ht="30">
      <c r="B4" s="80" t="s">
        <v>237</v>
      </c>
      <c r="C4" s="20"/>
    </row>
    <row r="5" spans="2:37" ht="19.5" customHeight="1">
      <c r="B5" s="81" t="s">
        <v>235</v>
      </c>
      <c r="D5" s="83" t="s">
        <v>222</v>
      </c>
      <c r="E5" s="83"/>
      <c r="F5" s="83"/>
      <c r="G5" s="83"/>
      <c r="H5" s="83"/>
      <c r="I5" s="83"/>
      <c r="J5" s="83"/>
      <c r="K5" s="83"/>
      <c r="L5" s="83"/>
      <c r="M5" s="83"/>
      <c r="O5" s="62" t="s">
        <v>221</v>
      </c>
      <c r="Z5" s="62" t="s">
        <v>207</v>
      </c>
      <c r="AK5" s="69" t="s">
        <v>209</v>
      </c>
    </row>
    <row r="6" spans="1:2" ht="15">
      <c r="A6" t="s">
        <v>179</v>
      </c>
      <c r="B6" s="81" t="s">
        <v>236</v>
      </c>
    </row>
    <row r="7" spans="2:47" s="16" customFormat="1" ht="58.5" customHeight="1">
      <c r="B7" s="82" t="s">
        <v>238</v>
      </c>
      <c r="D7" s="35" t="s">
        <v>218</v>
      </c>
      <c r="E7" s="36" t="s">
        <v>181</v>
      </c>
      <c r="F7" s="27" t="s">
        <v>217</v>
      </c>
      <c r="G7" s="38"/>
      <c r="H7" s="52" t="s">
        <v>182</v>
      </c>
      <c r="I7" s="53" t="s">
        <v>183</v>
      </c>
      <c r="J7" s="58" t="s">
        <v>185</v>
      </c>
      <c r="K7" s="59" t="s">
        <v>184</v>
      </c>
      <c r="L7" s="46" t="s">
        <v>188</v>
      </c>
      <c r="M7" s="47" t="s">
        <v>193</v>
      </c>
      <c r="N7" s="17"/>
      <c r="O7" s="35" t="s">
        <v>180</v>
      </c>
      <c r="P7" s="36" t="s">
        <v>181</v>
      </c>
      <c r="Q7" s="27" t="s">
        <v>217</v>
      </c>
      <c r="R7" s="35"/>
      <c r="S7" s="52" t="s">
        <v>182</v>
      </c>
      <c r="T7" s="53" t="s">
        <v>183</v>
      </c>
      <c r="U7" s="58" t="s">
        <v>185</v>
      </c>
      <c r="V7" s="59" t="s">
        <v>184</v>
      </c>
      <c r="W7" s="46" t="s">
        <v>188</v>
      </c>
      <c r="X7" s="47" t="s">
        <v>184</v>
      </c>
      <c r="Y7" s="17"/>
      <c r="Z7" s="35" t="s">
        <v>180</v>
      </c>
      <c r="AA7" s="66" t="s">
        <v>181</v>
      </c>
      <c r="AB7" s="27" t="s">
        <v>217</v>
      </c>
      <c r="AC7" s="35"/>
      <c r="AD7" s="52" t="s">
        <v>182</v>
      </c>
      <c r="AE7" s="53" t="s">
        <v>183</v>
      </c>
      <c r="AF7" s="58" t="s">
        <v>185</v>
      </c>
      <c r="AG7" s="59" t="s">
        <v>184</v>
      </c>
      <c r="AH7" s="68" t="s">
        <v>188</v>
      </c>
      <c r="AI7" s="47" t="s">
        <v>193</v>
      </c>
      <c r="AJ7" s="17"/>
      <c r="AK7" s="37" t="s">
        <v>180</v>
      </c>
      <c r="AL7" s="36" t="s">
        <v>181</v>
      </c>
      <c r="AM7" s="27" t="s">
        <v>217</v>
      </c>
      <c r="AN7" s="35"/>
      <c r="AO7" s="52" t="s">
        <v>182</v>
      </c>
      <c r="AP7" s="53" t="s">
        <v>183</v>
      </c>
      <c r="AQ7" s="58" t="s">
        <v>185</v>
      </c>
      <c r="AR7" s="59" t="s">
        <v>184</v>
      </c>
      <c r="AS7" s="46" t="s">
        <v>188</v>
      </c>
      <c r="AT7" s="47" t="s">
        <v>193</v>
      </c>
      <c r="AU7" s="17"/>
    </row>
    <row r="8" spans="2:46" ht="15">
      <c r="B8" s="10" t="s">
        <v>201</v>
      </c>
      <c r="D8" s="31">
        <f>SUM('Lab Charges'!B2+'Lab Charges'!B3+'Lab Charges'!B4)</f>
        <v>17.93</v>
      </c>
      <c r="E8" s="30">
        <f>$B$3</f>
        <v>2279</v>
      </c>
      <c r="F8" s="26">
        <f>SUM(D8*E8)</f>
        <v>40862.47</v>
      </c>
      <c r="H8" s="50">
        <f>ROUND(80*$B$3/100,0)</f>
        <v>1823</v>
      </c>
      <c r="I8" s="51">
        <f>(H8*D8)</f>
        <v>32686.39</v>
      </c>
      <c r="J8" s="56">
        <f>ROUND(50*$B$3/100,0)</f>
        <v>1140</v>
      </c>
      <c r="K8" s="57">
        <f>(J8*D8)</f>
        <v>20440.2</v>
      </c>
      <c r="L8" s="48">
        <f>ROUND(30*$B$3/100,0)</f>
        <v>684</v>
      </c>
      <c r="M8" s="49">
        <f>SUM(L8*D8)</f>
        <v>12264.119999999999</v>
      </c>
      <c r="O8" s="31">
        <f>+'Lab Charges'!C4</f>
        <v>8.88</v>
      </c>
      <c r="P8" s="30">
        <f>$B$3</f>
        <v>2279</v>
      </c>
      <c r="Q8" s="26">
        <f>SUM(O8*$B$3)</f>
        <v>20237.52</v>
      </c>
      <c r="S8" s="50">
        <f>ROUND(80*$B$3/100,0)</f>
        <v>1823</v>
      </c>
      <c r="T8" s="51">
        <f>SUM(S8*O8)</f>
        <v>16188.240000000002</v>
      </c>
      <c r="U8" s="56">
        <f>ROUND(50*$B$3/100,0)</f>
        <v>1140</v>
      </c>
      <c r="V8" s="57">
        <f>SUM(U8*O8)</f>
        <v>10123.2</v>
      </c>
      <c r="W8" s="48">
        <f>ROUND(30*$B$3/100,0)</f>
        <v>684</v>
      </c>
      <c r="X8" s="49">
        <f>(W8*O8)</f>
        <v>6073.920000000001</v>
      </c>
      <c r="Z8" s="31">
        <f>SUM('Lab Charges'!D2,'Lab Charges'!D4)</f>
        <v>9.91</v>
      </c>
      <c r="AA8" s="30">
        <f>$B$3</f>
        <v>2279</v>
      </c>
      <c r="AB8" s="26">
        <f>AA8*Z8</f>
        <v>22584.89</v>
      </c>
      <c r="AD8" s="50">
        <f>ROUND(80*$B$3/100,0)</f>
        <v>1823</v>
      </c>
      <c r="AE8" s="51">
        <f>(AD8*Z8)</f>
        <v>18065.93</v>
      </c>
      <c r="AF8" s="56">
        <f>ROUND(50*$B$3/100,0)</f>
        <v>1140</v>
      </c>
      <c r="AG8" s="57">
        <f>AF8*Z8</f>
        <v>11297.4</v>
      </c>
      <c r="AH8" s="44">
        <f>ROUND(30*$B$3/100,0)</f>
        <v>684</v>
      </c>
      <c r="AI8" s="45">
        <f aca="true" t="shared" si="0" ref="AI8:AI14">SUM(AH8*Z8)</f>
        <v>6778.4400000000005</v>
      </c>
      <c r="AK8" s="31">
        <f>'Lab Charges'!E4</f>
        <v>4.7</v>
      </c>
      <c r="AL8" s="30">
        <f>$B$3</f>
        <v>2279</v>
      </c>
      <c r="AM8" s="26">
        <f>(AK8*$B$3)</f>
        <v>10711.300000000001</v>
      </c>
      <c r="AO8" s="50">
        <f>ROUND(80*$B$3/100,0)</f>
        <v>1823</v>
      </c>
      <c r="AP8" s="51">
        <f>(AO8*AK8)</f>
        <v>8568.1</v>
      </c>
      <c r="AQ8" s="56">
        <f>ROUND(50*$B$3/100,0)</f>
        <v>1140</v>
      </c>
      <c r="AR8" s="57">
        <f>SUM(AQ8*AK8)</f>
        <v>5358</v>
      </c>
      <c r="AS8" s="48">
        <f>ROUND(30*$B$3/100,0)</f>
        <v>684</v>
      </c>
      <c r="AT8" s="49">
        <f>AS8*AK8</f>
        <v>3214.8</v>
      </c>
    </row>
    <row r="9" spans="2:46" ht="15">
      <c r="B9" s="10" t="s">
        <v>200</v>
      </c>
      <c r="D9" s="31">
        <f>SUM('Lab Charges'!B2+'Lab Charges'!B3+'Lab Charges'!B4+'Lab Charges'!B5)</f>
        <v>77.93</v>
      </c>
      <c r="E9" s="30">
        <f aca="true" t="shared" si="1" ref="E9:E14">$B$3</f>
        <v>2279</v>
      </c>
      <c r="F9" s="26">
        <f>SUM(E9*D9)</f>
        <v>177602.47</v>
      </c>
      <c r="H9" s="50">
        <f aca="true" t="shared" si="2" ref="H9:H14">ROUND(80*$B$3/100,0)</f>
        <v>1823</v>
      </c>
      <c r="I9" s="51">
        <f>(H9*D9)</f>
        <v>142066.39</v>
      </c>
      <c r="J9" s="56">
        <f>ROUND(50*$B$3/100,0)</f>
        <v>1140</v>
      </c>
      <c r="K9" s="57">
        <f>(J9*D9)</f>
        <v>88840.20000000001</v>
      </c>
      <c r="L9" s="48">
        <f>ROUND(30*$B$3/100,0)</f>
        <v>684</v>
      </c>
      <c r="M9" s="49">
        <f>SUM(L9*D9)</f>
        <v>53304.12</v>
      </c>
      <c r="O9" s="31">
        <f>SUM('Lab Charges'!C4:C5)</f>
        <v>65.14</v>
      </c>
      <c r="P9" s="30">
        <f aca="true" t="shared" si="3" ref="P9:P14">$B$3</f>
        <v>2279</v>
      </c>
      <c r="Q9" s="26">
        <f aca="true" t="shared" si="4" ref="Q9:Q14">SUM(O9*$B$3)</f>
        <v>148454.06</v>
      </c>
      <c r="S9" s="50">
        <f aca="true" t="shared" si="5" ref="S9:S14">ROUND(80*$B$3/100,0)</f>
        <v>1823</v>
      </c>
      <c r="T9" s="51">
        <f>SUM(S9*O9)</f>
        <v>118750.22</v>
      </c>
      <c r="U9" s="56">
        <f>ROUND(50*$B$3/100,0)</f>
        <v>1140</v>
      </c>
      <c r="V9" s="57">
        <f>SUM(U9*O9)</f>
        <v>74259.6</v>
      </c>
      <c r="W9" s="48">
        <f aca="true" t="shared" si="6" ref="W9:W14">ROUND(30*$B$3/100,0)</f>
        <v>684</v>
      </c>
      <c r="X9" s="49">
        <f>(W9*O9)</f>
        <v>44555.76</v>
      </c>
      <c r="Z9" s="31">
        <f>SUM('Lab Charges'!D2,'Lab Charges'!D4,'Lab Charges'!D5)</f>
        <v>55.480000000000004</v>
      </c>
      <c r="AA9" s="30">
        <f aca="true" t="shared" si="7" ref="AA9:AA14">$B$3</f>
        <v>2279</v>
      </c>
      <c r="AB9" s="26">
        <f aca="true" t="shared" si="8" ref="AB9:AB14">AA9*Z9</f>
        <v>126438.92000000001</v>
      </c>
      <c r="AD9" s="50">
        <f aca="true" t="shared" si="9" ref="AD9:AD14">ROUND(80*$B$3/100,0)</f>
        <v>1823</v>
      </c>
      <c r="AE9" s="51">
        <f>(AD9*Z9)</f>
        <v>101140.04000000001</v>
      </c>
      <c r="AF9" s="56">
        <f aca="true" t="shared" si="10" ref="AF9:AF14">ROUND(50*$B$3/100,0)</f>
        <v>1140</v>
      </c>
      <c r="AG9" s="57">
        <f aca="true" t="shared" si="11" ref="AG9:AG14">AF9*Z9</f>
        <v>63247.200000000004</v>
      </c>
      <c r="AH9" s="44">
        <f>ROUND(30*$B$3/100,0)</f>
        <v>684</v>
      </c>
      <c r="AI9" s="45">
        <f t="shared" si="0"/>
        <v>37948.32</v>
      </c>
      <c r="AK9" s="31">
        <f>'Lab Charges'!E4+'Lab Charges'!E5</f>
        <v>56.160000000000004</v>
      </c>
      <c r="AL9" s="30">
        <f aca="true" t="shared" si="12" ref="AL9:AL14">$B$3</f>
        <v>2279</v>
      </c>
      <c r="AM9" s="26">
        <f>(AK9*$B$3)</f>
        <v>127988.64000000001</v>
      </c>
      <c r="AO9" s="50">
        <f aca="true" t="shared" si="13" ref="AO9:AO14">ROUND(80*$B$3/100,0)</f>
        <v>1823</v>
      </c>
      <c r="AP9" s="51">
        <f>(AO9*AK9)</f>
        <v>102379.68000000001</v>
      </c>
      <c r="AQ9" s="56">
        <f aca="true" t="shared" si="14" ref="AQ9:AQ14">ROUND(50*$B$3/100,0)</f>
        <v>1140</v>
      </c>
      <c r="AR9" s="57">
        <f>SUM(AQ9*AK9)</f>
        <v>64022.4</v>
      </c>
      <c r="AS9" s="48">
        <f aca="true" t="shared" si="15" ref="AS9:AS14">ROUND(30*$B$3/100,0)</f>
        <v>684</v>
      </c>
      <c r="AT9" s="49">
        <f aca="true" t="shared" si="16" ref="AT9:AT14">AS9*AK9</f>
        <v>38413.44</v>
      </c>
    </row>
    <row r="10" spans="2:46" ht="15">
      <c r="B10" t="s">
        <v>205</v>
      </c>
      <c r="D10" s="31">
        <f>SUM('Lab Charges'!B2+'Lab Charges'!B3+'Lab Charges'!B6)</f>
        <v>16.03</v>
      </c>
      <c r="E10" s="30">
        <f t="shared" si="1"/>
        <v>2279</v>
      </c>
      <c r="F10" s="26">
        <f>SUM(E10*D10)</f>
        <v>36532.37</v>
      </c>
      <c r="H10" s="50">
        <f t="shared" si="2"/>
        <v>1823</v>
      </c>
      <c r="I10" s="51">
        <f>(H10*D10)</f>
        <v>29222.690000000002</v>
      </c>
      <c r="J10" s="56">
        <f>ROUND(50*$B$3/100,0)</f>
        <v>1140</v>
      </c>
      <c r="K10" s="57">
        <f>(J10*D10)</f>
        <v>18274.2</v>
      </c>
      <c r="L10" s="48">
        <f>ROUND(30*$B$3/100,0)</f>
        <v>684</v>
      </c>
      <c r="M10" s="49">
        <f>SUM(L10*D10)</f>
        <v>10964.52</v>
      </c>
      <c r="O10" s="31">
        <f>SUM('Lab Charges'!C6)</f>
        <v>8.88</v>
      </c>
      <c r="P10" s="30">
        <f t="shared" si="3"/>
        <v>2279</v>
      </c>
      <c r="Q10" s="26">
        <f t="shared" si="4"/>
        <v>20237.52</v>
      </c>
      <c r="S10" s="50">
        <f t="shared" si="5"/>
        <v>1823</v>
      </c>
      <c r="T10" s="51">
        <f>SUM(S10*O10)</f>
        <v>16188.240000000002</v>
      </c>
      <c r="U10" s="56">
        <f>ROUND(50*$B$3/100,0)</f>
        <v>1140</v>
      </c>
      <c r="V10" s="57">
        <f>SUM(U10*O10)</f>
        <v>10123.2</v>
      </c>
      <c r="W10" s="48">
        <f t="shared" si="6"/>
        <v>684</v>
      </c>
      <c r="X10" s="49">
        <f>(W10*O10)</f>
        <v>6073.920000000001</v>
      </c>
      <c r="Z10" s="31">
        <f>SUM('Lab Charges'!D2,'Lab Charges'!D6)</f>
        <v>14.73</v>
      </c>
      <c r="AA10" s="30">
        <f t="shared" si="7"/>
        <v>2279</v>
      </c>
      <c r="AB10" s="26">
        <f t="shared" si="8"/>
        <v>33569.67</v>
      </c>
      <c r="AD10" s="50">
        <f t="shared" si="9"/>
        <v>1823</v>
      </c>
      <c r="AE10" s="51">
        <f>(AD10*Z10)</f>
        <v>26852.79</v>
      </c>
      <c r="AF10" s="56">
        <f t="shared" si="10"/>
        <v>1140</v>
      </c>
      <c r="AG10" s="57">
        <f t="shared" si="11"/>
        <v>16792.2</v>
      </c>
      <c r="AH10" s="44">
        <f>ROUND(30*$B$3/100,0)</f>
        <v>684</v>
      </c>
      <c r="AI10" s="45">
        <f t="shared" si="0"/>
        <v>10075.32</v>
      </c>
      <c r="AK10" s="31">
        <f>'Lab Charges'!E6</f>
        <v>5.02</v>
      </c>
      <c r="AL10" s="30">
        <f t="shared" si="12"/>
        <v>2279</v>
      </c>
      <c r="AM10" s="26">
        <f>(AK10*$B$3)</f>
        <v>11440.58</v>
      </c>
      <c r="AO10" s="50">
        <f t="shared" si="13"/>
        <v>1823</v>
      </c>
      <c r="AP10" s="51">
        <f>(AO10*AK10)</f>
        <v>9151.46</v>
      </c>
      <c r="AQ10" s="56">
        <f t="shared" si="14"/>
        <v>1140</v>
      </c>
      <c r="AR10" s="57">
        <f>SUM(AQ10*AK10)</f>
        <v>5722.799999999999</v>
      </c>
      <c r="AS10" s="48">
        <f t="shared" si="15"/>
        <v>684</v>
      </c>
      <c r="AT10" s="49">
        <f t="shared" si="16"/>
        <v>3433.68</v>
      </c>
    </row>
    <row r="11" spans="2:46" ht="15">
      <c r="B11" s="10" t="s">
        <v>204</v>
      </c>
      <c r="D11" s="31">
        <f>SUM('Lab Charges'!B2+'Lab Charges'!B3+'Lab Charges'!B7)</f>
        <v>14.129999999999999</v>
      </c>
      <c r="E11" s="30">
        <f t="shared" si="1"/>
        <v>2279</v>
      </c>
      <c r="F11" s="26">
        <f>SUM(E11*D11)</f>
        <v>32202.269999999997</v>
      </c>
      <c r="H11" s="50">
        <f t="shared" si="2"/>
        <v>1823</v>
      </c>
      <c r="I11" s="51">
        <f>(H11*D11)</f>
        <v>25758.989999999998</v>
      </c>
      <c r="J11" s="56">
        <f>ROUND(50*$B$3/100,0)</f>
        <v>1140</v>
      </c>
      <c r="K11" s="57">
        <f>(J11*D11)</f>
        <v>16108.199999999999</v>
      </c>
      <c r="L11" s="48">
        <f>ROUND(30*$B$3/100,0)</f>
        <v>684</v>
      </c>
      <c r="M11" s="49">
        <f>SUM(L11*D11)</f>
        <v>9664.92</v>
      </c>
      <c r="O11" s="31">
        <f>SUM('Lab Charges'!C7)</f>
        <v>8.88</v>
      </c>
      <c r="P11" s="30">
        <f t="shared" si="3"/>
        <v>2279</v>
      </c>
      <c r="Q11" s="26">
        <f t="shared" si="4"/>
        <v>20237.52</v>
      </c>
      <c r="S11" s="50">
        <f t="shared" si="5"/>
        <v>1823</v>
      </c>
      <c r="T11" s="51">
        <f>SUM(S11*O11)</f>
        <v>16188.240000000002</v>
      </c>
      <c r="U11" s="56">
        <f>ROUND(50*$B$3/100,0)</f>
        <v>1140</v>
      </c>
      <c r="V11" s="57">
        <f>SUM(U11*O11)</f>
        <v>10123.2</v>
      </c>
      <c r="W11" s="48">
        <f t="shared" si="6"/>
        <v>684</v>
      </c>
      <c r="X11" s="49">
        <f>(W11*O11)</f>
        <v>6073.920000000001</v>
      </c>
      <c r="Z11" s="31">
        <f>SUM('Lab Charges'!D2,'Lab Charges'!D7)</f>
        <v>11.82</v>
      </c>
      <c r="AA11" s="30">
        <f t="shared" si="7"/>
        <v>2279</v>
      </c>
      <c r="AB11" s="26">
        <f t="shared" si="8"/>
        <v>26937.78</v>
      </c>
      <c r="AD11" s="50">
        <f t="shared" si="9"/>
        <v>1823</v>
      </c>
      <c r="AE11" s="51">
        <f>SUM(AD11*Z11)</f>
        <v>21547.86</v>
      </c>
      <c r="AF11" s="56">
        <f t="shared" si="10"/>
        <v>1140</v>
      </c>
      <c r="AG11" s="57">
        <f t="shared" si="11"/>
        <v>13474.800000000001</v>
      </c>
      <c r="AH11" s="44">
        <f>ROUND(30*$B$3/100,0)</f>
        <v>684</v>
      </c>
      <c r="AI11" s="45">
        <f t="shared" si="0"/>
        <v>8084.88</v>
      </c>
      <c r="AK11" s="31">
        <f>'Lab Charges'!E7</f>
        <v>3.87</v>
      </c>
      <c r="AL11" s="30">
        <f t="shared" si="12"/>
        <v>2279</v>
      </c>
      <c r="AM11" s="26">
        <f>(AK11*$B$3)</f>
        <v>8819.73</v>
      </c>
      <c r="AO11" s="50">
        <f t="shared" si="13"/>
        <v>1823</v>
      </c>
      <c r="AP11" s="51">
        <f>(AO11*AK11)</f>
        <v>7055.01</v>
      </c>
      <c r="AQ11" s="56">
        <f t="shared" si="14"/>
        <v>1140</v>
      </c>
      <c r="AR11" s="57">
        <f>SUM(AQ11*AK11)</f>
        <v>4411.8</v>
      </c>
      <c r="AS11" s="48">
        <f t="shared" si="15"/>
        <v>684</v>
      </c>
      <c r="AT11" s="49">
        <f t="shared" si="16"/>
        <v>2647.08</v>
      </c>
    </row>
    <row r="12" spans="2:46" ht="15">
      <c r="B12" s="10" t="s">
        <v>203</v>
      </c>
      <c r="L12" s="48"/>
      <c r="M12" s="49"/>
      <c r="W12" s="48"/>
      <c r="X12" s="49"/>
      <c r="Z12" s="31">
        <f>SUM('Lab Charges'!D2+'Lab Charges'!D7+'Lab Charges'!D8)</f>
        <v>11.82</v>
      </c>
      <c r="AA12" s="30">
        <f>ROUNDUP(1.1*$B$3/100,0)</f>
        <v>26</v>
      </c>
      <c r="AB12" s="26">
        <f t="shared" si="8"/>
        <v>307.32</v>
      </c>
      <c r="AD12" s="50">
        <f>ROUNDUP(1.1*AD11/100,0)</f>
        <v>21</v>
      </c>
      <c r="AE12" s="51">
        <f>(AD12*Z12)</f>
        <v>248.22</v>
      </c>
      <c r="AF12" s="56">
        <f>ROUNDUP(1.1*AF11/100,0)</f>
        <v>13</v>
      </c>
      <c r="AG12" s="57">
        <f t="shared" si="11"/>
        <v>153.66</v>
      </c>
      <c r="AH12" s="44">
        <f>ROUNDUP(1.1*AH11/100,0)</f>
        <v>8</v>
      </c>
      <c r="AI12" s="45">
        <f>(AH12*Z12)</f>
        <v>94.56</v>
      </c>
      <c r="AM12" s="26"/>
      <c r="AP12" s="51"/>
      <c r="AR12" s="57"/>
      <c r="AS12" s="48"/>
      <c r="AT12" s="49"/>
    </row>
    <row r="13" spans="2:46" ht="37.5" customHeight="1">
      <c r="B13" s="10" t="s">
        <v>186</v>
      </c>
      <c r="D13" s="31">
        <f>SUM('Lab Charges'!B2+'Lab Charges'!B3+'Lab Charges'!B4+'Lab Charges'!B6+'Lab Charges'!B7)</f>
        <v>29.33</v>
      </c>
      <c r="E13" s="30">
        <f t="shared" si="1"/>
        <v>2279</v>
      </c>
      <c r="F13" s="26">
        <f>SUM(E13*D13)</f>
        <v>66843.06999999999</v>
      </c>
      <c r="H13" s="50">
        <f t="shared" si="2"/>
        <v>1823</v>
      </c>
      <c r="I13" s="51">
        <f>SUM(H13*D13)</f>
        <v>53468.59</v>
      </c>
      <c r="J13" s="56">
        <f>ROUND(50*$B$3/100,0)</f>
        <v>1140</v>
      </c>
      <c r="K13" s="57">
        <f>(J13*D13)</f>
        <v>33436.2</v>
      </c>
      <c r="L13" s="48">
        <f>ROUND(30*$B$3/100,0)</f>
        <v>684</v>
      </c>
      <c r="M13" s="49">
        <f>SUM(L13*D13)</f>
        <v>20061.719999999998</v>
      </c>
      <c r="O13" s="31">
        <f>SUM('Lab Charges'!C4,'Lab Charges'!C6,'Lab Charges'!C7)</f>
        <v>26.64</v>
      </c>
      <c r="P13" s="30">
        <f t="shared" si="3"/>
        <v>2279</v>
      </c>
      <c r="Q13" s="26">
        <f t="shared" si="4"/>
        <v>60712.56</v>
      </c>
      <c r="S13" s="50">
        <f t="shared" si="5"/>
        <v>1823</v>
      </c>
      <c r="T13" s="51">
        <f>SUM(S13*O13)</f>
        <v>48564.72</v>
      </c>
      <c r="U13" s="56">
        <f>ROUND(50*$B$3/100,0)</f>
        <v>1140</v>
      </c>
      <c r="V13" s="57">
        <f>SUM(U13*O13)</f>
        <v>30369.600000000002</v>
      </c>
      <c r="W13" s="48">
        <f t="shared" si="6"/>
        <v>684</v>
      </c>
      <c r="X13" s="49">
        <f>(W13*O13)</f>
        <v>18221.760000000002</v>
      </c>
      <c r="Z13" s="31">
        <f>SUM('Lab Charges'!D2,'Lab Charges'!D4,'Lab Charges'!D6,'Lab Charges'!D7)</f>
        <v>24.46</v>
      </c>
      <c r="AA13" s="30">
        <f t="shared" si="7"/>
        <v>2279</v>
      </c>
      <c r="AB13" s="26">
        <f t="shared" si="8"/>
        <v>55744.340000000004</v>
      </c>
      <c r="AD13" s="50">
        <f t="shared" si="9"/>
        <v>1823</v>
      </c>
      <c r="AE13" s="51">
        <f>(AD13*Z13)</f>
        <v>44590.58</v>
      </c>
      <c r="AF13" s="56">
        <f t="shared" si="10"/>
        <v>1140</v>
      </c>
      <c r="AG13" s="57">
        <f t="shared" si="11"/>
        <v>27884.4</v>
      </c>
      <c r="AH13" s="44">
        <f>ROUND(30*$B$3/100,0)</f>
        <v>684</v>
      </c>
      <c r="AI13" s="45">
        <f>(AH13*Z13)</f>
        <v>16730.64</v>
      </c>
      <c r="AK13" s="31">
        <f>SUM('Lab Charges'!E4+'Lab Charges'!E6+'Lab Charges'!E7)</f>
        <v>13.59</v>
      </c>
      <c r="AL13" s="30">
        <f t="shared" si="12"/>
        <v>2279</v>
      </c>
      <c r="AM13" s="26">
        <f>(AK13*$B$3)</f>
        <v>30971.61</v>
      </c>
      <c r="AO13" s="50">
        <f t="shared" si="13"/>
        <v>1823</v>
      </c>
      <c r="AP13" s="51">
        <f>(AO13*AK13)</f>
        <v>24774.57</v>
      </c>
      <c r="AQ13" s="56">
        <f t="shared" si="14"/>
        <v>1140</v>
      </c>
      <c r="AR13" s="57">
        <f>SUM(AQ13*AK13)</f>
        <v>15492.6</v>
      </c>
      <c r="AS13" s="48">
        <f t="shared" si="15"/>
        <v>684</v>
      </c>
      <c r="AT13" s="49">
        <f t="shared" si="16"/>
        <v>9295.56</v>
      </c>
    </row>
    <row r="14" spans="2:46" ht="45">
      <c r="B14" s="10" t="s">
        <v>187</v>
      </c>
      <c r="D14" s="31">
        <f>SUM('Lab Charges'!B9)</f>
        <v>89.33000000000001</v>
      </c>
      <c r="E14" s="30">
        <f t="shared" si="1"/>
        <v>2279</v>
      </c>
      <c r="F14" s="26">
        <f>SUM(E14*D14)</f>
        <v>203583.07000000004</v>
      </c>
      <c r="H14" s="50">
        <f t="shared" si="2"/>
        <v>1823</v>
      </c>
      <c r="I14" s="51">
        <f>SUM(H14*D14)</f>
        <v>162848.59000000003</v>
      </c>
      <c r="J14" s="56">
        <f>ROUND(50*$B$3/100,0)</f>
        <v>1140</v>
      </c>
      <c r="K14" s="57">
        <f>(J14*D14)</f>
        <v>101836.20000000001</v>
      </c>
      <c r="L14" s="48">
        <f>ROUND(30*$B$3/100,0)</f>
        <v>684</v>
      </c>
      <c r="M14" s="49">
        <f>SUM(L14*D14)</f>
        <v>61101.72000000001</v>
      </c>
      <c r="O14" s="31">
        <f>SUM('Lab Charges'!C9)</f>
        <v>82.89999999999999</v>
      </c>
      <c r="P14" s="30">
        <f t="shared" si="3"/>
        <v>2279</v>
      </c>
      <c r="Q14" s="26">
        <f t="shared" si="4"/>
        <v>188929.09999999998</v>
      </c>
      <c r="S14" s="50">
        <f t="shared" si="5"/>
        <v>1823</v>
      </c>
      <c r="T14" s="51">
        <f>SUM(S14*O14)</f>
        <v>151126.69999999998</v>
      </c>
      <c r="U14" s="56">
        <f>ROUND(50*$B$3/100,0)</f>
        <v>1140</v>
      </c>
      <c r="V14" s="57">
        <f>SUM(U14*O14)</f>
        <v>94505.99999999999</v>
      </c>
      <c r="W14" s="48">
        <f t="shared" si="6"/>
        <v>684</v>
      </c>
      <c r="X14" s="49">
        <f>(W14*O14)</f>
        <v>56703.59999999999</v>
      </c>
      <c r="Z14" s="31">
        <f>SUM('Lab Charges'!D2,'Lab Charges'!D4,'Lab Charges'!D5,'Lab Charges'!D6,'Lab Charges'!D7)</f>
        <v>70.03</v>
      </c>
      <c r="AA14" s="30">
        <f t="shared" si="7"/>
        <v>2279</v>
      </c>
      <c r="AB14" s="26">
        <f t="shared" si="8"/>
        <v>159598.37</v>
      </c>
      <c r="AD14" s="50">
        <f t="shared" si="9"/>
        <v>1823</v>
      </c>
      <c r="AE14" s="51">
        <f>(AD14*Z14)</f>
        <v>127664.69</v>
      </c>
      <c r="AF14" s="56">
        <f t="shared" si="10"/>
        <v>1140</v>
      </c>
      <c r="AG14" s="57">
        <f t="shared" si="11"/>
        <v>79834.2</v>
      </c>
      <c r="AH14" s="44">
        <f>ROUND(30*$B$3/100,0)</f>
        <v>684</v>
      </c>
      <c r="AI14" s="45">
        <f t="shared" si="0"/>
        <v>47900.520000000004</v>
      </c>
      <c r="AK14" s="31">
        <f>'Lab Charges'!E9</f>
        <v>65.05000000000001</v>
      </c>
      <c r="AL14" s="30">
        <f t="shared" si="12"/>
        <v>2279</v>
      </c>
      <c r="AM14" s="26">
        <f>SUM(AK14*$B$3)</f>
        <v>148248.95</v>
      </c>
      <c r="AO14" s="50">
        <f t="shared" si="13"/>
        <v>1823</v>
      </c>
      <c r="AP14" s="51">
        <f>(AO14*AK14)</f>
        <v>118586.15000000002</v>
      </c>
      <c r="AQ14" s="56">
        <f t="shared" si="14"/>
        <v>1140</v>
      </c>
      <c r="AR14" s="57">
        <f>SUM(AQ14*AK14)</f>
        <v>74157.00000000001</v>
      </c>
      <c r="AS14" s="48">
        <f t="shared" si="15"/>
        <v>684</v>
      </c>
      <c r="AT14" s="49">
        <f t="shared" si="16"/>
        <v>44494.200000000004</v>
      </c>
    </row>
    <row r="15" spans="4:46" ht="15">
      <c r="D15" s="31"/>
      <c r="L15" s="48"/>
      <c r="M15" s="49"/>
      <c r="O15" s="31"/>
      <c r="W15" s="48"/>
      <c r="X15" s="49"/>
      <c r="Z15" s="31"/>
      <c r="AA15" s="30"/>
      <c r="AH15" s="44"/>
      <c r="AM15" s="26"/>
      <c r="AP15" s="51"/>
      <c r="AR15" s="57"/>
      <c r="AS15" s="48"/>
      <c r="AT15" s="49"/>
    </row>
    <row r="16" spans="4:46" ht="15">
      <c r="D16" s="31"/>
      <c r="L16" s="48"/>
      <c r="M16" s="49"/>
      <c r="O16" s="31"/>
      <c r="W16" s="48"/>
      <c r="X16" s="49"/>
      <c r="Z16" s="31"/>
      <c r="AA16" s="30"/>
      <c r="AH16" s="44"/>
      <c r="AM16" s="26"/>
      <c r="AP16" s="51"/>
      <c r="AR16" s="57"/>
      <c r="AS16" s="48"/>
      <c r="AT16" s="49"/>
    </row>
    <row r="17" spans="2:46" ht="15">
      <c r="B17" s="11" t="s">
        <v>190</v>
      </c>
      <c r="C17" s="11"/>
      <c r="D17" s="31"/>
      <c r="L17" s="48"/>
      <c r="M17" s="49"/>
      <c r="O17" s="31"/>
      <c r="W17" s="48"/>
      <c r="X17" s="49"/>
      <c r="Z17" s="31"/>
      <c r="AA17" s="30"/>
      <c r="AH17" s="44"/>
      <c r="AM17" s="26"/>
      <c r="AP17" s="51"/>
      <c r="AR17" s="57"/>
      <c r="AS17" s="48"/>
      <c r="AT17" s="49"/>
    </row>
    <row r="18" spans="2:46" ht="15">
      <c r="B18" s="12" t="s">
        <v>195</v>
      </c>
      <c r="C18" s="12"/>
      <c r="D18" s="31">
        <f>SUM('Lab Charges'!B2:B4)</f>
        <v>17.93</v>
      </c>
      <c r="E18" s="30">
        <f>ROUND(E14-E19,0)</f>
        <v>1823</v>
      </c>
      <c r="F18" s="26">
        <f>(E18*$D$18)</f>
        <v>32686.39</v>
      </c>
      <c r="H18" s="50">
        <f>ROUND(H14-H19,0)</f>
        <v>1458</v>
      </c>
      <c r="I18" s="51">
        <f>(H18*$D$18)</f>
        <v>26141.94</v>
      </c>
      <c r="J18" s="56">
        <f>ROUND(J14-J19,0)</f>
        <v>912</v>
      </c>
      <c r="K18" s="57">
        <f>(J18*$D$18)</f>
        <v>16352.16</v>
      </c>
      <c r="L18" s="48">
        <f>ROUND(L14-L19,0)</f>
        <v>547</v>
      </c>
      <c r="M18" s="49">
        <f>SUM(L18*$D$18)</f>
        <v>9807.71</v>
      </c>
      <c r="O18" s="31">
        <f>SUM('Lab Charges'!C4)</f>
        <v>8.88</v>
      </c>
      <c r="P18" s="30">
        <f>ROUND(P14-P19,0)</f>
        <v>1823</v>
      </c>
      <c r="Q18" s="26">
        <f>(O18*P18)</f>
        <v>16188.240000000002</v>
      </c>
      <c r="S18" s="50">
        <f>ROUND(S14-S19,0)</f>
        <v>1458</v>
      </c>
      <c r="T18" s="51">
        <f>(S18*O18)</f>
        <v>12947.04</v>
      </c>
      <c r="U18" s="56">
        <f>(U14-U19)</f>
        <v>912</v>
      </c>
      <c r="V18" s="57">
        <f>(U18*O18)</f>
        <v>8098.56</v>
      </c>
      <c r="W18" s="48">
        <f>(W14-W19)</f>
        <v>547</v>
      </c>
      <c r="X18" s="49">
        <f>W18*O18</f>
        <v>4857.360000000001</v>
      </c>
      <c r="Z18" s="31">
        <f>SUM('Lab Charges'!D2,'Lab Charges'!D4)</f>
        <v>9.91</v>
      </c>
      <c r="AA18" s="30">
        <f>ROUND(AA14-AA19,0)</f>
        <v>1823</v>
      </c>
      <c r="AB18" s="26">
        <f>AA18*Z18</f>
        <v>18065.93</v>
      </c>
      <c r="AD18" s="50">
        <f>SUM(AD14-AD19)</f>
        <v>1458</v>
      </c>
      <c r="AE18" s="51">
        <f>AD18*Z18</f>
        <v>14448.78</v>
      </c>
      <c r="AF18" s="56">
        <f>SUM(AF14-AF19)</f>
        <v>912</v>
      </c>
      <c r="AG18" s="57">
        <f>AF18*Z18</f>
        <v>9037.92</v>
      </c>
      <c r="AH18" s="44">
        <f>(AH14-AH19)</f>
        <v>547</v>
      </c>
      <c r="AI18" s="45">
        <f>AH18*Z18</f>
        <v>5420.77</v>
      </c>
      <c r="AK18" s="31">
        <f>'Lab Charges'!E4</f>
        <v>4.7</v>
      </c>
      <c r="AL18" s="30">
        <f>(AL14-AL19)</f>
        <v>1823</v>
      </c>
      <c r="AM18" s="26">
        <f>AL18*AK18</f>
        <v>8568.1</v>
      </c>
      <c r="AO18" s="50">
        <f>(AO14-AO19)</f>
        <v>1458</v>
      </c>
      <c r="AP18" s="51">
        <f>AO18*AK18</f>
        <v>6852.6</v>
      </c>
      <c r="AQ18" s="56">
        <f>SUM(AQ14-AQ19)</f>
        <v>912</v>
      </c>
      <c r="AR18" s="57">
        <f>SUM(AQ18*AK18)</f>
        <v>4286.400000000001</v>
      </c>
      <c r="AS18" s="48">
        <f>(AS14-AS19)</f>
        <v>547</v>
      </c>
      <c r="AT18" s="49">
        <f>AS18*AK18</f>
        <v>2570.9</v>
      </c>
    </row>
    <row r="19" spans="2:46" ht="27" customHeight="1">
      <c r="B19" s="10" t="s">
        <v>194</v>
      </c>
      <c r="D19" s="31">
        <f>SUM('Lab Charges'!B2:B5)</f>
        <v>77.93</v>
      </c>
      <c r="E19" s="30">
        <f>ROUND(20*E14/100,0)</f>
        <v>456</v>
      </c>
      <c r="F19" s="26">
        <f>(E19*$D$19)</f>
        <v>35536.08</v>
      </c>
      <c r="H19" s="50">
        <f>ROUND(20*H14/100,0)</f>
        <v>365</v>
      </c>
      <c r="I19" s="51">
        <f>(H19*$D$19)</f>
        <v>28444.45</v>
      </c>
      <c r="J19" s="56">
        <f>ROUND(20*J14/100,0)</f>
        <v>228</v>
      </c>
      <c r="K19" s="57">
        <f>(J19*$D$19)</f>
        <v>17768.04</v>
      </c>
      <c r="L19" s="48">
        <f>ROUND(20*L14/100,0)</f>
        <v>137</v>
      </c>
      <c r="M19" s="49">
        <f>SUM(L19*$D$19)</f>
        <v>10676.410000000002</v>
      </c>
      <c r="O19" s="31">
        <f>SUM('Lab Charges'!C4:C5)</f>
        <v>65.14</v>
      </c>
      <c r="P19" s="30">
        <f>ROUND(20*P14/100,0)</f>
        <v>456</v>
      </c>
      <c r="Q19" s="26">
        <f>(P19*O19)</f>
        <v>29703.84</v>
      </c>
      <c r="S19" s="50">
        <f>ROUND(20*S14/100,0)</f>
        <v>365</v>
      </c>
      <c r="T19" s="51">
        <f>S19*O19</f>
        <v>23776.1</v>
      </c>
      <c r="U19" s="56">
        <f>ROUND(20*U14/100,0)</f>
        <v>228</v>
      </c>
      <c r="V19" s="57">
        <f>(U19*O19)</f>
        <v>14851.92</v>
      </c>
      <c r="W19" s="48">
        <f>ROUND(20*W14/100,0)</f>
        <v>137</v>
      </c>
      <c r="X19" s="49">
        <f>W19*O19</f>
        <v>8924.18</v>
      </c>
      <c r="Z19" s="31">
        <f>SUM('Lab Charges'!D2,'Lab Charges'!D4,'Lab Charges'!D5)</f>
        <v>55.480000000000004</v>
      </c>
      <c r="AA19" s="30">
        <f>ROUND(20*AA14/100,0)</f>
        <v>456</v>
      </c>
      <c r="AB19" s="26">
        <f>AA19*Z19</f>
        <v>25298.88</v>
      </c>
      <c r="AD19" s="50">
        <f>ROUND(20*AD14/100,0)</f>
        <v>365</v>
      </c>
      <c r="AE19" s="51">
        <f>AD19*Z19</f>
        <v>20250.2</v>
      </c>
      <c r="AF19" s="56">
        <f>ROUND(20*AF14/100,0)</f>
        <v>228</v>
      </c>
      <c r="AG19" s="57">
        <f>AF19*Z19</f>
        <v>12649.44</v>
      </c>
      <c r="AH19" s="44">
        <f>ROUND(20*AH14/100,0)</f>
        <v>137</v>
      </c>
      <c r="AI19" s="45">
        <f>AH19*Z19</f>
        <v>7600.76</v>
      </c>
      <c r="AK19" s="31">
        <f>'Lab Charges'!E4+'Lab Charges'!E5</f>
        <v>56.160000000000004</v>
      </c>
      <c r="AL19" s="30">
        <f>ROUND(20*AL14/100,0)</f>
        <v>456</v>
      </c>
      <c r="AM19" s="26">
        <f>AL19*AK19</f>
        <v>25608.960000000003</v>
      </c>
      <c r="AO19" s="50">
        <f>ROUND(20*AO14/100,0)</f>
        <v>365</v>
      </c>
      <c r="AP19" s="51">
        <f>AO19*AK19</f>
        <v>20498.4</v>
      </c>
      <c r="AQ19" s="56">
        <f>ROUND(20*AQ14/100,0)</f>
        <v>228</v>
      </c>
      <c r="AR19" s="57">
        <f>SUM(AQ19*AK19)</f>
        <v>12804.480000000001</v>
      </c>
      <c r="AS19" s="48">
        <f>ROUND(20*AS14/100,0)</f>
        <v>137</v>
      </c>
      <c r="AT19" s="49">
        <f>AS19*AK19</f>
        <v>7693.92</v>
      </c>
    </row>
    <row r="20" spans="2:47" s="13" customFormat="1" ht="17.25" customHeight="1">
      <c r="B20" s="11" t="s">
        <v>189</v>
      </c>
      <c r="C20" s="11"/>
      <c r="D20" s="40"/>
      <c r="E20" s="39">
        <f>SUM(E18:E19)</f>
        <v>2279</v>
      </c>
      <c r="F20" s="28">
        <f>SUM(F18:F19)</f>
        <v>68222.47</v>
      </c>
      <c r="G20" s="41"/>
      <c r="H20" s="54">
        <f aca="true" t="shared" si="17" ref="H20:M20">SUM(H18:H19)</f>
        <v>1823</v>
      </c>
      <c r="I20" s="55">
        <f>SUM(I18:I19)</f>
        <v>54586.39</v>
      </c>
      <c r="J20" s="60">
        <f t="shared" si="17"/>
        <v>1140</v>
      </c>
      <c r="K20" s="61">
        <f t="shared" si="17"/>
        <v>34120.2</v>
      </c>
      <c r="L20" s="48">
        <f t="shared" si="17"/>
        <v>684</v>
      </c>
      <c r="M20" s="49">
        <f t="shared" si="17"/>
        <v>20484.120000000003</v>
      </c>
      <c r="N20" s="15"/>
      <c r="O20" s="40"/>
      <c r="P20" s="39">
        <f>SUM(P18:P19)</f>
        <v>2279</v>
      </c>
      <c r="Q20" s="28">
        <f>SUM(Q18:Q19)</f>
        <v>45892.08</v>
      </c>
      <c r="R20" s="39"/>
      <c r="S20" s="54">
        <f aca="true" t="shared" si="18" ref="S20:X20">SUM(S18:S19)</f>
        <v>1823</v>
      </c>
      <c r="T20" s="55">
        <f t="shared" si="18"/>
        <v>36723.14</v>
      </c>
      <c r="U20" s="60">
        <f t="shared" si="18"/>
        <v>1140</v>
      </c>
      <c r="V20" s="61">
        <f t="shared" si="18"/>
        <v>22950.48</v>
      </c>
      <c r="W20" s="48">
        <f t="shared" si="18"/>
        <v>684</v>
      </c>
      <c r="X20" s="49">
        <f t="shared" si="18"/>
        <v>13781.54</v>
      </c>
      <c r="Y20" s="15"/>
      <c r="Z20" s="40"/>
      <c r="AA20" s="39">
        <f>SUM(AA18:AA19)</f>
        <v>2279</v>
      </c>
      <c r="AB20" s="28">
        <f>SUM(AB18:AB19)</f>
        <v>43364.81</v>
      </c>
      <c r="AC20" s="39"/>
      <c r="AD20" s="54">
        <f aca="true" t="shared" si="19" ref="AD20:AI20">SUM(AD18:AD19)</f>
        <v>1823</v>
      </c>
      <c r="AE20" s="55">
        <f t="shared" si="19"/>
        <v>34698.98</v>
      </c>
      <c r="AF20" s="60">
        <f t="shared" si="19"/>
        <v>1140</v>
      </c>
      <c r="AG20" s="61">
        <f t="shared" si="19"/>
        <v>21687.36</v>
      </c>
      <c r="AH20" s="48"/>
      <c r="AI20" s="49">
        <f t="shared" si="19"/>
        <v>13021.53</v>
      </c>
      <c r="AJ20" s="15"/>
      <c r="AK20" s="40"/>
      <c r="AL20" s="39">
        <f>SUM(AL18:AL19)</f>
        <v>2279</v>
      </c>
      <c r="AM20" s="28">
        <f>SUM(AM18:AM19)</f>
        <v>34177.060000000005</v>
      </c>
      <c r="AN20" s="39"/>
      <c r="AO20" s="54">
        <f aca="true" t="shared" si="20" ref="AO20:AT20">SUM(AO18:AO19)</f>
        <v>1823</v>
      </c>
      <c r="AP20" s="55">
        <f t="shared" si="20"/>
        <v>27351</v>
      </c>
      <c r="AQ20" s="60">
        <f t="shared" si="20"/>
        <v>1140</v>
      </c>
      <c r="AR20" s="61">
        <f t="shared" si="20"/>
        <v>17090.88</v>
      </c>
      <c r="AS20" s="48">
        <f t="shared" si="20"/>
        <v>684</v>
      </c>
      <c r="AT20" s="49">
        <f t="shared" si="20"/>
        <v>10264.82</v>
      </c>
      <c r="AU20" s="15"/>
    </row>
    <row r="21" spans="4:46" ht="17.25" customHeight="1">
      <c r="D21" s="31"/>
      <c r="L21" s="48"/>
      <c r="M21" s="49"/>
      <c r="O21" s="31"/>
      <c r="W21" s="48"/>
      <c r="X21" s="49"/>
      <c r="Z21" s="31"/>
      <c r="AA21" s="30"/>
      <c r="AH21" s="44"/>
      <c r="AM21" s="26"/>
      <c r="AP21" s="51"/>
      <c r="AR21" s="57"/>
      <c r="AS21" s="48"/>
      <c r="AT21" s="49"/>
    </row>
    <row r="22" spans="2:46" ht="17.25" customHeight="1">
      <c r="B22" s="11" t="s">
        <v>191</v>
      </c>
      <c r="C22" s="11"/>
      <c r="D22" s="31"/>
      <c r="L22" s="48"/>
      <c r="M22" s="49"/>
      <c r="O22" s="31"/>
      <c r="W22" s="48"/>
      <c r="X22" s="49"/>
      <c r="Z22" s="31"/>
      <c r="AA22" s="30"/>
      <c r="AH22" s="44"/>
      <c r="AM22" s="26"/>
      <c r="AP22" s="51"/>
      <c r="AR22" s="57"/>
      <c r="AS22" s="48"/>
      <c r="AT22" s="49"/>
    </row>
    <row r="23" spans="2:46" ht="17.25" customHeight="1">
      <c r="B23" s="10" t="s">
        <v>225</v>
      </c>
      <c r="D23" s="31">
        <f>SUM('Lab Charges'!B2,'Lab Charges'!B3,'Lab Charges'!B4,'Lab Charges'!B6,'Lab Charges'!B7)</f>
        <v>29.33</v>
      </c>
      <c r="E23" s="30">
        <f>$B$3</f>
        <v>2279</v>
      </c>
      <c r="F23" s="26">
        <f>(E23*$D$23)</f>
        <v>66843.06999999999</v>
      </c>
      <c r="H23" s="50">
        <f>SUM(H14)</f>
        <v>1823</v>
      </c>
      <c r="I23" s="51">
        <f>(H23*$D$23)</f>
        <v>53468.59</v>
      </c>
      <c r="J23" s="56">
        <f>SUM(J14)</f>
        <v>1140</v>
      </c>
      <c r="K23" s="57">
        <f>(J23*$D$23)</f>
        <v>33436.2</v>
      </c>
      <c r="L23" s="48">
        <f>SUM(L14)</f>
        <v>684</v>
      </c>
      <c r="M23" s="49">
        <f>SUM(L23*$D$23)</f>
        <v>20061.719999999998</v>
      </c>
      <c r="O23" s="31">
        <f>SUM('Lab Charges'!C4,'Lab Charges'!C6,'Lab Charges'!C7)</f>
        <v>26.64</v>
      </c>
      <c r="P23" s="30">
        <f>SUM(P14)</f>
        <v>2279</v>
      </c>
      <c r="Q23" s="26">
        <f>(P23*O23)</f>
        <v>60712.56</v>
      </c>
      <c r="S23" s="50">
        <f>SUM(S14)</f>
        <v>1823</v>
      </c>
      <c r="T23" s="51">
        <f>(S23*O23)</f>
        <v>48564.72</v>
      </c>
      <c r="U23" s="56">
        <f>SUM(U14)</f>
        <v>1140</v>
      </c>
      <c r="V23" s="57">
        <f>(U23*O23)</f>
        <v>30369.600000000002</v>
      </c>
      <c r="W23" s="48">
        <f>SUM(W14)</f>
        <v>684</v>
      </c>
      <c r="X23" s="49">
        <f>W23*O23</f>
        <v>18221.760000000002</v>
      </c>
      <c r="Z23" s="31">
        <f>SUM('Lab Charges'!D2,'Lab Charges'!D4,'Lab Charges'!D6,'Lab Charges'!D7)</f>
        <v>24.46</v>
      </c>
      <c r="AA23" s="30">
        <f>(AA14)</f>
        <v>2279</v>
      </c>
      <c r="AB23" s="26">
        <f>AA23*Z23</f>
        <v>55744.340000000004</v>
      </c>
      <c r="AD23" s="50">
        <f>SUM(AD14-AD24)</f>
        <v>1458</v>
      </c>
      <c r="AE23" s="51">
        <f>AD23*Z23</f>
        <v>35662.68</v>
      </c>
      <c r="AF23" s="56">
        <f>SUM(AF14-AF24)</f>
        <v>912</v>
      </c>
      <c r="AG23" s="57">
        <f>AF23*Z23</f>
        <v>22307.52</v>
      </c>
      <c r="AH23" s="44">
        <f>(AH14-AH24)</f>
        <v>547</v>
      </c>
      <c r="AI23" s="45">
        <f>SUM(AH23*$D$23)</f>
        <v>16043.509999999998</v>
      </c>
      <c r="AK23" s="31">
        <f>'Lab Charges'!E4+'Lab Charges'!E6+'Lab Charges'!E7</f>
        <v>13.59</v>
      </c>
      <c r="AL23" s="30">
        <f>(AL14-AL24)</f>
        <v>1823</v>
      </c>
      <c r="AM23" s="26">
        <f>AL23*AK23</f>
        <v>24774.57</v>
      </c>
      <c r="AO23" s="50">
        <f>SUM(AO14-AO24)</f>
        <v>1458</v>
      </c>
      <c r="AP23" s="51">
        <f>AO23*AK23</f>
        <v>19814.22</v>
      </c>
      <c r="AQ23" s="56">
        <f>SUM(AQ14-AQ24)</f>
        <v>912</v>
      </c>
      <c r="AR23" s="57">
        <f>SUM(AQ23*AK23)</f>
        <v>12394.08</v>
      </c>
      <c r="AS23" s="48">
        <f>SUM(AS14-AS24)</f>
        <v>547</v>
      </c>
      <c r="AT23" s="49">
        <f>AS23*AK23</f>
        <v>7433.73</v>
      </c>
    </row>
    <row r="24" spans="2:46" ht="17.25" customHeight="1">
      <c r="B24" s="10" t="s">
        <v>210</v>
      </c>
      <c r="D24" s="31">
        <f>SUM('Lab Charges'!B5)</f>
        <v>60</v>
      </c>
      <c r="E24" s="30">
        <f>ROUND(20*E23/100,0)</f>
        <v>456</v>
      </c>
      <c r="F24" s="26">
        <f>SUM(E24*$D$24)</f>
        <v>27360</v>
      </c>
      <c r="H24" s="50">
        <f>ROUND(20*H14/100,0)</f>
        <v>365</v>
      </c>
      <c r="I24" s="51">
        <f>(H24*$D$24)</f>
        <v>21900</v>
      </c>
      <c r="J24" s="56">
        <f>ROUND(20*J14/100,0)</f>
        <v>228</v>
      </c>
      <c r="K24" s="57">
        <f>(J24*$D$24)</f>
        <v>13680</v>
      </c>
      <c r="L24" s="48">
        <f>ROUND(20*L14/100,0)</f>
        <v>137</v>
      </c>
      <c r="M24" s="49">
        <f>SUM(L24*$D$24)</f>
        <v>8220</v>
      </c>
      <c r="O24" s="31">
        <f>SUM('Lab Charges'!C5)</f>
        <v>56.26</v>
      </c>
      <c r="P24" s="30">
        <f>ROUND(20*P14/100,0)</f>
        <v>456</v>
      </c>
      <c r="Q24" s="26">
        <f>(P24*O24)</f>
        <v>25654.559999999998</v>
      </c>
      <c r="S24" s="50">
        <f>ROUND(20*S14/100,0)</f>
        <v>365</v>
      </c>
      <c r="T24" s="51">
        <f>S24*O24</f>
        <v>20534.899999999998</v>
      </c>
      <c r="U24" s="56">
        <f>ROUND(20*U14/100,0)</f>
        <v>228</v>
      </c>
      <c r="V24" s="57">
        <f>(U24*O24)</f>
        <v>12827.279999999999</v>
      </c>
      <c r="W24" s="48">
        <f>ROUND(20*W14/100,0)</f>
        <v>137</v>
      </c>
      <c r="X24" s="49">
        <f>W24*O24</f>
        <v>7707.62</v>
      </c>
      <c r="Z24" s="31">
        <f>('Lab Charges'!D5)</f>
        <v>45.57</v>
      </c>
      <c r="AA24" s="30">
        <f>ROUND(20*AA14/100,0)</f>
        <v>456</v>
      </c>
      <c r="AB24" s="26">
        <f>AA24*Z24</f>
        <v>20779.920000000002</v>
      </c>
      <c r="AD24" s="50">
        <f>ROUND(20*AD14/100,0)</f>
        <v>365</v>
      </c>
      <c r="AE24" s="51">
        <f>AD24*Z24</f>
        <v>16633.05</v>
      </c>
      <c r="AF24" s="56">
        <f>ROUND(20*AF14/100,0)</f>
        <v>228</v>
      </c>
      <c r="AG24" s="57">
        <f>AF24*Z24</f>
        <v>10389.960000000001</v>
      </c>
      <c r="AH24" s="44">
        <f>ROUND(20*AH14/100,0)</f>
        <v>137</v>
      </c>
      <c r="AI24" s="45">
        <f>SUM(AH24*$D$24)</f>
        <v>8220</v>
      </c>
      <c r="AK24" s="31">
        <f>'Lab Charges'!E5</f>
        <v>51.46</v>
      </c>
      <c r="AL24" s="30">
        <f>ROUND(20*AL14/100,0)</f>
        <v>456</v>
      </c>
      <c r="AM24" s="26">
        <f>AL24*AK24</f>
        <v>23465.760000000002</v>
      </c>
      <c r="AO24" s="50">
        <f>ROUND(20*AO14/100,0)</f>
        <v>365</v>
      </c>
      <c r="AP24" s="51">
        <f>AO24*AK24</f>
        <v>18782.9</v>
      </c>
      <c r="AQ24" s="56">
        <f>ROUND(20*AQ14/100,0)</f>
        <v>228</v>
      </c>
      <c r="AR24" s="57">
        <f>SUM(AQ24*AK24)</f>
        <v>11732.880000000001</v>
      </c>
      <c r="AS24" s="48">
        <f>ROUND(20*AS14/100,0)</f>
        <v>137</v>
      </c>
      <c r="AT24" s="49">
        <f>AS24*AK24</f>
        <v>7050.02</v>
      </c>
    </row>
    <row r="25" spans="2:46" ht="17.25" customHeight="1">
      <c r="B25" s="10" t="s">
        <v>213</v>
      </c>
      <c r="D25" s="31"/>
      <c r="L25" s="48"/>
      <c r="M25" s="49"/>
      <c r="O25" s="31"/>
      <c r="W25" s="48"/>
      <c r="X25" s="49"/>
      <c r="Z25" s="31">
        <f>SUM('Lab Charges'!D8)</f>
        <v>0</v>
      </c>
      <c r="AA25" s="30">
        <f>ROUNDUP(1*AA14/100,0)</f>
        <v>23</v>
      </c>
      <c r="AB25" s="26">
        <f>AA25*Z25</f>
        <v>0</v>
      </c>
      <c r="AD25" s="50">
        <f>ROUNDUP(1*AD14/100,0)</f>
        <v>19</v>
      </c>
      <c r="AE25" s="51">
        <f>AD25*Z25</f>
        <v>0</v>
      </c>
      <c r="AH25" s="44"/>
      <c r="AM25" s="26"/>
      <c r="AP25" s="51"/>
      <c r="AR25" s="57"/>
      <c r="AS25" s="48"/>
      <c r="AT25" s="49"/>
    </row>
    <row r="26" spans="2:47" s="13" customFormat="1" ht="15">
      <c r="B26" s="11" t="s">
        <v>192</v>
      </c>
      <c r="C26" s="11"/>
      <c r="D26" s="40"/>
      <c r="E26" s="39"/>
      <c r="F26" s="28">
        <f>SUM(F23:F24)</f>
        <v>94203.06999999999</v>
      </c>
      <c r="G26" s="42"/>
      <c r="H26" s="54"/>
      <c r="I26" s="55">
        <f>SUM(I23:I24)</f>
        <v>75368.59</v>
      </c>
      <c r="J26" s="60"/>
      <c r="K26" s="61">
        <f>SUM(K23:K24)</f>
        <v>47116.2</v>
      </c>
      <c r="L26" s="48"/>
      <c r="M26" s="49">
        <f>SUM(M23:M24)</f>
        <v>28281.719999999998</v>
      </c>
      <c r="N26" s="15"/>
      <c r="O26" s="40"/>
      <c r="P26" s="39"/>
      <c r="Q26" s="28">
        <f>SUM(Q23:Q24)</f>
        <v>86367.12</v>
      </c>
      <c r="R26" s="63"/>
      <c r="S26" s="54"/>
      <c r="T26" s="55">
        <f>SUM(T23:T24)</f>
        <v>69099.62</v>
      </c>
      <c r="U26" s="60"/>
      <c r="V26" s="61">
        <f>SUM(V23:V24)</f>
        <v>43196.880000000005</v>
      </c>
      <c r="W26" s="48"/>
      <c r="X26" s="49">
        <f>SUM(X23:X24)</f>
        <v>25929.38</v>
      </c>
      <c r="Y26" s="15"/>
      <c r="Z26" s="40"/>
      <c r="AA26" s="39"/>
      <c r="AB26" s="28">
        <f>SUM(AB23:AB25)</f>
        <v>76524.26000000001</v>
      </c>
      <c r="AC26" s="63"/>
      <c r="AD26" s="54"/>
      <c r="AE26" s="55">
        <f>SUM(AE23:AE25)</f>
        <v>52295.729999999996</v>
      </c>
      <c r="AF26" s="60">
        <f>SUM(AF23:AF24)</f>
        <v>1140</v>
      </c>
      <c r="AG26" s="61">
        <f>SUM(AG23:AG24)</f>
        <v>32697.480000000003</v>
      </c>
      <c r="AH26" s="48">
        <f>SUM(AH23:AH24)</f>
        <v>684</v>
      </c>
      <c r="AI26" s="49">
        <f>SUM(AI23:AI24)</f>
        <v>24263.51</v>
      </c>
      <c r="AJ26" s="15"/>
      <c r="AK26" s="40">
        <f>SUM(AK23:AK24)</f>
        <v>65.05</v>
      </c>
      <c r="AL26" s="39">
        <f>SUM(AL23:AL24)</f>
        <v>2279</v>
      </c>
      <c r="AM26" s="28">
        <f>SUM(AM23:AM24)</f>
        <v>48240.33</v>
      </c>
      <c r="AN26" s="63"/>
      <c r="AO26" s="54">
        <f aca="true" t="shared" si="21" ref="AO26:AT26">SUM(AO23:AO24)</f>
        <v>1823</v>
      </c>
      <c r="AP26" s="55">
        <f t="shared" si="21"/>
        <v>38597.12</v>
      </c>
      <c r="AQ26" s="60">
        <f t="shared" si="21"/>
        <v>1140</v>
      </c>
      <c r="AR26" s="61">
        <f t="shared" si="21"/>
        <v>24126.96</v>
      </c>
      <c r="AS26" s="48">
        <f t="shared" si="21"/>
        <v>684</v>
      </c>
      <c r="AT26" s="49">
        <f t="shared" si="21"/>
        <v>14483.75</v>
      </c>
      <c r="AU26" s="15"/>
    </row>
    <row r="27" spans="12:46" ht="15">
      <c r="L27" s="48"/>
      <c r="M27" s="49"/>
      <c r="W27" s="48"/>
      <c r="X27" s="49"/>
      <c r="AA27" s="30"/>
      <c r="AH27" s="44"/>
      <c r="AM27" s="26"/>
      <c r="AP27" s="51"/>
      <c r="AR27" s="57"/>
      <c r="AS27" s="48"/>
      <c r="AT27" s="49"/>
    </row>
    <row r="28" spans="2:46" ht="15">
      <c r="B28" s="10" t="s">
        <v>196</v>
      </c>
      <c r="E28" s="30">
        <f>ROUND(70*E24/100,0)</f>
        <v>319</v>
      </c>
      <c r="H28" s="50">
        <f>ROUND(70*H24/100,0)</f>
        <v>256</v>
      </c>
      <c r="J28" s="56">
        <f>ROUND(70*J24/100,0)</f>
        <v>160</v>
      </c>
      <c r="L28" s="48">
        <f>ROUND(70*L24/100,0)</f>
        <v>96</v>
      </c>
      <c r="M28" s="49"/>
      <c r="P28" s="30">
        <f>ROUND(70*P24/100,0)</f>
        <v>319</v>
      </c>
      <c r="S28" s="50">
        <f>ROUND(70*S24/100,0)</f>
        <v>256</v>
      </c>
      <c r="U28" s="56">
        <f>ROUND(70*U24/100,0)</f>
        <v>160</v>
      </c>
      <c r="W28" s="48">
        <f>ROUND(70*W24/100,0)</f>
        <v>96</v>
      </c>
      <c r="X28" s="49"/>
      <c r="AA28" s="30">
        <f>ROUND(70*AA24/100,0)</f>
        <v>319</v>
      </c>
      <c r="AD28" s="50">
        <f>ROUND(70*AD24/100,0)</f>
        <v>256</v>
      </c>
      <c r="AF28" s="56">
        <f>ROUND(70*AF24/100,0)</f>
        <v>160</v>
      </c>
      <c r="AH28" s="44">
        <f>ROUND(70*AH24/100,0)</f>
        <v>96</v>
      </c>
      <c r="AL28" s="30">
        <f>ROUND(70*AL24/100,0)</f>
        <v>319</v>
      </c>
      <c r="AM28" s="26"/>
      <c r="AO28" s="50">
        <f>ROUND(70*AO24/100,0)</f>
        <v>256</v>
      </c>
      <c r="AP28" s="51"/>
      <c r="AQ28" s="56">
        <f>ROUND(70*AQ24/100,0)</f>
        <v>160</v>
      </c>
      <c r="AR28" s="57"/>
      <c r="AS28" s="48">
        <f>ROUND(70*AS24/100,0)</f>
        <v>96</v>
      </c>
      <c r="AT28" s="49"/>
    </row>
    <row r="29" spans="2:46" ht="15">
      <c r="B29" s="10" t="s">
        <v>211</v>
      </c>
      <c r="D29" s="43">
        <f>'Lab Charges'!B13</f>
        <v>30000</v>
      </c>
      <c r="E29" s="30">
        <f>ROUND(E28/2,0)</f>
        <v>160</v>
      </c>
      <c r="F29" s="26">
        <f>SUM(E29*$D$29)</f>
        <v>4800000</v>
      </c>
      <c r="H29" s="50">
        <f>ROUND(H28/2,0)</f>
        <v>128</v>
      </c>
      <c r="I29" s="51">
        <f>(H29*$D$29)</f>
        <v>3840000</v>
      </c>
      <c r="J29" s="56">
        <f>ROUND(J28/2,0)</f>
        <v>80</v>
      </c>
      <c r="K29" s="57">
        <f>SUM(J29*$D$29)</f>
        <v>2400000</v>
      </c>
      <c r="L29" s="48">
        <f>ROUND(L28/2,0)</f>
        <v>48</v>
      </c>
      <c r="M29" s="49">
        <f>SUM(L29*$D$29)</f>
        <v>1440000</v>
      </c>
      <c r="O29" s="64">
        <f>'Lab Charges'!B13</f>
        <v>30000</v>
      </c>
      <c r="P29" s="30">
        <f>ROUND(P28/2,0)</f>
        <v>160</v>
      </c>
      <c r="Q29" s="26">
        <f>(P29*O29)</f>
        <v>4800000</v>
      </c>
      <c r="S29" s="50">
        <f>ROUND(S28/2,0)</f>
        <v>128</v>
      </c>
      <c r="T29" s="51">
        <f>(S29*O29)</f>
        <v>3840000</v>
      </c>
      <c r="U29" s="56">
        <f>ROUND(U28/2,0)</f>
        <v>80</v>
      </c>
      <c r="V29" s="57">
        <f>(U29*O29)</f>
        <v>2400000</v>
      </c>
      <c r="W29" s="48">
        <f>ROUND(W28/2,0)</f>
        <v>48</v>
      </c>
      <c r="X29" s="49">
        <f>W29*O29</f>
        <v>1440000</v>
      </c>
      <c r="Z29" s="64">
        <f>'Lab Charges'!B13</f>
        <v>30000</v>
      </c>
      <c r="AA29" s="30">
        <f>ROUND(AA28/2,0)</f>
        <v>160</v>
      </c>
      <c r="AB29" s="26">
        <f>AA29*Z29</f>
        <v>4800000</v>
      </c>
      <c r="AD29" s="50">
        <f>ROUND(AD28/2,0)</f>
        <v>128</v>
      </c>
      <c r="AE29" s="51">
        <f>AD29*Z29</f>
        <v>3840000</v>
      </c>
      <c r="AF29" s="56">
        <f>ROUND(AF28/2,0)</f>
        <v>80</v>
      </c>
      <c r="AG29" s="57">
        <f>AF29*Z29</f>
        <v>2400000</v>
      </c>
      <c r="AH29" s="44">
        <f>ROUND(AH28/2,0)</f>
        <v>48</v>
      </c>
      <c r="AI29" s="45">
        <f>AH29*Z29</f>
        <v>1440000</v>
      </c>
      <c r="AK29" s="31">
        <f>'Lab Charges'!B13</f>
        <v>30000</v>
      </c>
      <c r="AL29" s="30">
        <f>ROUND(AL28/2,0)</f>
        <v>160</v>
      </c>
      <c r="AM29" s="26">
        <f>AL29*AK29</f>
        <v>4800000</v>
      </c>
      <c r="AO29" s="50">
        <f>ROUND(AO28/2,0)</f>
        <v>128</v>
      </c>
      <c r="AP29" s="51">
        <f>AO29*AK29</f>
        <v>3840000</v>
      </c>
      <c r="AQ29" s="56">
        <f>ROUND(AQ28/2,0)</f>
        <v>80</v>
      </c>
      <c r="AR29" s="57">
        <f>AQ29*AK29</f>
        <v>2400000</v>
      </c>
      <c r="AS29" s="48">
        <f>ROUND(AS28/2,0)</f>
        <v>48</v>
      </c>
      <c r="AT29" s="49">
        <f>AS29*AK29</f>
        <v>1440000</v>
      </c>
    </row>
    <row r="30" spans="2:46" ht="15">
      <c r="B30" s="10" t="s">
        <v>212</v>
      </c>
      <c r="D30" s="43">
        <f>'Lab Charges'!B14</f>
        <v>4500</v>
      </c>
      <c r="E30" s="30">
        <f>ROUNDDOWN(E28/2,0)</f>
        <v>159</v>
      </c>
      <c r="F30" s="26">
        <f>SUM(E30*$D$30)</f>
        <v>715500</v>
      </c>
      <c r="H30" s="50">
        <f>ROUNDDOWN(H28/2,0)</f>
        <v>128</v>
      </c>
      <c r="I30" s="51">
        <f>(H30*$D$30)</f>
        <v>576000</v>
      </c>
      <c r="J30" s="56">
        <f>ROUNDDOWN(J28/2,0)</f>
        <v>80</v>
      </c>
      <c r="K30" s="57">
        <f>SUM(J30*$D$30)</f>
        <v>360000</v>
      </c>
      <c r="L30" s="48">
        <f>ROUNDDOWN(L28/2,0)</f>
        <v>48</v>
      </c>
      <c r="M30" s="49">
        <f>SUM(L30*$D$30)</f>
        <v>216000</v>
      </c>
      <c r="O30" s="64">
        <f>'Lab Charges'!B14</f>
        <v>4500</v>
      </c>
      <c r="P30" s="30">
        <f>ROUNDDOWN(P28/2,0)</f>
        <v>159</v>
      </c>
      <c r="Q30" s="26">
        <f>(P30*O30)</f>
        <v>715500</v>
      </c>
      <c r="S30" s="50">
        <f>ROUNDDOWN(S28/2,0)</f>
        <v>128</v>
      </c>
      <c r="T30" s="51">
        <f>S30*O30</f>
        <v>576000</v>
      </c>
      <c r="U30" s="56">
        <f>ROUNDDOWN(U28/2,0)</f>
        <v>80</v>
      </c>
      <c r="V30" s="57">
        <f>(U30*O30)</f>
        <v>360000</v>
      </c>
      <c r="W30" s="48">
        <f>ROUNDDOWN(W28/2,0)</f>
        <v>48</v>
      </c>
      <c r="X30" s="49">
        <f>W30*O30</f>
        <v>216000</v>
      </c>
      <c r="Z30" s="64">
        <f>'Lab Charges'!B14</f>
        <v>4500</v>
      </c>
      <c r="AA30" s="30">
        <f>ROUNDDOWN(AA28/2,0)</f>
        <v>159</v>
      </c>
      <c r="AB30" s="26">
        <f>AA30*Z30</f>
        <v>715500</v>
      </c>
      <c r="AD30" s="50">
        <f>ROUNDUP(AD28/2,0)</f>
        <v>128</v>
      </c>
      <c r="AE30" s="51">
        <f>AD30*Z30</f>
        <v>576000</v>
      </c>
      <c r="AF30" s="56">
        <f>ROUNDDOWN(AF28/2,0)</f>
        <v>80</v>
      </c>
      <c r="AG30" s="57">
        <f>AF30*Z30</f>
        <v>360000</v>
      </c>
      <c r="AH30" s="44">
        <f>ROUNDUP(AH28/2,0)</f>
        <v>48</v>
      </c>
      <c r="AI30" s="45">
        <f>AH30*Z30</f>
        <v>216000</v>
      </c>
      <c r="AK30" s="31">
        <f>'Lab Charges'!B14</f>
        <v>4500</v>
      </c>
      <c r="AL30" s="30">
        <f>ROUNDUP(AL28/2,0)</f>
        <v>160</v>
      </c>
      <c r="AM30" s="26">
        <f>AL30*AK30</f>
        <v>720000</v>
      </c>
      <c r="AO30" s="50">
        <f>ROUNDUP(AO28/2,0)</f>
        <v>128</v>
      </c>
      <c r="AP30" s="51">
        <f>AO30*AK30</f>
        <v>576000</v>
      </c>
      <c r="AQ30" s="56">
        <f>ROUNDUP(AQ28/2,0)</f>
        <v>80</v>
      </c>
      <c r="AR30" s="57">
        <f>AQ30*AK30</f>
        <v>360000</v>
      </c>
      <c r="AS30" s="48">
        <f>ROUNDUP(AS28/2,0)</f>
        <v>48</v>
      </c>
      <c r="AT30" s="49">
        <f>AS30*AK30</f>
        <v>216000</v>
      </c>
    </row>
    <row r="31" spans="12:46" ht="15">
      <c r="L31" s="48"/>
      <c r="M31" s="49"/>
      <c r="W31" s="48"/>
      <c r="X31" s="49"/>
      <c r="AH31" s="44"/>
      <c r="AS31" s="48"/>
      <c r="AT31" s="74"/>
    </row>
    <row r="32" spans="12:46" ht="15">
      <c r="L32" s="48"/>
      <c r="M32" s="49"/>
      <c r="W32" s="48"/>
      <c r="X32" s="49"/>
      <c r="AH32" s="44"/>
      <c r="AS32" s="48"/>
      <c r="AT32" s="74"/>
    </row>
    <row r="33" spans="12:46" ht="15">
      <c r="L33" s="48"/>
      <c r="M33" s="49"/>
      <c r="W33" s="48"/>
      <c r="X33" s="49"/>
      <c r="AS33" s="48"/>
      <c r="AT33" s="74"/>
    </row>
  </sheetData>
  <sheetProtection/>
  <mergeCells count="1">
    <mergeCell ref="D5:M5"/>
  </mergeCells>
  <dataValidations count="1">
    <dataValidation type="list" allowBlank="1" showInputMessage="1" showErrorMessage="1" sqref="B2:C2">
      <formula1>Prison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Network User</dc:creator>
  <cp:keywords/>
  <dc:description/>
  <cp:lastModifiedBy>Cathie Railton</cp:lastModifiedBy>
  <cp:lastPrinted>2014-03-07T15:38:19Z</cp:lastPrinted>
  <dcterms:created xsi:type="dcterms:W3CDTF">2014-01-31T08:59:59Z</dcterms:created>
  <dcterms:modified xsi:type="dcterms:W3CDTF">2014-07-28T13:42:47Z</dcterms:modified>
  <cp:category/>
  <cp:version/>
  <cp:contentType/>
  <cp:contentStatus/>
</cp:coreProperties>
</file>