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troduction" sheetId="1" r:id="rId1"/>
    <sheet name="Scenarios" sheetId="2" r:id="rId2"/>
    <sheet name="Calculations" sheetId="3" r:id="rId3"/>
    <sheet name="Justifications" sheetId="4" r:id="rId4"/>
    <sheet name="C and J Calc Summary" sheetId="5" state="hidden" r:id="rId5"/>
    <sheet name="Single layer solutions" sheetId="6" state="hidden" r:id="rId6"/>
    <sheet name="Delamination" sheetId="7" state="hidden" r:id="rId7"/>
    <sheet name="Two Layer Solutions Layer Two" sheetId="8" state="hidden" r:id="rId8"/>
  </sheets>
  <definedNames>
    <definedName name="a_const_base" localSheetId="2">'Calculations'!#REF!</definedName>
    <definedName name="A_def_ave">'Calculations'!#REF!</definedName>
    <definedName name="A_hole" localSheetId="2">'Calculations'!$F$52</definedName>
    <definedName name="A_hole">'Calculations'!$F$52</definedName>
    <definedName name="A_pin" localSheetId="2">'Calculations'!$F$50</definedName>
    <definedName name="A_Pin">'Calculations'!$F$50</definedName>
    <definedName name="aq_Comp">'Calculations'!#REF!</definedName>
    <definedName name="aq_I">'Calculations'!$K$5</definedName>
    <definedName name="Aq_max">'Calculations'!$E$13</definedName>
    <definedName name="aq_Q">'Calculations'!$K$10</definedName>
    <definedName name="Aqbound_elev">'Calculations'!$E$12</definedName>
    <definedName name="Area_contact">'Calculations'!$E$16</definedName>
    <definedName name="Area_CZ">'Calculations'!$E$100</definedName>
    <definedName name="Area_CZ_arr">'Single layer solutions'!$P$2:$P$4</definedName>
    <definedName name="area_def_arr">'Single layer solutions'!$Q$2:$Q$4</definedName>
    <definedName name="Area_defect_check">'Calculations'!$D$156</definedName>
    <definedName name="Area_Delam" localSheetId="2">'Calculations'!$E$46</definedName>
    <definedName name="Area_delam">'Calculations'!$E$46</definedName>
    <definedName name="Area_delam_check">'Calculations'!$D$155</definedName>
    <definedName name="Area_flow">'Calculations'!$E$146</definedName>
    <definedName name="Area_Flux">'Calculations'!$E$145</definedName>
    <definedName name="Area_gm_defs">'Calculations'!$E$101</definedName>
    <definedName name="Area_Single">'Single layer solutions'!$B$11</definedName>
    <definedName name="Area_two">'Two Layer Solutions Layer Two'!$B$10</definedName>
    <definedName name="b_const_base" localSheetId="2">'Calculations'!#REF!</definedName>
    <definedName name="Base_Area" localSheetId="2">'Calculations'!$E$10</definedName>
    <definedName name="base_contact" localSheetId="2">'Calculations'!$AI$5</definedName>
    <definedName name="C_bar">'Calculations'!$E$142</definedName>
    <definedName name="C_comp">'Calculations'!$K$14</definedName>
    <definedName name="c_const_base" localSheetId="2">'Calculations'!#REF!</definedName>
    <definedName name="C_LF">'Calculations'!$E$141</definedName>
    <definedName name="cbar">'Calculations'!$J$14:$K$14</definedName>
    <definedName name="CM">'Calculations'!$E$5</definedName>
    <definedName name="coeff">'Single layer solutions'!#REF!</definedName>
    <definedName name="Conc_def">'Calculations'!$E$87</definedName>
    <definedName name="Conc_def_arr">'Single layer solutions'!$S$2:$S$4</definedName>
    <definedName name="Conc_delam">'Calculations'!$E$138</definedName>
    <definedName name="Conc_gm">'Calculations'!$E$88</definedName>
    <definedName name="Conc_LF">'Calculations'!$E$22</definedName>
    <definedName name="Cont_Class">'Calculations'!$E$21</definedName>
    <definedName name="Cont_Nme">'Calculations'!$E$19</definedName>
    <definedName name="Cont_Type">'Calculations'!$E$20</definedName>
    <definedName name="Contact_Out">'Delamination'!$B$13:$B$63</definedName>
    <definedName name="Cq0" localSheetId="2">'Calculations'!$D$69:$F$69</definedName>
    <definedName name="Cq8_" localSheetId="2">'Calculations'!$D$70:$F$70</definedName>
    <definedName name="CqBase" localSheetId="2">'Calculations'!$F$69:$F$70</definedName>
    <definedName name="CZ_hole">'Calculations'!$E$97</definedName>
    <definedName name="CZ_Pin">'Calculations'!$E$96</definedName>
    <definedName name="CZ_tear">'Calculations'!$E$98</definedName>
    <definedName name="D_cl">'Calculations'!$E$79</definedName>
    <definedName name="D_cl_arr">'Single layer solutions'!$N$2:$N$4</definedName>
    <definedName name="D_cl_used">'Single layer solutions'!$Y$4</definedName>
    <definedName name="d_const_base" localSheetId="2">'Calculations'!#REF!</definedName>
    <definedName name="D_def">'Calculations'!$E$78</definedName>
    <definedName name="D_def_arr">'Single layer solutions'!$J$2:$J$4</definedName>
    <definedName name="D_gm">'Calculations'!$E$85</definedName>
    <definedName name="D_mech">'Calculations'!$E$76</definedName>
    <definedName name="D_org">'Calculations'!$E$77</definedName>
    <definedName name="D_pass">'Calculations'!#REF!</definedName>
    <definedName name="D_used">'Calculations'!$E$143</definedName>
    <definedName name="Dcl_Delam">'Calculations'!$E$137</definedName>
    <definedName name="Decay_cl">'Calculations'!$E$29</definedName>
    <definedName name="Decay_gm">'Calculations'!#REF!</definedName>
    <definedName name="Decay_pass">'Calculations'!#REF!</definedName>
    <definedName name="Decay_sorb">'Calculations'!$E$28</definedName>
    <definedName name="Defect_Choice">'Single layer solutions'!$U$5</definedName>
    <definedName name="Delam_Mass_Out">'Delamination'!$D$13:$D$63</definedName>
    <definedName name="Delam_Mass_Sol">'Delamination'!$F$13:$F$63</definedName>
    <definedName name="Delam_Out">'Delamination'!$A$13:$A$63</definedName>
    <definedName name="Delam_Sol">'Delamination'!$C$13:$C$63</definedName>
    <definedName name="dia" localSheetId="2">'Calculations'!$H$44</definedName>
    <definedName name="dil">'Calculations'!#REF!</definedName>
    <definedName name="dil_f">'Calculations'!#REF!</definedName>
    <definedName name="dist_cp">'Calculations'!$K$7</definedName>
    <definedName name="Dl_cl">'Calculations'!$E$84</definedName>
    <definedName name="Dl_gm">'Calculations'!#REF!</definedName>
    <definedName name="Dt_cl">'Calculations'!$E$82</definedName>
    <definedName name="Dt_cl_arr">'Single layer solutions'!$M$2:$M$4</definedName>
    <definedName name="Dt_cl_used">'Single layer solutions'!$Y$3</definedName>
    <definedName name="Dt_def">'Calculations'!$E$83</definedName>
    <definedName name="Dt_def_arr">'Single layer solutions'!$I$2:$I$4</definedName>
    <definedName name="Dt_Delam">'Calculations'!$E$136</definedName>
    <definedName name="Dw" localSheetId="2">'Calculations'!$E$23</definedName>
    <definedName name="Dw_cl">'Calculations'!$E$23</definedName>
    <definedName name="Dw_gm">'Calculations'!$E$32</definedName>
    <definedName name="Frac_Delam">'Delamination'!$B$5</definedName>
    <definedName name="GM_contact">'Calculations'!$E$44</definedName>
    <definedName name="GM_delam">'Calculations'!$E$45</definedName>
    <definedName name="GM_opt">'Calculations'!$E$6</definedName>
    <definedName name="GM_pres">'Calculations'!$AF$4</definedName>
    <definedName name="Good" localSheetId="2">'Calculations'!$D$69:$D$70</definedName>
    <definedName name="Head_inLF" localSheetId="2">'Calculations'!$E$14</definedName>
    <definedName name="Head_inLF">'Calculations'!$E$14</definedName>
    <definedName name="Head_outLF" localSheetId="2">'Calculations'!$E$15</definedName>
    <definedName name="Head_outLF">'Calculations'!$E$15</definedName>
    <definedName name="Hole">'Single layer solutions'!$G$3:$T$3</definedName>
    <definedName name="i_avg_0_base" localSheetId="2">'Calculations'!$F$72</definedName>
    <definedName name="i_avg_8_base" localSheetId="2">'Calculations'!$F$73</definedName>
    <definedName name="k_aq">'Calculations'!$K$6</definedName>
    <definedName name="k_cl">'Calculations'!$E$36</definedName>
    <definedName name="k_eff">'Calculations'!$E$89</definedName>
    <definedName name="K_Giroud_hole">'Calculations'!$E$111</definedName>
    <definedName name="K_Giroud_pin">'Calculations'!$E$106</definedName>
    <definedName name="kB" localSheetId="2">'Calculations'!#REF!</definedName>
    <definedName name="Kd_cl">'Calculations'!$E$25</definedName>
    <definedName name="Kd_gm">'Calculations'!$E$31</definedName>
    <definedName name="kd_pass">'Calculations'!#REF!</definedName>
    <definedName name="Kdr_gm">'Calculations'!#REF!</definedName>
    <definedName name="kG" localSheetId="2">'Calculations'!#REF!</definedName>
    <definedName name="l_tear" localSheetId="2">'Calculations'!$F$54</definedName>
    <definedName name="l_tear">'Calculations'!$F$54</definedName>
    <definedName name="Length_LF">'Calculations'!$E$9</definedName>
    <definedName name="LFbase_elev">'Calculations'!$E$11</definedName>
    <definedName name="List_I_C_Darcy">'Single layer solutions'!$I$13:$I$63</definedName>
    <definedName name="List_I_C_Delam">'Delamination'!$K$13:$K$63</definedName>
    <definedName name="List_I_C_Hole">'Single layer solutions'!$Q$13:$Q$63</definedName>
    <definedName name="List_I_C_Pin">'Single layer solutions'!$M$13:$M$63</definedName>
    <definedName name="List_I_C_Tear">'Single layer solutions'!$U$13:$U$63</definedName>
    <definedName name="List_I_C_TwoLay">'Two Layer Solutions Layer Two'!$L$13:$L$63</definedName>
    <definedName name="List_I_J_Darcy_In">'Single layer solutions'!$J$13:$J$63</definedName>
    <definedName name="List_I_J_Delam_In">'Delamination'!$L$13:$L$63</definedName>
    <definedName name="List_I_J_Hole_In">'Single layer solutions'!$R$13:$R$63</definedName>
    <definedName name="List_I_J_Pin_In">'Single layer solutions'!$N$13:$N$63</definedName>
    <definedName name="List_I_J_Tear_In">'Single layer solutions'!$V$13:$V$63</definedName>
    <definedName name="List_I_J_TwoLay_In">'Two Layer Solutions Layer Two'!$M$13:$M$63</definedName>
    <definedName name="List_II_J_Darcy">'Single layer solutions'!$H$13:$H$63</definedName>
    <definedName name="List_II_J_Darcy_In">'Single layer solutions'!$J$13:$J$63</definedName>
    <definedName name="List_II_J_Delam">'Delamination'!$J$13:$J$63</definedName>
    <definedName name="List_II_J_Hole">'Single layer solutions'!$P$13:$P$63</definedName>
    <definedName name="List_II_J_Hole_In">'Single layer solutions'!$R$13:$R$63</definedName>
    <definedName name="List_II_J_Pin">'Single layer solutions'!$L$13:$L$63</definedName>
    <definedName name="List_II_J_Pin_In">'Single layer solutions'!$N$13:$N$63</definedName>
    <definedName name="List_II_J_Tear">'Single layer solutions'!$T$13:$T$63</definedName>
    <definedName name="List_II_J_Tear_In">'Single layer solutions'!$V$13:$V$63</definedName>
    <definedName name="List_II_J_TwoLay">'Two Layer Solutions Layer Two'!$K$13:$K$63</definedName>
    <definedName name="ListII_J_Delam">'Delamination'!$J$13:$J$63</definedName>
    <definedName name="Mass_tmax">'Calculations'!#REF!</definedName>
    <definedName name="Mix_D">'Calculations'!$K$9</definedName>
    <definedName name="Mix_W">'Calculations'!$K$8</definedName>
    <definedName name="Multiplying_factor_at_large_times">'Single layer solutions'!$T$2:$T$4</definedName>
    <definedName name="n" localSheetId="2">'Calculations'!$E$38</definedName>
    <definedName name="n">'Calculations'!$E$38</definedName>
    <definedName name="n_gm">'Calculations'!#REF!</definedName>
    <definedName name="n_hole" localSheetId="2">'Calculations'!$F$51</definedName>
    <definedName name="n_hole">'Calculations'!$F$51</definedName>
    <definedName name="n_param" localSheetId="2">'Calculations'!#REF!</definedName>
    <definedName name="n_pin" localSheetId="2">'Calculations'!$F$49</definedName>
    <definedName name="n_pin">'Calculations'!$F$49</definedName>
    <definedName name="n_tear" localSheetId="2">'Calculations'!$F$53</definedName>
    <definedName name="n_tear">'Calculations'!$F$53</definedName>
    <definedName name="nparam_hole">'Calculations'!$E$113</definedName>
    <definedName name="nparam_pin">'Calculations'!$E$108</definedName>
    <definedName name="nsum">'Single layer solutions'!$D$8</definedName>
    <definedName name="number">'Single layer solutions'!$O$2:$O$4</definedName>
    <definedName name="org_cont">'Calculations'!#REF!</definedName>
    <definedName name="Pin">'Single layer solutions'!$G$2:$T$2</definedName>
    <definedName name="Poor" localSheetId="2">'Calculations'!$E$69:$E$70</definedName>
    <definedName name="pore_rad_def_arr">'Single layer solutions'!$R$2:$R$4</definedName>
    <definedName name="pore_radius" localSheetId="2">'Calculations'!$E$37</definedName>
    <definedName name="pore_radius" localSheetId="5">'Calculations'!$E$37</definedName>
    <definedName name="Q" localSheetId="2">'Calculations'!$E$124</definedName>
    <definedName name="Q">'Calculations'!$E$124</definedName>
    <definedName name="Q_darcy">'Calculations'!$E$122</definedName>
    <definedName name="Q_Delam">'Calculations'!$E$133</definedName>
    <definedName name="Q_giroud">'Calculations'!$E$121</definedName>
    <definedName name="Q_hole">'Calculations'!$E$117</definedName>
    <definedName name="Q_hole_Giroud">'Calculations'!$E$112</definedName>
    <definedName name="Q_hole_Interp">'Calculations'!$E$114</definedName>
    <definedName name="Q_org">'Calculations'!$E$123</definedName>
    <definedName name="Q_pin">'Calculations'!$E$116</definedName>
    <definedName name="Q_pin_Giroud">'Calculations'!$E$107</definedName>
    <definedName name="Q_pin_Interp">'Calculations'!$E$109</definedName>
    <definedName name="Q_tear">'Calculations'!$E$118</definedName>
    <definedName name="R_cl">'Calculations'!$E$26</definedName>
    <definedName name="r_pass">'Calculations'!#REF!</definedName>
    <definedName name="rho" localSheetId="2">'Calculations'!$E$39</definedName>
    <definedName name="rho_gm">'Calculations'!#REF!</definedName>
    <definedName name="s_per_day">'Calculations'!$AK$5</definedName>
    <definedName name="s_per_year">'Calculations'!$AK$3</definedName>
    <definedName name="Single_Lay_Mass">'Single layer solutions'!$B$13:$B$63</definedName>
    <definedName name="Single_Lay_Sol">'Single layer solutions'!$A$13:$A$63</definedName>
    <definedName name="Solution_type">'Calculations'!$F$65</definedName>
    <definedName name="t" localSheetId="2">'Calculations'!#REF!</definedName>
    <definedName name="t" localSheetId="6">'Delamination'!$I$13:$I$63</definedName>
    <definedName name="t" localSheetId="5">'Single layer solutions'!$G$13:$G$63</definedName>
    <definedName name="t_pass">'Calculations'!#REF!</definedName>
    <definedName name="t_steady_org">'Calculations'!#REF!</definedName>
    <definedName name="tau_cl">'Calculations'!$E$40</definedName>
    <definedName name="tau_gm">'Calculations'!#REF!</definedName>
    <definedName name="Tear">'Single layer solutions'!$G$4:$T$4</definedName>
    <definedName name="thalf_cl">'Calculations'!$E$27</definedName>
    <definedName name="thalf_gm">'Calculations'!#REF!</definedName>
    <definedName name="thick_cl">'Calculations'!$E$103</definedName>
    <definedName name="thick_clbr">'Calculations'!$E$35</definedName>
    <definedName name="thick_gm">'Calculations'!$E$43</definedName>
    <definedName name="tlarge" localSheetId="2">'Calculations'!$AK$7</definedName>
    <definedName name="tlarge" localSheetId="5">'Calculations'!$AK$7</definedName>
    <definedName name="tmax" localSheetId="2">'Calculations'!$K$18</definedName>
    <definedName name="tmin" localSheetId="2">'Calculations'!$K$17</definedName>
    <definedName name="tmin" localSheetId="6">'Calculations'!$K$17</definedName>
    <definedName name="tmin" localSheetId="5">'Calculations'!$K$17</definedName>
    <definedName name="tmin" localSheetId="7">'Calculations'!$K$17</definedName>
    <definedName name="tscale">'Calculations'!$AK$9</definedName>
    <definedName name="Two_Lay_Mass">'Two Layer Solutions Layer Two'!$B$13:$B$63</definedName>
    <definedName name="Twolay_Conc">'Two Layer Solutions Layer Two'!$D$13:$D$63</definedName>
    <definedName name="Twolay_defect_Conce">'Two Layer Solutions Layer Two'!$F$13:$F$63</definedName>
    <definedName name="Twolay_defect_flux">'Two Layer Solutions Layer Two'!$G$13:$G$63</definedName>
    <definedName name="Twolay_Flux">'Two Layer Solutions Layer Two'!$E$13:$E$63</definedName>
    <definedName name="TwoLay_sol">'Two Layer Solutions Layer Two'!$A$13:$A$63</definedName>
    <definedName name="umax" localSheetId="2">'Calculations'!$E$129</definedName>
    <definedName name="umax_cl_arr">'Single layer solutions'!$L$2:$L$4</definedName>
    <definedName name="umax_cl_used">'Single layer solutions'!$Y$2</definedName>
    <definedName name="umax_def">'Calculations'!$E$130</definedName>
    <definedName name="umax_def_arr">'Single layer solutions'!$H$2:$H$4</definedName>
    <definedName name="umax_delam">'Calculations'!$E$135</definedName>
    <definedName name="vel_cl">'Calculations'!$E$127</definedName>
    <definedName name="vel_cl_arr">'Single layer solutions'!$K$2:$K$4</definedName>
    <definedName name="vel_cl_used">'Single layer solutions'!$Y$1</definedName>
    <definedName name="vel_def">'Calculations'!$E$128</definedName>
    <definedName name="vel_def_arr">'Single layer solutions'!$G$2:$G$4</definedName>
    <definedName name="vel_delam">'Calculations'!$E$134</definedName>
    <definedName name="w_tear" localSheetId="2">'Calculations'!$F$55</definedName>
    <definedName name="w_tear">'Calculations'!$F$55</definedName>
    <definedName name="Width_LF">'Calculations'!$E$8</definedName>
    <definedName name="WR_hole">'Calculations'!$E$93</definedName>
    <definedName name="WR_pin">'Calculations'!$E$92</definedName>
    <definedName name="WR_tear">'Calculations'!$E$94</definedName>
    <definedName name="x" localSheetId="2">'Single layer solutions'!$D$9</definedName>
    <definedName name="x" localSheetId="6">'Delamination'!$B$6</definedName>
    <definedName name="x" localSheetId="5">'Single layer solutions'!$D$9</definedName>
    <definedName name="x_org" localSheetId="2">'Calculations'!#REF!</definedName>
    <definedName name="x_org" localSheetId="7">'Two Layer Solutions Layer Two'!$J$9</definedName>
    <definedName name="x_org1">#REF!</definedName>
    <definedName name="x_used">'Calculations'!$E$144</definedName>
  </definedNames>
  <calcPr fullCalcOnLoad="1"/>
</workbook>
</file>

<file path=xl/comments3.xml><?xml version="1.0" encoding="utf-8"?>
<comments xmlns="http://schemas.openxmlformats.org/spreadsheetml/2006/main">
  <authors>
    <author>kmg</author>
    <author>Steve Buss</author>
  </authors>
  <commentList>
    <comment ref="E5" authorId="0">
      <text>
        <r>
          <rPr>
            <sz val="12"/>
            <rFont val="Tahoma"/>
            <family val="2"/>
          </rPr>
          <t>Refer to 'Scenarios' worksheet for description</t>
        </r>
      </text>
    </comment>
    <comment ref="E76" authorId="1">
      <text>
        <r>
          <rPr>
            <sz val="12"/>
            <rFont val="Tahoma"/>
            <family val="2"/>
          </rPr>
          <t>Should always be zero for hydraulic containment</t>
        </r>
      </text>
    </comment>
  </commentList>
</comments>
</file>

<file path=xl/comments6.xml><?xml version="1.0" encoding="utf-8"?>
<comments xmlns="http://schemas.openxmlformats.org/spreadsheetml/2006/main">
  <authors>
    <author>kmg</author>
  </authors>
  <commentList>
    <comment ref="H1" authorId="0">
      <text>
        <r>
          <rPr>
            <sz val="8"/>
            <rFont val="Tahoma"/>
            <family val="0"/>
          </rPr>
          <t xml:space="preserve">
1 because n is 1 for gm</t>
        </r>
      </text>
    </comment>
  </commentList>
</comments>
</file>

<file path=xl/sharedStrings.xml><?xml version="1.0" encoding="utf-8"?>
<sst xmlns="http://schemas.openxmlformats.org/spreadsheetml/2006/main" count="561" uniqueCount="381">
  <si>
    <t>umax</t>
  </si>
  <si>
    <t>m/s</t>
  </si>
  <si>
    <t>m2</t>
  </si>
  <si>
    <t>m3/s</t>
  </si>
  <si>
    <t>m</t>
  </si>
  <si>
    <t>/ha</t>
  </si>
  <si>
    <t>/m2</t>
  </si>
  <si>
    <t>mm2</t>
  </si>
  <si>
    <t>mm</t>
  </si>
  <si>
    <t>Giroud constants</t>
  </si>
  <si>
    <t>Good</t>
  </si>
  <si>
    <t>Poor</t>
  </si>
  <si>
    <t>CqBase</t>
  </si>
  <si>
    <t>Cq0</t>
  </si>
  <si>
    <t>Cq8</t>
  </si>
  <si>
    <t>i_avg_0_base</t>
  </si>
  <si>
    <t>i_avg_8_base</t>
  </si>
  <si>
    <t>n</t>
  </si>
  <si>
    <t>x</t>
  </si>
  <si>
    <t>Good contact</t>
  </si>
  <si>
    <t>Poor contact</t>
  </si>
  <si>
    <t>Q</t>
  </si>
  <si>
    <t>Effective porosity</t>
  </si>
  <si>
    <t>Thickness of geomembrane</t>
  </si>
  <si>
    <t>tmin</t>
  </si>
  <si>
    <t>tmax</t>
  </si>
  <si>
    <t>years</t>
  </si>
  <si>
    <t>Organic</t>
  </si>
  <si>
    <t>Concentration  of solvent at top of membrane</t>
  </si>
  <si>
    <t>Retardation factor in clay</t>
  </si>
  <si>
    <t>kg/m3</t>
  </si>
  <si>
    <t>Minimum axis display</t>
  </si>
  <si>
    <t>Maximum axis display</t>
  </si>
  <si>
    <t>LFbase_elev</t>
  </si>
  <si>
    <t>Aqbound_elev</t>
  </si>
  <si>
    <t>thick_cl</t>
  </si>
  <si>
    <t>Base_Area</t>
  </si>
  <si>
    <t>rho</t>
  </si>
  <si>
    <t>Length_LF</t>
  </si>
  <si>
    <t>Width_LF</t>
  </si>
  <si>
    <t>maOD</t>
  </si>
  <si>
    <t>Inorganic</t>
  </si>
  <si>
    <t>Cont_Nme</t>
  </si>
  <si>
    <t>Cont_Type</t>
  </si>
  <si>
    <t>Kd_cl</t>
  </si>
  <si>
    <t>R_cl</t>
  </si>
  <si>
    <t>thalf_cl</t>
  </si>
  <si>
    <t>Decay_cl</t>
  </si>
  <si>
    <t>Conc_LF</t>
  </si>
  <si>
    <t>Conc_def</t>
  </si>
  <si>
    <t>-</t>
  </si>
  <si>
    <t>1/s</t>
  </si>
  <si>
    <t>mg/l</t>
  </si>
  <si>
    <t>Yes</t>
  </si>
  <si>
    <t>No</t>
  </si>
  <si>
    <t>thick_gm</t>
  </si>
  <si>
    <t>k_cl</t>
  </si>
  <si>
    <t>CM</t>
  </si>
  <si>
    <t>Time years</t>
  </si>
  <si>
    <t>Time seconds</t>
  </si>
  <si>
    <t>Conc_gm</t>
  </si>
  <si>
    <t>GM_contact</t>
  </si>
  <si>
    <t>Fluxes into the landfill</t>
  </si>
  <si>
    <t>Inward Darcy flow in absence of geomembrane</t>
  </si>
  <si>
    <t>Inward flux through the defects calculated by Giroud equation</t>
  </si>
  <si>
    <t>Q_pin</t>
  </si>
  <si>
    <t>Q_hole</t>
  </si>
  <si>
    <t>Q_tear</t>
  </si>
  <si>
    <t>Inward flux through a tear in the geomembrane</t>
  </si>
  <si>
    <t>Inward flux through a hole in the geomembrane</t>
  </si>
  <si>
    <t>Q_giroud</t>
  </si>
  <si>
    <t>Q_darcy</t>
  </si>
  <si>
    <t>Wetted radius</t>
  </si>
  <si>
    <t xml:space="preserve">WR_pin </t>
  </si>
  <si>
    <t>WR_hole</t>
  </si>
  <si>
    <t>WR_tear</t>
  </si>
  <si>
    <t>Area of Capture zones</t>
  </si>
  <si>
    <t>CZ_Pin</t>
  </si>
  <si>
    <t>CZ_hole</t>
  </si>
  <si>
    <t>CZ_tear</t>
  </si>
  <si>
    <t>Total area of capture zones</t>
  </si>
  <si>
    <t>Total area of geomembrane defects</t>
  </si>
  <si>
    <t>Area_CZ</t>
  </si>
  <si>
    <t>Area_gm_defs</t>
  </si>
  <si>
    <t>m2/s</t>
  </si>
  <si>
    <t>Area_flux</t>
  </si>
  <si>
    <t>Area of liner below the water table</t>
  </si>
  <si>
    <t>pore_radius</t>
  </si>
  <si>
    <t>Velocities</t>
  </si>
  <si>
    <t>vel_cl</t>
  </si>
  <si>
    <t>Average velocity through a defect in the membrane</t>
  </si>
  <si>
    <t>vel_def</t>
  </si>
  <si>
    <t>D_cl</t>
  </si>
  <si>
    <t>Dw_cl</t>
  </si>
  <si>
    <t>Dl_cl</t>
  </si>
  <si>
    <t>Dt_cl</t>
  </si>
  <si>
    <t>tau_cl</t>
  </si>
  <si>
    <t>Dw_gm</t>
  </si>
  <si>
    <t>Q_org</t>
  </si>
  <si>
    <t>Inward flux through intact membrane</t>
  </si>
  <si>
    <t>D_org</t>
  </si>
  <si>
    <t>Kd_gm</t>
  </si>
  <si>
    <t>Calculated dispersion values</t>
  </si>
  <si>
    <t>Flow areas and capture zones</t>
  </si>
  <si>
    <t>thick_clbr</t>
  </si>
  <si>
    <t>Thickness of clay underlying the landfill</t>
  </si>
  <si>
    <t>dist_cp</t>
  </si>
  <si>
    <t>Mix_W</t>
  </si>
  <si>
    <t>Mix_D</t>
  </si>
  <si>
    <t>aq_I</t>
  </si>
  <si>
    <t>Hydraulic conductivity of the aquifer</t>
  </si>
  <si>
    <t>k_aq</t>
  </si>
  <si>
    <t>Inward flux into the landfill</t>
  </si>
  <si>
    <t>aq_Q</t>
  </si>
  <si>
    <t>s_per_year</t>
  </si>
  <si>
    <t>C_LF</t>
  </si>
  <si>
    <t>C_bar</t>
  </si>
  <si>
    <t>Concentration at edge of barrier</t>
  </si>
  <si>
    <t>D_used</t>
  </si>
  <si>
    <t>Diffusion coefficient</t>
  </si>
  <si>
    <t>Distance</t>
  </si>
  <si>
    <t>x_used</t>
  </si>
  <si>
    <t>Diffusion coefficient for clay</t>
  </si>
  <si>
    <t>Calculated concentrations and hydraulic conductivities</t>
  </si>
  <si>
    <t>Longitudinal mechanical dispersion in the clay</t>
  </si>
  <si>
    <t>C_comp</t>
  </si>
  <si>
    <t>GM_opt</t>
  </si>
  <si>
    <t>Concentration at top of clay barrier</t>
  </si>
  <si>
    <t>Summary of parameters for mass calculations</t>
  </si>
  <si>
    <t xml:space="preserve">Free water diffusion coefficient </t>
  </si>
  <si>
    <t xml:space="preserve">The landfill is constructed in a clay pit, underlain by a confined aquifer.  </t>
  </si>
  <si>
    <t xml:space="preserve">The landfill is lined and located in a permeable formation </t>
  </si>
  <si>
    <t xml:space="preserve">a finite distance above an impermeable layer.  The water and </t>
  </si>
  <si>
    <t>contaminant fluxes can occur through the base and sides of the landfill.</t>
  </si>
  <si>
    <t>Water and contaminant fluxes occur across the bottom of the landfill only.</t>
  </si>
  <si>
    <t xml:space="preserve">a finite distance below an impermeable layer.  The water and </t>
  </si>
  <si>
    <t>contaminant fluxes can occur through the sides of the landfill only.</t>
  </si>
  <si>
    <t>Conceptual model of landfill construction</t>
  </si>
  <si>
    <t>Is a geomembrane present?</t>
  </si>
  <si>
    <t>Elevation of base of landfill</t>
  </si>
  <si>
    <t>Groundwater head outside landfill</t>
  </si>
  <si>
    <t>Leachate head inside landfill</t>
  </si>
  <si>
    <t>Partition coefficient in clay</t>
  </si>
  <si>
    <t>Contaminant type</t>
  </si>
  <si>
    <t>Concentration in landfill leachate</t>
  </si>
  <si>
    <t>Contaminant name</t>
  </si>
  <si>
    <t>Decay constant in clay</t>
  </si>
  <si>
    <t>Quality of geomembrane/clay contact</t>
  </si>
  <si>
    <t>CONTAMINANT PARAMETERS</t>
  </si>
  <si>
    <t>Head_inLF</t>
  </si>
  <si>
    <t>Head_outLF</t>
  </si>
  <si>
    <t>GEOMEMBRANE BARRIER</t>
  </si>
  <si>
    <t xml:space="preserve">Average pore radius </t>
  </si>
  <si>
    <t>Dry bulk density</t>
  </si>
  <si>
    <t>Tortuosity</t>
  </si>
  <si>
    <t>Basal width perpendicular to groundwater flow</t>
  </si>
  <si>
    <t>Basal length parallel to groundwater flow</t>
  </si>
  <si>
    <t>Basal area</t>
  </si>
  <si>
    <t>Hydraulic gradient in the aquifer</t>
  </si>
  <si>
    <t>Mixing width</t>
  </si>
  <si>
    <t>Mixing depth</t>
  </si>
  <si>
    <t xml:space="preserve">Leachate concentration </t>
  </si>
  <si>
    <t>Statement of Use</t>
  </si>
  <si>
    <t>Site name</t>
  </si>
  <si>
    <t>Enter site name here</t>
  </si>
  <si>
    <t>Assessor's name</t>
  </si>
  <si>
    <t>Enter assessor's name here</t>
  </si>
  <si>
    <t>Date</t>
  </si>
  <si>
    <t>© Environment Agency, 2004. Prepared by ESI</t>
  </si>
  <si>
    <t>of the diffusive contaminant flux from hydraulic containment landfills.</t>
  </si>
  <si>
    <t>Contaminant Fluxes from Hydraulic Containment</t>
  </si>
  <si>
    <t>Landfills Worksheet Version 1.0</t>
  </si>
  <si>
    <t xml:space="preserve">in BLUE cells, interim calculation results are presented in GREY cells and final results in GREEN cells. </t>
  </si>
  <si>
    <t>Only data in YELLOW or BLUE cells may be changed.</t>
  </si>
  <si>
    <t>CONCEPTUAL MODEL AND LANDFILL CONSTRUCTION</t>
  </si>
  <si>
    <t>STEADY STATE DILUTION</t>
  </si>
  <si>
    <t>CONTAMINANT AND WATER FLUXES</t>
  </si>
  <si>
    <t>CHART PARAMETERS</t>
  </si>
  <si>
    <t>days</t>
  </si>
  <si>
    <t>s_per_day</t>
  </si>
  <si>
    <t>Density of pin holes                                               n_pin</t>
  </si>
  <si>
    <t>Area of pin holes                                                    A_pin</t>
  </si>
  <si>
    <t>Density of holes                                                      n_hole</t>
  </si>
  <si>
    <t>Area of holes                                                           A_hole</t>
  </si>
  <si>
    <t>Density of tears                                                       n_tear</t>
  </si>
  <si>
    <t>Length of tears                                                         l_tear</t>
  </si>
  <si>
    <t>Width of tears                                                           w_tear</t>
  </si>
  <si>
    <t>Coefficient of mechanical dispersion</t>
  </si>
  <si>
    <t>D_mech</t>
  </si>
  <si>
    <t>Fluxes into the landfill through geomembrane defects</t>
  </si>
  <si>
    <t>Solution_type</t>
  </si>
  <si>
    <t>Outward flux area</t>
  </si>
  <si>
    <t>Inward flow area</t>
  </si>
  <si>
    <t>Area_flow</t>
  </si>
  <si>
    <t>Area_contact</t>
  </si>
  <si>
    <t>tlarge</t>
  </si>
  <si>
    <t>tscale</t>
  </si>
  <si>
    <t>x_org</t>
  </si>
  <si>
    <t>Data needs to be entered only in YELLOW cells. Assessors have to specify a preferred option from a pull-down menu</t>
  </si>
  <si>
    <t>conc boundary at infininity</t>
  </si>
  <si>
    <t>flux boundary at l+L</t>
  </si>
  <si>
    <t>Enhanced diffusion against advective flow in clay</t>
  </si>
  <si>
    <t>Diffusion coefficient for transport through a defect</t>
  </si>
  <si>
    <t>D_def</t>
  </si>
  <si>
    <t>Maximum velocity through centre of a pore in mineral liner</t>
  </si>
  <si>
    <t>Maximum velocity through centre of a pore in defect</t>
  </si>
  <si>
    <t>umax_def</t>
  </si>
  <si>
    <t>Enhanced diffusion against advective flow in defect</t>
  </si>
  <si>
    <t>Dt_def</t>
  </si>
  <si>
    <t>Diffusion coefficient for transport of organic through intact geomembrane</t>
  </si>
  <si>
    <t>Jkg/(s m2)</t>
  </si>
  <si>
    <t>conc boundary at infininity at edge of clay</t>
  </si>
  <si>
    <t>flux boundary at infinity</t>
  </si>
  <si>
    <t>Pin</t>
  </si>
  <si>
    <t>Hole</t>
  </si>
  <si>
    <t>Tear</t>
  </si>
  <si>
    <t>vel_def_arr</t>
  </si>
  <si>
    <t>umax_def_arr</t>
  </si>
  <si>
    <t>area_def_arr</t>
  </si>
  <si>
    <t>vel_cl_arr</t>
  </si>
  <si>
    <t>Dt_def_arr</t>
  </si>
  <si>
    <t>Area_CZ_arr</t>
  </si>
  <si>
    <t>D_def_arr</t>
  </si>
  <si>
    <t>number</t>
  </si>
  <si>
    <t>D_cl_arr</t>
  </si>
  <si>
    <t>Dt_cl_arr</t>
  </si>
  <si>
    <t>umax_cl_arr</t>
  </si>
  <si>
    <t>pore_rad_def_arr</t>
  </si>
  <si>
    <t xml:space="preserve">List I </t>
  </si>
  <si>
    <t>List II</t>
  </si>
  <si>
    <t>Cont_Class</t>
  </si>
  <si>
    <t>Multiplying factor at large times</t>
  </si>
  <si>
    <t>Conc_def_arr</t>
  </si>
  <si>
    <t>nsum</t>
  </si>
  <si>
    <t>Mult Fact</t>
  </si>
  <si>
    <t>total defect area</t>
  </si>
  <si>
    <t>Conc by area ave</t>
  </si>
  <si>
    <t>Using Pin Defect Values</t>
  </si>
  <si>
    <t>Using Hole Defect Values</t>
  </si>
  <si>
    <t>Using Tear Defect Values</t>
  </si>
  <si>
    <t>x_org1</t>
  </si>
  <si>
    <t>Dt_Delam</t>
  </si>
  <si>
    <t>vel_delam</t>
  </si>
  <si>
    <t>Dcl_Delam</t>
  </si>
  <si>
    <t>Q_Delam</t>
  </si>
  <si>
    <t>Frac_Delam</t>
  </si>
  <si>
    <t>umax_delam</t>
  </si>
  <si>
    <t>Conc_delam</t>
  </si>
  <si>
    <t>List I</t>
  </si>
  <si>
    <t>Flag_sol</t>
  </si>
  <si>
    <t>GM_delam</t>
  </si>
  <si>
    <t xml:space="preserve">CM1 </t>
  </si>
  <si>
    <t>Inorg and Org</t>
  </si>
  <si>
    <t>CM2</t>
  </si>
  <si>
    <t>Inorg</t>
  </si>
  <si>
    <t>ListI</t>
  </si>
  <si>
    <t>ListII</t>
  </si>
  <si>
    <t xml:space="preserve">CM3 </t>
  </si>
  <si>
    <t>Using average values - This is for Darcy</t>
  </si>
  <si>
    <t>Defect Choice</t>
  </si>
  <si>
    <t>1,2,3</t>
  </si>
  <si>
    <t>List I for defect</t>
  </si>
  <si>
    <t>4,5,6</t>
  </si>
  <si>
    <t>List II for defects</t>
  </si>
  <si>
    <t>kg/(m2 s)</t>
  </si>
  <si>
    <t>Concentration mg/l</t>
  </si>
  <si>
    <t>Cont_class</t>
  </si>
  <si>
    <t>Cont_type</t>
  </si>
  <si>
    <t>Con Mod</t>
  </si>
  <si>
    <t>Concentration output mg/l</t>
  </si>
  <si>
    <t>Delam Concentration output mg/l</t>
  </si>
  <si>
    <t>Combined output</t>
  </si>
  <si>
    <t>List I is the Max</t>
  </si>
  <si>
    <t>List II is combination of the fluxes</t>
  </si>
  <si>
    <t>Contact Concentration</t>
  </si>
  <si>
    <t>no gm</t>
  </si>
  <si>
    <t>Using Darcy Flow for Delam Area</t>
  </si>
  <si>
    <t>Type of solution to use (determines flows and areas to use)</t>
  </si>
  <si>
    <t>Head check</t>
  </si>
  <si>
    <t>Head base check</t>
  </si>
  <si>
    <t>Aquifer base check</t>
  </si>
  <si>
    <t>This worksheet has been prepared to help assessors quantify the contaminant flux from a hydraulic containment landfill</t>
  </si>
  <si>
    <t>MINERAL BARRIER / LINER</t>
  </si>
  <si>
    <t>Head out base check</t>
  </si>
  <si>
    <t>elev check</t>
  </si>
  <si>
    <t>Scenario 1</t>
  </si>
  <si>
    <t>SELECT LANDFILL CONSTRUCTION SCENARIO</t>
  </si>
  <si>
    <t>Scenario 2</t>
  </si>
  <si>
    <t>Scenario 3</t>
  </si>
  <si>
    <t>Contaminant classification</t>
  </si>
  <si>
    <t>l/kg</t>
  </si>
  <si>
    <t>Has part of the geomembrane delaminated?</t>
  </si>
  <si>
    <t>WARNING:  The leachate head should be higher than the base of the landfill!</t>
  </si>
  <si>
    <t>WARNING:  The groundwater head should be higher than the base of the landfill!</t>
  </si>
  <si>
    <t>WARNING:  The leachate head should be lower than the groundwater head!</t>
  </si>
  <si>
    <t>Partition coefficient to geomembrane</t>
  </si>
  <si>
    <t>Diffusion coefficient in geomembrane</t>
  </si>
  <si>
    <t>Hydraulic conductivity</t>
  </si>
  <si>
    <t>CALCULATIONS START HERE…</t>
  </si>
  <si>
    <t>WARNING:  The base of the landfill should be lower than the top of the aquifer!</t>
  </si>
  <si>
    <t>Area_Delam</t>
  </si>
  <si>
    <t>Maximum contaminant concentration at compliance point at tmax</t>
  </si>
  <si>
    <t>Area check</t>
  </si>
  <si>
    <t>constructed to the specifications in the Landfill Regulations (2002). It has been prepared to allow Agency staff to assess third party calculations</t>
  </si>
  <si>
    <t>Maximum thickness of underlying aquifer</t>
  </si>
  <si>
    <t>Aq_max</t>
  </si>
  <si>
    <t>Decay in sorbed phase?</t>
  </si>
  <si>
    <t>Decay_sorb</t>
  </si>
  <si>
    <t>Delaminated Parameters</t>
  </si>
  <si>
    <t>Inward flux into the landfill over delaminated region</t>
  </si>
  <si>
    <t>Velocity through the clay through the delaminated region</t>
  </si>
  <si>
    <t>Maximum velocity through centre of a pore in mineral liner through delaminated region</t>
  </si>
  <si>
    <t>Diffusion coefficient for clay through delaminated region</t>
  </si>
  <si>
    <t>Concentration at top of clay barrier for delaminated region</t>
  </si>
  <si>
    <t>Enhanced diffusion against advective flow in clay for delaminated region</t>
  </si>
  <si>
    <t>trichloroethene</t>
  </si>
  <si>
    <t>WARNING:  The delaminated area should be less than or equal to the area of the landfill!</t>
  </si>
  <si>
    <t>Concentration</t>
  </si>
  <si>
    <t>Flux Kg/day</t>
  </si>
  <si>
    <t>Delam kg/day</t>
  </si>
  <si>
    <t>Contact kg/day</t>
  </si>
  <si>
    <t>Combined Kg/day</t>
  </si>
  <si>
    <t>CM3 check</t>
  </si>
  <si>
    <t>WARNING:  The leachate head should be greater than the elevation of the base of the aquifer</t>
  </si>
  <si>
    <t>Area_Single</t>
  </si>
  <si>
    <t>Area_two</t>
  </si>
  <si>
    <t>Scenario</t>
  </si>
  <si>
    <t>Justification / Reference / Notes</t>
  </si>
  <si>
    <t>Downgradient distance of compliance point from landfill</t>
  </si>
  <si>
    <t>Area of geomembrane delaminated</t>
  </si>
  <si>
    <t>MEMBRANE DEFECTS</t>
  </si>
  <si>
    <t>Mass flux (kg/s)</t>
  </si>
  <si>
    <t>Concentration (mg/l)</t>
  </si>
  <si>
    <t>Conditional formatting 0=white, 1=normal, 2=red</t>
  </si>
  <si>
    <t xml:space="preserve">Liability: The Environment Agency does not promise that the worksheet will provide any particular facilities or functions. </t>
  </si>
  <si>
    <t xml:space="preserve">You must ensure that the worksheet meets your needs and you remain solely responsible for the competent use of the worksheet. </t>
  </si>
  <si>
    <t xml:space="preserve">You are entirely responsible for the consequences of any use of the worksheet and the Agency provides no warranty about </t>
  </si>
  <si>
    <t xml:space="preserve">the fitness for purpose or performance of any part of the worksheet. We do not promise that the media will always be free from </t>
  </si>
  <si>
    <t xml:space="preserve">defects, computer viruses, software locks or other similar code or that the operation of the worksheet will be uninterrupted or error free. </t>
  </si>
  <si>
    <t>You should carry out all necessary virus checks prior to installing on your computing system.</t>
  </si>
  <si>
    <t>Half life in clay (0 for no decay)</t>
  </si>
  <si>
    <t>Single layer sol's</t>
  </si>
  <si>
    <t>Two layer sol's</t>
  </si>
  <si>
    <t>WARNING:  Concentrations at the compliance point are predicted to exceed 10% of the leachate concentration.  The boundary conditions used are only valid for low concentrations, and results may be unreliable above 10% of the leachate concentration.</t>
  </si>
  <si>
    <t>vel_cl_used</t>
  </si>
  <si>
    <t>umax_cl_used</t>
  </si>
  <si>
    <t>Dt_cl_used</t>
  </si>
  <si>
    <t>D_cl_used</t>
  </si>
  <si>
    <t>WARNING: This spreadsheet has expired!   Please contact the Environment Agency for an updated version.</t>
  </si>
  <si>
    <t>Delam</t>
  </si>
  <si>
    <t>Two layer</t>
  </si>
  <si>
    <t>Single Layer</t>
  </si>
  <si>
    <t>All data reported at the latest time</t>
  </si>
  <si>
    <t xml:space="preserve">List I Concentration solution </t>
  </si>
  <si>
    <t xml:space="preserve">List II Concentration solution </t>
  </si>
  <si>
    <t>List I Mass flux kg/s</t>
  </si>
  <si>
    <t>Total</t>
  </si>
  <si>
    <t>List II Mass flux kg/s</t>
  </si>
  <si>
    <t>Single and two</t>
  </si>
  <si>
    <t>Total single</t>
  </si>
  <si>
    <t>Delam and single and two</t>
  </si>
  <si>
    <t>Groundwater flux into landfill</t>
  </si>
  <si>
    <t>WARNING: The area over which the geomembrane is delaminated must be greater than zero and not greater than the area of the liner below the water table.</t>
  </si>
  <si>
    <t>WARNING: The dimensions of the defects should not be set to zero!  Set the density of the required defect to zero to indicate the defect is not present.</t>
  </si>
  <si>
    <t>Area_delam_check</t>
  </si>
  <si>
    <t>Area_defect_check</t>
  </si>
  <si>
    <t>K_Giroud_pin</t>
  </si>
  <si>
    <t>Upper K threshold for Giroud equation for a hole</t>
  </si>
  <si>
    <t>K_Giroud_hole</t>
  </si>
  <si>
    <t>Inward flux through a pinhole in the geomembrane</t>
  </si>
  <si>
    <t>Potential flux through a pinhole using Giroud</t>
  </si>
  <si>
    <t>Potential flux through a pinhole using interpolation</t>
  </si>
  <si>
    <t>Q_pin_Giroud</t>
  </si>
  <si>
    <t>Q_pin_Interp</t>
  </si>
  <si>
    <t>Upper K threshold for Giroud equation for a pinhole</t>
  </si>
  <si>
    <t>Potential flux through a hole using Giroud</t>
  </si>
  <si>
    <t>Q_hole_Giroud</t>
  </si>
  <si>
    <t>Q_hole_Interp</t>
  </si>
  <si>
    <t>nparam_pin</t>
  </si>
  <si>
    <t>nparam_hole</t>
  </si>
  <si>
    <t>Produced under Science Group: Air, Land &amp; Water Project SC0310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</si>
</sst>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E+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yy"/>
    <numFmt numFmtId="170" formatCode="dd\ mmmm\ yyyy"/>
    <numFmt numFmtId="171" formatCode="d\ mmmm\ yyyy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Tahoma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 locked="0"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0" xfId="0" applyFill="1" applyBorder="1" applyAlignment="1">
      <alignment/>
    </xf>
    <xf numFmtId="0" fontId="3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71" fontId="0" fillId="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1" fontId="1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11" fontId="18" fillId="0" borderId="0" xfId="0" applyNumberFormat="1" applyFont="1" applyFill="1" applyBorder="1" applyAlignment="1">
      <alignment/>
    </xf>
    <xf numFmtId="0" fontId="17" fillId="6" borderId="0" xfId="0" applyFont="1" applyFill="1" applyAlignment="1">
      <alignment/>
    </xf>
    <xf numFmtId="0" fontId="17" fillId="7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6" borderId="0" xfId="0" applyFont="1" applyFill="1" applyAlignment="1">
      <alignment/>
    </xf>
    <xf numFmtId="0" fontId="18" fillId="7" borderId="0" xfId="0" applyFont="1" applyFill="1" applyAlignment="1">
      <alignment/>
    </xf>
    <xf numFmtId="0" fontId="20" fillId="6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6" borderId="0" xfId="0" applyFont="1" applyFill="1" applyAlignment="1">
      <alignment/>
    </xf>
    <xf numFmtId="0" fontId="21" fillId="7" borderId="0" xfId="0" applyFont="1" applyFill="1" applyAlignment="1">
      <alignment/>
    </xf>
    <xf numFmtId="0" fontId="0" fillId="2" borderId="11" xfId="0" applyNumberForma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2" borderId="11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3" borderId="11" xfId="0" applyNumberForma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11" fontId="0" fillId="3" borderId="11" xfId="0" applyNumberForma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 horizontal="right"/>
      <protection locked="0"/>
    </xf>
    <xf numFmtId="11" fontId="0" fillId="3" borderId="14" xfId="0" applyNumberForma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171" fontId="1" fillId="5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6" borderId="0" xfId="0" applyFill="1" applyBorder="1" applyAlignment="1" applyProtection="1">
      <alignment horizontal="right"/>
      <protection/>
    </xf>
    <xf numFmtId="0" fontId="0" fillId="6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1" fontId="0" fillId="0" borderId="0" xfId="0" applyNumberForma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6" fillId="0" borderId="10" xfId="0" applyFont="1" applyFill="1" applyBorder="1" applyAlignment="1" applyProtection="1">
      <alignment/>
      <protection/>
    </xf>
    <xf numFmtId="0" fontId="0" fillId="6" borderId="15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1" fontId="10" fillId="3" borderId="1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5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Calculations!$R$10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25"/>
          <c:y val="0.11425"/>
          <c:w val="0.904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Calculations!$R$12</c:f>
              <c:strCache>
                <c:ptCount val="1"/>
                <c:pt idx="0">
                  <c:v>Concentration 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Calculations!$Q$13:$Q$63</c:f>
              <c:numCache/>
            </c:numRef>
          </c:xVal>
          <c:yVal>
            <c:numRef>
              <c:f>Calculations!$R$13:$R$63</c:f>
              <c:numCache/>
            </c:numRef>
          </c:yVal>
          <c:smooth val="0"/>
        </c:ser>
        <c:axId val="11132085"/>
        <c:axId val="33079902"/>
      </c:scatterChart>
      <c:valAx>
        <c:axId val="111320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79902"/>
        <c:crosses val="autoZero"/>
        <c:crossBetween val="midCat"/>
        <c:dispUnits/>
      </c:valAx>
      <c:valAx>
        <c:axId val="33079902"/>
        <c:scaling>
          <c:orientation val="minMax"/>
          <c:min val="0"/>
        </c:scaling>
        <c:axPos val="l"/>
        <c:title>
          <c:tx>
            <c:strRef>
              <c:f>Calculations!$R$12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Calculations!$S$10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25"/>
          <c:y val="0.09775"/>
          <c:w val="0.9062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Calculations!$S$12</c:f>
              <c:strCache>
                <c:ptCount val="1"/>
                <c:pt idx="0">
                  <c:v>Mass flux (kg/s)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Calculations!$Q$13:$Q$63</c:f>
              <c:numCache/>
            </c:numRef>
          </c:xVal>
          <c:yVal>
            <c:numRef>
              <c:f>Calculations!$S$13:$S$63</c:f>
              <c:numCache/>
            </c:numRef>
          </c:yVal>
          <c:smooth val="0"/>
        </c:ser>
        <c:axId val="29283663"/>
        <c:axId val="62226376"/>
      </c:scatterChart>
      <c:valAx>
        <c:axId val="292836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26376"/>
        <c:crosses val="autoZero"/>
        <c:crossBetween val="midCat"/>
        <c:dispUnits/>
      </c:valAx>
      <c:valAx>
        <c:axId val="62226376"/>
        <c:scaling>
          <c:orientation val="minMax"/>
          <c:min val="0"/>
        </c:scaling>
        <c:axPos val="l"/>
        <c:title>
          <c:tx>
            <c:strRef>
              <c:f>Calculations!$S$12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28575</xdr:rowOff>
    </xdr:from>
    <xdr:to>
      <xdr:col>13</xdr:col>
      <xdr:colOff>457200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"/>
          <a:ext cx="2257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3</xdr:row>
      <xdr:rowOff>28575</xdr:rowOff>
    </xdr:from>
    <xdr:to>
      <xdr:col>5</xdr:col>
      <xdr:colOff>190500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14350"/>
          <a:ext cx="2876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5</xdr:col>
      <xdr:colOff>238125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86000"/>
          <a:ext cx="2676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219075</xdr:colOff>
      <xdr:row>30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086225"/>
          <a:ext cx="2657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22</xdr:row>
      <xdr:rowOff>133350</xdr:rowOff>
    </xdr:from>
    <xdr:to>
      <xdr:col>12</xdr:col>
      <xdr:colOff>0</xdr:colOff>
      <xdr:row>41</xdr:row>
      <xdr:rowOff>152400</xdr:rowOff>
    </xdr:to>
    <xdr:graphicFrame>
      <xdr:nvGraphicFramePr>
        <xdr:cNvPr id="1" name="Chart 535"/>
        <xdr:cNvGraphicFramePr/>
      </xdr:nvGraphicFramePr>
      <xdr:xfrm>
        <a:off x="6353175" y="3552825"/>
        <a:ext cx="6400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41</xdr:row>
      <xdr:rowOff>152400</xdr:rowOff>
    </xdr:from>
    <xdr:to>
      <xdr:col>12</xdr:col>
      <xdr:colOff>0</xdr:colOff>
      <xdr:row>61</xdr:row>
      <xdr:rowOff>19050</xdr:rowOff>
    </xdr:to>
    <xdr:graphicFrame>
      <xdr:nvGraphicFramePr>
        <xdr:cNvPr id="2" name="Chart 769"/>
        <xdr:cNvGraphicFramePr/>
      </xdr:nvGraphicFramePr>
      <xdr:xfrm>
        <a:off x="6353175" y="6648450"/>
        <a:ext cx="6400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9"/>
  <sheetViews>
    <sheetView showGridLines="0"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19.421875" style="17" customWidth="1"/>
    <col min="2" max="2" width="7.28125" style="17" customWidth="1"/>
    <col min="3" max="16384" width="9.140625" style="17" customWidth="1"/>
  </cols>
  <sheetData>
    <row r="1" spans="1:13" ht="27.75">
      <c r="A1" s="13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.75">
      <c r="A2" s="13" t="s">
        <v>171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5">
      <c r="A4" s="16" t="s">
        <v>168</v>
      </c>
    </row>
    <row r="5" ht="15">
      <c r="A5" s="16" t="s">
        <v>380</v>
      </c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18.75">
      <c r="A7" s="18" t="s">
        <v>162</v>
      </c>
    </row>
    <row r="8" ht="12.75">
      <c r="A8" s="17" t="s">
        <v>281</v>
      </c>
    </row>
    <row r="9" ht="12.75">
      <c r="A9" s="56" t="s">
        <v>303</v>
      </c>
    </row>
    <row r="10" ht="12.75">
      <c r="A10" s="17" t="s">
        <v>169</v>
      </c>
    </row>
    <row r="12" ht="12.75">
      <c r="A12" s="56" t="s">
        <v>198</v>
      </c>
    </row>
    <row r="13" ht="12.75">
      <c r="A13" s="56" t="s">
        <v>172</v>
      </c>
    </row>
    <row r="14" ht="12.75">
      <c r="A14" s="56" t="s">
        <v>173</v>
      </c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8.75">
      <c r="A16" s="25" t="s">
        <v>163</v>
      </c>
      <c r="B16" s="26"/>
      <c r="C16" s="26"/>
      <c r="D16" s="26"/>
      <c r="E16" s="26"/>
      <c r="F16" s="26"/>
      <c r="G16" s="26"/>
      <c r="H16" s="27"/>
      <c r="I16" s="19"/>
      <c r="J16" s="19"/>
      <c r="K16" s="19"/>
      <c r="L16" s="19"/>
      <c r="M16" s="19"/>
    </row>
    <row r="17" spans="1:13" ht="18.75">
      <c r="A17" s="21" t="s">
        <v>164</v>
      </c>
      <c r="B17" s="22"/>
      <c r="C17" s="24"/>
      <c r="D17" s="24"/>
      <c r="E17" s="24"/>
      <c r="F17" s="24"/>
      <c r="G17" s="24"/>
      <c r="H17" s="23"/>
      <c r="I17" s="19"/>
      <c r="J17" s="19"/>
      <c r="K17" s="19"/>
      <c r="L17" s="19"/>
      <c r="M17" s="19"/>
    </row>
    <row r="18" spans="1:13" ht="18.75">
      <c r="A18" s="25" t="s">
        <v>165</v>
      </c>
      <c r="B18" s="26"/>
      <c r="C18" s="26"/>
      <c r="D18" s="26"/>
      <c r="E18" s="26"/>
      <c r="F18" s="26"/>
      <c r="G18" s="26"/>
      <c r="H18" s="27"/>
      <c r="I18" s="19"/>
      <c r="J18" s="19"/>
      <c r="K18" s="19"/>
      <c r="L18" s="19"/>
      <c r="M18" s="19"/>
    </row>
    <row r="19" spans="1:13" ht="18.75">
      <c r="A19" s="21" t="s">
        <v>166</v>
      </c>
      <c r="B19" s="24"/>
      <c r="C19" s="24"/>
      <c r="D19" s="24"/>
      <c r="E19" s="24"/>
      <c r="F19" s="24"/>
      <c r="G19" s="24"/>
      <c r="H19" s="23"/>
      <c r="I19" s="19"/>
      <c r="J19" s="19"/>
      <c r="K19" s="19"/>
      <c r="L19" s="19"/>
      <c r="M19" s="19"/>
    </row>
    <row r="20" spans="1:13" ht="18.75">
      <c r="A20" s="25" t="s">
        <v>167</v>
      </c>
      <c r="B20" s="26"/>
      <c r="C20" s="26"/>
      <c r="D20" s="26"/>
      <c r="E20" s="26"/>
      <c r="F20" s="26"/>
      <c r="G20" s="26"/>
      <c r="H20" s="27"/>
      <c r="I20" s="19"/>
      <c r="J20" s="19"/>
      <c r="K20" s="19"/>
      <c r="L20" s="19"/>
      <c r="M20" s="19"/>
    </row>
    <row r="21" spans="1:13" ht="18.75">
      <c r="A21" s="148">
        <v>38243</v>
      </c>
      <c r="B21" s="149"/>
      <c r="C21" s="149"/>
      <c r="D21" s="149"/>
      <c r="E21" s="149"/>
      <c r="F21" s="149"/>
      <c r="G21" s="149"/>
      <c r="H21" s="150"/>
      <c r="I21" s="19"/>
      <c r="J21" s="19"/>
      <c r="K21" s="19"/>
      <c r="L21" s="19"/>
      <c r="M21" s="19"/>
    </row>
    <row r="22" spans="1:13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20" t="s">
        <v>334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20" t="s">
        <v>335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20" t="s">
        <v>336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20" t="s">
        <v>337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2.75">
      <c r="A29" s="20" t="s">
        <v>339</v>
      </c>
    </row>
  </sheetData>
  <sheetProtection password="DF9F" sheet="1" objects="1" scenarios="1"/>
  <mergeCells count="1">
    <mergeCell ref="A21:H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showGridLines="0" workbookViewId="0" topLeftCell="A1">
      <selection activeCell="C3" sqref="C3"/>
    </sheetView>
  </sheetViews>
  <sheetFormatPr defaultColWidth="9.140625" defaultRowHeight="12.75"/>
  <sheetData>
    <row r="1" spans="1:13" ht="12.75">
      <c r="A1" s="50" t="s">
        <v>286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ht="12.75">
      <c r="A3" s="38" t="s">
        <v>285</v>
      </c>
    </row>
    <row r="6" ht="12.75">
      <c r="G6" s="12" t="s">
        <v>130</v>
      </c>
    </row>
    <row r="7" ht="12.75">
      <c r="G7" s="12" t="s">
        <v>134</v>
      </c>
    </row>
    <row r="8" ht="13.5" thickBot="1"/>
    <row r="9" spans="7:9" ht="12.75">
      <c r="G9" s="32"/>
      <c r="H9" s="33"/>
      <c r="I9" s="34"/>
    </row>
    <row r="10" spans="7:9" ht="13.5" thickBot="1">
      <c r="G10" s="35"/>
      <c r="H10" s="36"/>
      <c r="I10" s="37"/>
    </row>
    <row r="13" ht="12.75">
      <c r="A13" s="38" t="s">
        <v>287</v>
      </c>
    </row>
    <row r="15" ht="12.75">
      <c r="G15" t="s">
        <v>131</v>
      </c>
    </row>
    <row r="16" ht="12.75">
      <c r="G16" t="s">
        <v>132</v>
      </c>
    </row>
    <row r="17" ht="12.75">
      <c r="G17" t="s">
        <v>133</v>
      </c>
    </row>
    <row r="18" ht="13.5" thickBot="1"/>
    <row r="19" spans="7:9" ht="12.75">
      <c r="G19" s="32"/>
      <c r="H19" s="33"/>
      <c r="I19" s="34"/>
    </row>
    <row r="20" spans="7:9" ht="13.5" thickBot="1">
      <c r="G20" s="35"/>
      <c r="H20" s="36"/>
      <c r="I20" s="37"/>
    </row>
    <row r="24" ht="12.75">
      <c r="A24" s="38" t="s">
        <v>288</v>
      </c>
    </row>
    <row r="26" ht="12.75">
      <c r="G26" t="s">
        <v>131</v>
      </c>
    </row>
    <row r="27" ht="12.75">
      <c r="G27" t="s">
        <v>135</v>
      </c>
    </row>
    <row r="28" ht="12.75">
      <c r="G28" t="s">
        <v>136</v>
      </c>
    </row>
    <row r="29" ht="13.5" thickBot="1"/>
    <row r="30" spans="7:9" ht="12.75">
      <c r="G30" s="32"/>
      <c r="H30" s="33"/>
      <c r="I30" s="34"/>
    </row>
    <row r="31" spans="7:9" ht="13.5" thickBot="1">
      <c r="G31" s="35"/>
      <c r="H31" s="36"/>
      <c r="I31" s="37"/>
    </row>
  </sheetData>
  <sheetProtection password="DF9F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201"/>
  <sheetViews>
    <sheetView showGridLines="0" zoomScale="75" zoomScaleNormal="75" zoomScaleSheetLayoutView="75" workbookViewId="0" topLeftCell="A1">
      <selection activeCell="F4" sqref="F4"/>
    </sheetView>
  </sheetViews>
  <sheetFormatPr defaultColWidth="9.140625" defaultRowHeight="12.75"/>
  <cols>
    <col min="1" max="1" width="0.5625" style="118" customWidth="1"/>
    <col min="2" max="2" width="0.42578125" style="2" hidden="1" customWidth="1"/>
    <col min="3" max="3" width="50.8515625" style="2" customWidth="1"/>
    <col min="4" max="5" width="15.7109375" style="2" customWidth="1"/>
    <col min="6" max="6" width="7.8515625" style="2" customWidth="1"/>
    <col min="7" max="7" width="4.57421875" style="121" hidden="1" customWidth="1"/>
    <col min="8" max="8" width="1.7109375" style="2" customWidth="1"/>
    <col min="9" max="9" width="63.57421875" style="2" customWidth="1"/>
    <col min="10" max="10" width="13.140625" style="2" customWidth="1"/>
    <col min="11" max="11" width="14.28125" style="2" customWidth="1"/>
    <col min="12" max="12" width="7.8515625" style="2" customWidth="1"/>
    <col min="13" max="15" width="13.140625" style="2" customWidth="1"/>
    <col min="16" max="16" width="12.57421875" style="2" bestFit="1" customWidth="1"/>
    <col min="17" max="17" width="11.140625" style="11" customWidth="1"/>
    <col min="18" max="18" width="13.140625" style="2" customWidth="1"/>
    <col min="19" max="19" width="14.8515625" style="2" bestFit="1" customWidth="1"/>
    <col min="20" max="20" width="13.28125" style="2" bestFit="1" customWidth="1"/>
    <col min="21" max="21" width="12.140625" style="2" bestFit="1" customWidth="1"/>
    <col min="22" max="22" width="11.57421875" style="2" bestFit="1" customWidth="1"/>
    <col min="23" max="23" width="12.140625" style="2" bestFit="1" customWidth="1"/>
    <col min="24" max="24" width="11.57421875" style="2" bestFit="1" customWidth="1"/>
    <col min="25" max="25" width="11.140625" style="2" bestFit="1" customWidth="1"/>
    <col min="26" max="26" width="9.57421875" style="2" bestFit="1" customWidth="1"/>
    <col min="27" max="16384" width="9.140625" style="2" customWidth="1"/>
  </cols>
  <sheetData>
    <row r="1" ht="3.75" customHeight="1">
      <c r="P1"/>
    </row>
    <row r="2" spans="1:37" ht="15.75">
      <c r="A2" s="118" t="s">
        <v>333</v>
      </c>
      <c r="C2" s="45" t="str">
        <f>Introduction!A17</f>
        <v>Enter site name here</v>
      </c>
      <c r="D2" s="46"/>
      <c r="E2" s="47">
        <f>Introduction!A21</f>
        <v>38243</v>
      </c>
      <c r="F2" s="3"/>
      <c r="G2" s="120"/>
      <c r="I2" s="151" t="str">
        <f>Cont_Nme</f>
        <v>trichloroethene</v>
      </c>
      <c r="J2" s="151"/>
      <c r="K2" s="151"/>
      <c r="L2" s="151"/>
      <c r="P2"/>
      <c r="AF2" s="2" t="s">
        <v>53</v>
      </c>
      <c r="AH2" s="2" t="s">
        <v>41</v>
      </c>
      <c r="AI2" s="5" t="s">
        <v>19</v>
      </c>
      <c r="AJ2" s="5" t="s">
        <v>53</v>
      </c>
      <c r="AK2" s="4" t="s">
        <v>114</v>
      </c>
    </row>
    <row r="3" spans="16:37" ht="4.5" customHeight="1">
      <c r="P3"/>
      <c r="AF3" s="2" t="s">
        <v>54</v>
      </c>
      <c r="AH3" s="2" t="s">
        <v>27</v>
      </c>
      <c r="AI3" s="5" t="s">
        <v>20</v>
      </c>
      <c r="AJ3" s="5" t="s">
        <v>54</v>
      </c>
      <c r="AK3" s="2">
        <f>365*24*60*60</f>
        <v>31536000</v>
      </c>
    </row>
    <row r="4" spans="3:37" ht="15.75" customHeight="1">
      <c r="C4" s="39" t="s">
        <v>174</v>
      </c>
      <c r="D4" s="40"/>
      <c r="E4" s="41"/>
      <c r="F4" s="3"/>
      <c r="G4" s="120">
        <f>IF(Cont_Class="List I",0,1)</f>
        <v>0</v>
      </c>
      <c r="I4" s="39" t="s">
        <v>175</v>
      </c>
      <c r="J4" s="44"/>
      <c r="K4" s="44"/>
      <c r="L4" s="3"/>
      <c r="P4"/>
      <c r="AH4" s="2" t="s">
        <v>248</v>
      </c>
      <c r="AI4" s="5"/>
      <c r="AK4" s="4" t="s">
        <v>179</v>
      </c>
    </row>
    <row r="5" spans="3:37" ht="12.75">
      <c r="C5" s="28" t="s">
        <v>137</v>
      </c>
      <c r="D5" s="28" t="s">
        <v>57</v>
      </c>
      <c r="E5" s="106">
        <v>1</v>
      </c>
      <c r="F5" s="3" t="s">
        <v>50</v>
      </c>
      <c r="G5" s="120">
        <f aca="true" t="shared" si="0" ref="G5:G10">IF(Cont_Class="List I",0,1)</f>
        <v>0</v>
      </c>
      <c r="I5" s="3" t="s">
        <v>158</v>
      </c>
      <c r="J5" s="3" t="s">
        <v>109</v>
      </c>
      <c r="K5" s="99">
        <v>0.001</v>
      </c>
      <c r="L5" s="3" t="s">
        <v>50</v>
      </c>
      <c r="P5"/>
      <c r="AH5" s="2" t="s">
        <v>229</v>
      </c>
      <c r="AI5" s="3"/>
      <c r="AK5" s="2">
        <v>86400</v>
      </c>
    </row>
    <row r="6" spans="1:37" ht="12.75">
      <c r="A6" s="118">
        <f>IF(CM=1,0,1)</f>
        <v>0</v>
      </c>
      <c r="C6" s="28" t="s">
        <v>138</v>
      </c>
      <c r="D6" s="28" t="s">
        <v>126</v>
      </c>
      <c r="E6" s="101" t="s">
        <v>53</v>
      </c>
      <c r="F6" s="28" t="s">
        <v>50</v>
      </c>
      <c r="G6" s="120">
        <f t="shared" si="0"/>
        <v>0</v>
      </c>
      <c r="I6" s="3" t="s">
        <v>110</v>
      </c>
      <c r="J6" s="3" t="s">
        <v>111</v>
      </c>
      <c r="K6" s="102">
        <v>1E-05</v>
      </c>
      <c r="L6" s="3" t="s">
        <v>1</v>
      </c>
      <c r="P6"/>
      <c r="AK6" s="2" t="s">
        <v>195</v>
      </c>
    </row>
    <row r="7" spans="3:37" ht="12.75">
      <c r="C7" s="29"/>
      <c r="G7" s="120">
        <f t="shared" si="0"/>
        <v>0</v>
      </c>
      <c r="I7" s="3" t="s">
        <v>328</v>
      </c>
      <c r="J7" s="3" t="s">
        <v>106</v>
      </c>
      <c r="K7" s="99">
        <v>5000</v>
      </c>
      <c r="L7" s="3" t="s">
        <v>4</v>
      </c>
      <c r="P7"/>
      <c r="AK7" s="6">
        <v>1E+40</v>
      </c>
    </row>
    <row r="8" spans="3:37" ht="12.75">
      <c r="C8" s="3" t="s">
        <v>155</v>
      </c>
      <c r="D8" s="3" t="s">
        <v>39</v>
      </c>
      <c r="E8" s="98">
        <v>200</v>
      </c>
      <c r="F8" s="3" t="s">
        <v>4</v>
      </c>
      <c r="G8" s="120">
        <f t="shared" si="0"/>
        <v>0</v>
      </c>
      <c r="I8" s="3" t="s">
        <v>159</v>
      </c>
      <c r="J8" s="3" t="s">
        <v>107</v>
      </c>
      <c r="K8" s="43">
        <f>Width_LF</f>
        <v>200</v>
      </c>
      <c r="L8" s="3" t="s">
        <v>4</v>
      </c>
      <c r="P8"/>
      <c r="AK8" s="2" t="s">
        <v>196</v>
      </c>
    </row>
    <row r="9" spans="3:37" ht="12.75">
      <c r="C9" s="3" t="s">
        <v>156</v>
      </c>
      <c r="D9" s="3" t="s">
        <v>38</v>
      </c>
      <c r="E9" s="98">
        <v>610</v>
      </c>
      <c r="F9" s="3" t="s">
        <v>4</v>
      </c>
      <c r="G9" s="120">
        <f t="shared" si="0"/>
        <v>0</v>
      </c>
      <c r="I9" s="3" t="s">
        <v>160</v>
      </c>
      <c r="J9" s="3" t="s">
        <v>108</v>
      </c>
      <c r="K9" s="43">
        <f>IF(CM=1,MIN(Aq_max,(Length_LF+dist_cp)/9.45),IF(CM=2,MIN(ABS(LFbase_elev-Aqbound_elev),(Length_LF+dist_cp)/9.45),MIN(ABS(Head_outLF-Aqbound_elev),(Length_LF+dist_cp)/9.45)))</f>
        <v>1</v>
      </c>
      <c r="L9" s="3" t="s">
        <v>4</v>
      </c>
      <c r="P9"/>
      <c r="AK9" s="2">
        <f>10^(LOG(tmax/tmin)/(50))</f>
        <v>1.1481536214968828</v>
      </c>
    </row>
    <row r="10" spans="3:19" ht="12.75">
      <c r="C10" s="3" t="s">
        <v>157</v>
      </c>
      <c r="D10" s="3" t="s">
        <v>36</v>
      </c>
      <c r="E10" s="85">
        <f>Width_LF*Length_LF</f>
        <v>122000</v>
      </c>
      <c r="F10" s="3" t="s">
        <v>2</v>
      </c>
      <c r="G10" s="120">
        <f t="shared" si="0"/>
        <v>0</v>
      </c>
      <c r="I10" s="3" t="str">
        <f>IF(CM=3,"Dilution flow in aquifer downstream to the landfill","Dilution flow in aquifer directly under the landfill")</f>
        <v>Dilution flow in aquifer directly under the landfill</v>
      </c>
      <c r="J10" s="3" t="s">
        <v>113</v>
      </c>
      <c r="K10" s="43">
        <f>k_aq*aq_I*Mix_W*Mix_D</f>
        <v>2E-06</v>
      </c>
      <c r="L10" s="3" t="s">
        <v>3</v>
      </c>
      <c r="P10"/>
      <c r="R10" s="60" t="str">
        <f>"Concentration of "&amp;I2&amp;" at "&amp;IF(Cont_Class="List I","external edge of liner","compliance point in aquifer")</f>
        <v>Concentration of trichloroethene at external edge of liner</v>
      </c>
      <c r="S10" s="60" t="str">
        <f>"Mass of "&amp;I2&amp;" leaving the landfill per second"</f>
        <v>Mass of trichloroethene leaving the landfill per second</v>
      </c>
    </row>
    <row r="11" spans="1:16" ht="12.75">
      <c r="A11" s="118">
        <f>IF($D$157&lt;=0,2,1)</f>
        <v>1</v>
      </c>
      <c r="C11" s="28" t="s">
        <v>139</v>
      </c>
      <c r="D11" s="28" t="s">
        <v>33</v>
      </c>
      <c r="E11" s="103">
        <v>7</v>
      </c>
      <c r="F11" s="28" t="s">
        <v>40</v>
      </c>
      <c r="G11" s="122"/>
      <c r="P11"/>
    </row>
    <row r="12" spans="1:19" ht="12.75">
      <c r="A12" s="118">
        <f>IF(OR(D157&lt;=0,D161&lt;0),2,1)</f>
        <v>1</v>
      </c>
      <c r="C12" s="28" t="str">
        <f>IF(CM=1,"Elevation of top of aquifer","Elevation of base of aquifer")</f>
        <v>Elevation of top of aquifer</v>
      </c>
      <c r="D12" s="28" t="s">
        <v>34</v>
      </c>
      <c r="E12" s="103">
        <v>6</v>
      </c>
      <c r="F12" s="28" t="s">
        <v>40</v>
      </c>
      <c r="G12" s="122"/>
      <c r="I12" s="39" t="s">
        <v>176</v>
      </c>
      <c r="J12" s="44"/>
      <c r="K12" s="44"/>
      <c r="L12" s="3"/>
      <c r="P12"/>
      <c r="Q12" s="71" t="s">
        <v>58</v>
      </c>
      <c r="R12" s="4" t="s">
        <v>332</v>
      </c>
      <c r="S12" s="4" t="s">
        <v>331</v>
      </c>
    </row>
    <row r="13" spans="1:19" ht="12.75">
      <c r="A13" s="118">
        <f>IF(CM&gt;1,0,1)</f>
        <v>1</v>
      </c>
      <c r="C13" s="28" t="s">
        <v>304</v>
      </c>
      <c r="D13" s="28" t="s">
        <v>305</v>
      </c>
      <c r="E13" s="103">
        <v>1</v>
      </c>
      <c r="F13" s="28" t="s">
        <v>4</v>
      </c>
      <c r="G13" s="122"/>
      <c r="I13" s="28" t="s">
        <v>361</v>
      </c>
      <c r="J13" s="3"/>
      <c r="K13" s="43">
        <f>(IF(Solution_type="b",MIN(Q_giroud,Q_darcy),Q)+IF(GM_delam="Yes",Q_Delam,0))</f>
        <v>1.22E-07</v>
      </c>
      <c r="L13" s="28" t="s">
        <v>3</v>
      </c>
      <c r="P13"/>
      <c r="Q13" s="71">
        <f>tmin</f>
        <v>1</v>
      </c>
      <c r="R13" s="2">
        <f aca="true" t="shared" si="1" ref="R13:R44">IF($D$163&lt;=0,0,IF(ISNUMBER(IF(Solution_type="a",Single_Lay_Sol,IF(GM_delam="Yes",Delam_Sol,IF(Solution_type="b",TwoLay_sol,Single_Lay_Sol)))),IF(Solution_type="a",Single_Lay_Sol,IF(GM_delam="Yes",Delam_Sol,IF(Solution_type="b",TwoLay_sol,Single_Lay_Sol))),0))</f>
        <v>1.9790867653005497E-06</v>
      </c>
      <c r="S13" s="2">
        <f aca="true" t="shared" si="2" ref="S13:S44">IF($D$163&lt;=0,0,IF(ISNUMBER(IF(Solution_type="a",Single_Lay_Mass,IF(GM_delam="Yes",Delam_Mass_Sol,IF(Solution_type="b",Two_Lay_Mass,Single_Lay_Mass)))),IF(Solution_type="a",Single_Lay_Mass,IF(GM_delam="Yes",Delam_Mass_Sol,IF(Solution_type="b",Two_Lay_Mass,Single_Lay_Mass))),0))/86400</f>
        <v>5.820258719518425E-13</v>
      </c>
    </row>
    <row r="14" spans="1:19" ht="12.75">
      <c r="A14" s="118">
        <f>IF(OR(D159&lt;=0,D158&lt;=0,D160&lt;=0,D161&lt;0),2,1)</f>
        <v>1</v>
      </c>
      <c r="C14" s="28" t="s">
        <v>141</v>
      </c>
      <c r="D14" s="28" t="s">
        <v>149</v>
      </c>
      <c r="E14" s="103">
        <v>10</v>
      </c>
      <c r="F14" s="28" t="s">
        <v>40</v>
      </c>
      <c r="G14" s="122"/>
      <c r="I14" s="3" t="s">
        <v>301</v>
      </c>
      <c r="J14" s="3" t="s">
        <v>125</v>
      </c>
      <c r="K14" s="97">
        <f>IF(Cont_Class="List I",C_bar,IF(C_bar&gt;0.1*Conc_LF,"&gt;10% leachate",C_bar))</f>
        <v>1.8186113280623752</v>
      </c>
      <c r="L14" s="28" t="s">
        <v>52</v>
      </c>
      <c r="P14"/>
      <c r="Q14" s="71">
        <f>Q13*tscale</f>
        <v>1.1481536214968828</v>
      </c>
      <c r="R14" s="2">
        <f t="shared" si="1"/>
        <v>4.29926078960053E-06</v>
      </c>
      <c r="S14" s="2">
        <f t="shared" si="2"/>
        <v>8.095466496090062E-13</v>
      </c>
    </row>
    <row r="15" spans="1:19" ht="12.75">
      <c r="A15" s="118">
        <f>IF(D160&lt;=0,2,1)</f>
        <v>1</v>
      </c>
      <c r="C15" s="28" t="s">
        <v>140</v>
      </c>
      <c r="D15" s="28" t="s">
        <v>150</v>
      </c>
      <c r="E15" s="103">
        <v>15</v>
      </c>
      <c r="F15" s="28" t="s">
        <v>40</v>
      </c>
      <c r="G15" s="122"/>
      <c r="I15" s="3"/>
      <c r="J15" s="3"/>
      <c r="K15" s="3"/>
      <c r="L15" s="28"/>
      <c r="P15"/>
      <c r="Q15" s="71">
        <f aca="true" t="shared" si="3" ref="Q15:Q62">Q14*tscale</f>
        <v>1.3182567385564072</v>
      </c>
      <c r="R15" s="2">
        <f t="shared" si="1"/>
        <v>6.008684291226461E-06</v>
      </c>
      <c r="S15" s="2">
        <f t="shared" si="2"/>
        <v>2.665604032888888E-13</v>
      </c>
    </row>
    <row r="16" spans="1:19" ht="12.75">
      <c r="A16" s="118">
        <v>1</v>
      </c>
      <c r="C16" s="28" t="s">
        <v>86</v>
      </c>
      <c r="D16" s="3" t="s">
        <v>194</v>
      </c>
      <c r="E16" s="85">
        <f>IF(CM=1,Base_Area,IF(CM=2,(Base_Area+2*ABS(Head_inLF-LFbase_elev)*(Width_LF+Length_LF)),2*ABS(Head_inLF-Aqbound_elev)*(Width_LF+Length_LF)))</f>
        <v>122000</v>
      </c>
      <c r="F16" s="3" t="s">
        <v>2</v>
      </c>
      <c r="G16" s="120"/>
      <c r="I16" s="39" t="s">
        <v>177</v>
      </c>
      <c r="J16" s="39"/>
      <c r="L16" s="3"/>
      <c r="P16"/>
      <c r="Q16" s="71">
        <f t="shared" si="3"/>
        <v>1.5135612484362084</v>
      </c>
      <c r="R16" s="2">
        <f t="shared" si="1"/>
        <v>2.585479569464334E-06</v>
      </c>
      <c r="S16" s="2">
        <f t="shared" si="2"/>
        <v>-2.052432617947318E-12</v>
      </c>
    </row>
    <row r="17" spans="9:19" ht="12.75">
      <c r="I17" s="3" t="s">
        <v>31</v>
      </c>
      <c r="J17" s="3" t="s">
        <v>24</v>
      </c>
      <c r="K17" s="99">
        <v>1</v>
      </c>
      <c r="L17" s="3" t="s">
        <v>26</v>
      </c>
      <c r="P17"/>
      <c r="Q17" s="71">
        <f t="shared" si="3"/>
        <v>1.7378008287493758</v>
      </c>
      <c r="R17" s="2">
        <f t="shared" si="1"/>
        <v>-1.2824950879531674E-05</v>
      </c>
      <c r="S17" s="2">
        <f t="shared" si="2"/>
        <v>-6.476631545452706E-12</v>
      </c>
    </row>
    <row r="18" spans="3:22" ht="12.75">
      <c r="C18" s="39" t="s">
        <v>148</v>
      </c>
      <c r="D18" s="39"/>
      <c r="E18" s="52"/>
      <c r="F18" s="3"/>
      <c r="G18" s="120"/>
      <c r="I18" s="3" t="s">
        <v>32</v>
      </c>
      <c r="J18" s="3" t="s">
        <v>25</v>
      </c>
      <c r="K18" s="102">
        <v>1000</v>
      </c>
      <c r="L18" s="3" t="s">
        <v>26</v>
      </c>
      <c r="P18"/>
      <c r="Q18" s="71">
        <f t="shared" si="3"/>
        <v>1.9952623149688802</v>
      </c>
      <c r="R18" s="2">
        <f t="shared" si="1"/>
        <v>-4.340778607944705E-05</v>
      </c>
      <c r="S18" s="2">
        <f t="shared" si="2"/>
        <v>-1.0791509028311385E-11</v>
      </c>
      <c r="V18" s="4"/>
    </row>
    <row r="19" spans="3:22" ht="12.75">
      <c r="C19" s="3" t="s">
        <v>145</v>
      </c>
      <c r="D19" s="3" t="s">
        <v>42</v>
      </c>
      <c r="E19" s="100" t="s">
        <v>315</v>
      </c>
      <c r="F19" s="3" t="s">
        <v>50</v>
      </c>
      <c r="G19" s="120"/>
      <c r="P19"/>
      <c r="Q19" s="71">
        <f t="shared" si="3"/>
        <v>2.290867652767774</v>
      </c>
      <c r="R19" s="2">
        <f t="shared" si="1"/>
        <v>-7.704892536362276E-05</v>
      </c>
      <c r="S19" s="2">
        <f t="shared" si="2"/>
        <v>-9.088042901100778E-12</v>
      </c>
      <c r="V19" s="5"/>
    </row>
    <row r="20" spans="3:19" ht="12.75">
      <c r="C20" s="3" t="s">
        <v>143</v>
      </c>
      <c r="D20" s="3" t="s">
        <v>43</v>
      </c>
      <c r="E20" s="101" t="s">
        <v>27</v>
      </c>
      <c r="F20" s="3" t="s">
        <v>50</v>
      </c>
      <c r="G20" s="120"/>
      <c r="I20" s="152">
        <f>IF(test_expire(),IF(Area_delam_check*Area_defect_check&gt;0,C152,C174),C154)</f>
      </c>
      <c r="J20" s="152"/>
      <c r="K20" s="152"/>
      <c r="L20" s="152"/>
      <c r="P20"/>
      <c r="Q20" s="71">
        <f t="shared" si="3"/>
        <v>2.630267991895383</v>
      </c>
      <c r="R20" s="2">
        <f t="shared" si="1"/>
        <v>-7.750606452787518E-05</v>
      </c>
      <c r="S20" s="2">
        <f t="shared" si="2"/>
        <v>5.723907852907026E-12</v>
      </c>
    </row>
    <row r="21" spans="3:22" ht="12.75">
      <c r="C21" s="3" t="s">
        <v>289</v>
      </c>
      <c r="D21" s="3" t="s">
        <v>230</v>
      </c>
      <c r="E21" s="101" t="s">
        <v>248</v>
      </c>
      <c r="F21" s="3" t="s">
        <v>50</v>
      </c>
      <c r="G21" s="120"/>
      <c r="I21" s="152"/>
      <c r="J21" s="152"/>
      <c r="K21" s="152"/>
      <c r="L21" s="152"/>
      <c r="P21"/>
      <c r="Q21" s="71">
        <f t="shared" si="3"/>
        <v>3.019951720402018</v>
      </c>
      <c r="R21" s="2">
        <f t="shared" si="1"/>
        <v>4.774288559969841E-06</v>
      </c>
      <c r="S21" s="2">
        <f t="shared" si="2"/>
        <v>3.443309934242418E-11</v>
      </c>
      <c r="V21" s="4"/>
    </row>
    <row r="22" spans="3:19" ht="12.75" customHeight="1">
      <c r="C22" s="3" t="s">
        <v>144</v>
      </c>
      <c r="D22" s="3" t="s">
        <v>48</v>
      </c>
      <c r="E22" s="99">
        <v>100</v>
      </c>
      <c r="F22" s="3" t="s">
        <v>52</v>
      </c>
      <c r="G22" s="120"/>
      <c r="I22" s="152"/>
      <c r="J22" s="152"/>
      <c r="K22" s="152"/>
      <c r="L22" s="152"/>
      <c r="M22" s="3"/>
      <c r="P22"/>
      <c r="Q22" s="71">
        <f t="shared" si="3"/>
        <v>3.4673685045253184</v>
      </c>
      <c r="R22" s="2">
        <f t="shared" si="1"/>
        <v>0.0001926148056178224</v>
      </c>
      <c r="S22" s="2">
        <f t="shared" si="2"/>
        <v>6.43846265926525E-11</v>
      </c>
    </row>
    <row r="23" spans="3:19" ht="12.75">
      <c r="C23" s="3" t="s">
        <v>129</v>
      </c>
      <c r="D23" s="28" t="s">
        <v>93</v>
      </c>
      <c r="E23" s="102">
        <v>5E-09</v>
      </c>
      <c r="F23" s="3" t="s">
        <v>84</v>
      </c>
      <c r="G23" s="120"/>
      <c r="H23" s="3"/>
      <c r="P23"/>
      <c r="Q23" s="71">
        <f t="shared" si="3"/>
        <v>3.981071705534975</v>
      </c>
      <c r="R23" s="2">
        <f t="shared" si="1"/>
        <v>0.00043972522168525725</v>
      </c>
      <c r="S23" s="2">
        <f t="shared" si="2"/>
        <v>7.671648842619763E-11</v>
      </c>
    </row>
    <row r="24" spans="3:19" ht="12.75">
      <c r="C24" s="29"/>
      <c r="D24" s="3"/>
      <c r="E24" s="3"/>
      <c r="F24" s="3"/>
      <c r="G24" s="120"/>
      <c r="P24"/>
      <c r="Q24" s="71">
        <f t="shared" si="3"/>
        <v>4.570881896148753</v>
      </c>
      <c r="R24" s="2">
        <f t="shared" si="1"/>
        <v>0.0006691119638723257</v>
      </c>
      <c r="S24" s="2">
        <f t="shared" si="2"/>
        <v>8.426691171387386E-11</v>
      </c>
    </row>
    <row r="25" spans="3:19" ht="13.5" customHeight="1">
      <c r="C25" s="3" t="s">
        <v>142</v>
      </c>
      <c r="D25" s="3" t="s">
        <v>44</v>
      </c>
      <c r="E25" s="103">
        <v>0.5</v>
      </c>
      <c r="F25" s="3" t="s">
        <v>290</v>
      </c>
      <c r="G25" s="120"/>
      <c r="P25"/>
      <c r="Q25" s="71">
        <f t="shared" si="3"/>
        <v>5.24807460249773</v>
      </c>
      <c r="R25" s="2">
        <f t="shared" si="1"/>
        <v>0.0010081450843784914</v>
      </c>
      <c r="S25" s="2">
        <f t="shared" si="2"/>
        <v>2.0370998678340755E-10</v>
      </c>
    </row>
    <row r="26" spans="3:19" ht="12.75">
      <c r="C26" s="3" t="s">
        <v>29</v>
      </c>
      <c r="D26" s="3" t="s">
        <v>45</v>
      </c>
      <c r="E26" s="96">
        <f>1+(0.001*rho*Kd_cl/n)</f>
        <v>6.401234567901234</v>
      </c>
      <c r="F26" s="3" t="s">
        <v>50</v>
      </c>
      <c r="G26" s="120"/>
      <c r="P26"/>
      <c r="Q26" s="71">
        <f t="shared" si="3"/>
        <v>6.025595860743582</v>
      </c>
      <c r="R26" s="2">
        <f t="shared" si="1"/>
        <v>0.0022889040147008595</v>
      </c>
      <c r="S26" s="2">
        <f t="shared" si="2"/>
        <v>7.389203143383115E-10</v>
      </c>
    </row>
    <row r="27" spans="3:22" ht="12.75">
      <c r="C27" s="3" t="s">
        <v>340</v>
      </c>
      <c r="D27" s="3" t="s">
        <v>46</v>
      </c>
      <c r="E27" s="103">
        <v>500</v>
      </c>
      <c r="F27" s="3" t="s">
        <v>178</v>
      </c>
      <c r="G27" s="120"/>
      <c r="P27"/>
      <c r="Q27" s="71">
        <f t="shared" si="3"/>
        <v>6.918309709189371</v>
      </c>
      <c r="R27" s="2">
        <f t="shared" si="1"/>
        <v>0.006734315886387471</v>
      </c>
      <c r="S27" s="2">
        <f t="shared" si="2"/>
        <v>2.2272559366464693E-09</v>
      </c>
      <c r="V27" s="4"/>
    </row>
    <row r="28" spans="3:22" ht="12.75">
      <c r="C28" s="3" t="s">
        <v>306</v>
      </c>
      <c r="D28" s="3" t="s">
        <v>307</v>
      </c>
      <c r="E28" s="101" t="s">
        <v>54</v>
      </c>
      <c r="F28" s="3" t="s">
        <v>50</v>
      </c>
      <c r="G28" s="120"/>
      <c r="P28"/>
      <c r="Q28" s="71">
        <f>Q27*tscale</f>
        <v>7.943282347242823</v>
      </c>
      <c r="R28" s="2">
        <f t="shared" si="1"/>
        <v>0.01855622279393029</v>
      </c>
      <c r="S28" s="2">
        <f t="shared" si="2"/>
        <v>5.397424308157491E-09</v>
      </c>
      <c r="V28" s="4"/>
    </row>
    <row r="29" spans="3:19" ht="12.75">
      <c r="C29" s="3" t="s">
        <v>146</v>
      </c>
      <c r="D29" s="3" t="s">
        <v>47</v>
      </c>
      <c r="E29" s="97">
        <f>IF(thalf_cl&lt;=0,0,LN(2)/(thalf_cl*s_per_day)/IF(Decay_sorb="Yes",1,R_cl))</f>
        <v>2.506559235390352E-09</v>
      </c>
      <c r="F29" s="3" t="s">
        <v>51</v>
      </c>
      <c r="G29" s="120"/>
      <c r="P29"/>
      <c r="Q29" s="71">
        <f t="shared" si="3"/>
        <v>9.120108393559107</v>
      </c>
      <c r="R29" s="2">
        <f t="shared" si="1"/>
        <v>0.04406954770397071</v>
      </c>
      <c r="S29" s="2">
        <f t="shared" si="2"/>
        <v>1.1017767874684773E-08</v>
      </c>
    </row>
    <row r="30" spans="3:19" ht="12.75">
      <c r="C30" s="3"/>
      <c r="D30" s="3"/>
      <c r="E30" s="3"/>
      <c r="F30" s="3"/>
      <c r="G30" s="120"/>
      <c r="P30"/>
      <c r="Q30" s="71">
        <f t="shared" si="3"/>
        <v>10.471285480509007</v>
      </c>
      <c r="R30" s="2">
        <f t="shared" si="1"/>
        <v>0.09099083736528363</v>
      </c>
      <c r="S30" s="2">
        <f t="shared" si="2"/>
        <v>1.966660876114123E-08</v>
      </c>
    </row>
    <row r="31" spans="1:19" ht="12.75">
      <c r="A31" s="118">
        <f>IF(Solution_type="a",0,IF(Cont_Type="Inorganic",0,1))</f>
        <v>0</v>
      </c>
      <c r="C31" s="3" t="s">
        <v>295</v>
      </c>
      <c r="D31" s="3" t="s">
        <v>101</v>
      </c>
      <c r="E31" s="104">
        <v>0.2</v>
      </c>
      <c r="F31" s="3" t="s">
        <v>50</v>
      </c>
      <c r="G31" s="120"/>
      <c r="P31"/>
      <c r="Q31" s="71">
        <f t="shared" si="3"/>
        <v>12.022644346174143</v>
      </c>
      <c r="R31" s="2">
        <f t="shared" si="1"/>
        <v>0.16686479300916368</v>
      </c>
      <c r="S31" s="2">
        <f t="shared" si="2"/>
        <v>3.150360060064871E-08</v>
      </c>
    </row>
    <row r="32" spans="1:19" ht="12.75">
      <c r="A32" s="118">
        <f>IF(Solution_type="a",0,IF(Cont_Type="Inorganic",0,1))</f>
        <v>0</v>
      </c>
      <c r="C32" s="3" t="s">
        <v>296</v>
      </c>
      <c r="D32" s="28" t="s">
        <v>97</v>
      </c>
      <c r="E32" s="98">
        <v>2.9E-14</v>
      </c>
      <c r="F32" s="3" t="s">
        <v>84</v>
      </c>
      <c r="G32" s="120"/>
      <c r="P32"/>
      <c r="Q32" s="71">
        <f t="shared" si="3"/>
        <v>13.803842646028865</v>
      </c>
      <c r="R32" s="2">
        <f t="shared" si="1"/>
        <v>0.27694947453804014</v>
      </c>
      <c r="S32" s="2">
        <f t="shared" si="2"/>
        <v>4.6134575864545356E-08</v>
      </c>
    </row>
    <row r="33" spans="16:19" ht="12.75">
      <c r="P33"/>
      <c r="Q33" s="71">
        <f t="shared" si="3"/>
        <v>15.848931924611156</v>
      </c>
      <c r="R33" s="2">
        <f t="shared" si="1"/>
        <v>0.4222078400677031</v>
      </c>
      <c r="S33" s="2">
        <f t="shared" si="2"/>
        <v>6.263198464832189E-08</v>
      </c>
    </row>
    <row r="34" spans="3:22" ht="12.75">
      <c r="C34" s="39" t="s">
        <v>282</v>
      </c>
      <c r="D34" s="48"/>
      <c r="E34" s="44"/>
      <c r="F34" s="3"/>
      <c r="G34" s="120"/>
      <c r="P34"/>
      <c r="Q34" s="71">
        <f t="shared" si="3"/>
        <v>18.19700858609986</v>
      </c>
      <c r="R34" s="2">
        <f t="shared" si="1"/>
        <v>0.5981327255862923</v>
      </c>
      <c r="S34" s="2">
        <f t="shared" si="2"/>
        <v>7.97128683777938E-08</v>
      </c>
      <c r="V34" s="4"/>
    </row>
    <row r="35" spans="3:19" ht="12.75">
      <c r="C35" s="3" t="str">
        <f>IF(CM=1,"Thickness of mineral barrier is calculated as "&amp;thick_cl&amp;"m","Thickness of mineral liner")</f>
        <v>Thickness of mineral barrier is calculated as 1m</v>
      </c>
      <c r="D35" s="3" t="s">
        <v>104</v>
      </c>
      <c r="E35" s="105">
        <v>1</v>
      </c>
      <c r="F35" s="30" t="s">
        <v>4</v>
      </c>
      <c r="G35" s="123"/>
      <c r="P35"/>
      <c r="Q35" s="71">
        <f t="shared" si="3"/>
        <v>20.892961308540425</v>
      </c>
      <c r="R35" s="2">
        <f t="shared" si="1"/>
        <v>0.7949128428514021</v>
      </c>
      <c r="S35" s="2">
        <f t="shared" si="2"/>
        <v>9.601580252863669E-08</v>
      </c>
    </row>
    <row r="36" spans="3:19" ht="12" customHeight="1">
      <c r="C36" s="3" t="s">
        <v>297</v>
      </c>
      <c r="D36" s="3" t="s">
        <v>56</v>
      </c>
      <c r="E36" s="102">
        <v>1E-13</v>
      </c>
      <c r="F36" s="3" t="s">
        <v>1</v>
      </c>
      <c r="G36" s="120"/>
      <c r="P36"/>
      <c r="Q36" s="71">
        <f t="shared" si="3"/>
        <v>23.98832919019494</v>
      </c>
      <c r="R36" s="2">
        <f t="shared" si="1"/>
        <v>0.9990069955547548</v>
      </c>
      <c r="S36" s="2">
        <f t="shared" si="2"/>
        <v>1.1038491895562336E-07</v>
      </c>
    </row>
    <row r="37" spans="3:19" ht="12.75">
      <c r="C37" s="28" t="s">
        <v>152</v>
      </c>
      <c r="D37" s="28" t="s">
        <v>87</v>
      </c>
      <c r="E37" s="102">
        <v>1E-05</v>
      </c>
      <c r="F37" s="3" t="s">
        <v>4</v>
      </c>
      <c r="G37" s="120"/>
      <c r="P37"/>
      <c r="Q37" s="71">
        <f t="shared" si="3"/>
        <v>27.542287033381704</v>
      </c>
      <c r="R37" s="2">
        <f t="shared" si="1"/>
        <v>1.1957112912942496</v>
      </c>
      <c r="S37" s="2">
        <f t="shared" si="2"/>
        <v>1.2207480080387045E-07</v>
      </c>
    </row>
    <row r="38" spans="3:19" ht="12.75">
      <c r="C38" s="3" t="s">
        <v>22</v>
      </c>
      <c r="D38" s="3" t="s">
        <v>17</v>
      </c>
      <c r="E38" s="99">
        <v>0.162</v>
      </c>
      <c r="F38" s="3" t="s">
        <v>50</v>
      </c>
      <c r="G38" s="120"/>
      <c r="P38"/>
      <c r="Q38" s="71">
        <f t="shared" si="3"/>
        <v>31.622776601683842</v>
      </c>
      <c r="R38" s="2">
        <f t="shared" si="1"/>
        <v>1.371974115448709</v>
      </c>
      <c r="S38" s="2">
        <f t="shared" si="2"/>
        <v>1.3082737131034952E-07</v>
      </c>
    </row>
    <row r="39" spans="3:19" ht="12.75">
      <c r="C39" s="3" t="s">
        <v>153</v>
      </c>
      <c r="D39" s="3" t="s">
        <v>37</v>
      </c>
      <c r="E39" s="99">
        <v>1750</v>
      </c>
      <c r="F39" s="3" t="s">
        <v>30</v>
      </c>
      <c r="G39" s="120"/>
      <c r="P39"/>
      <c r="Q39" s="71">
        <f t="shared" si="3"/>
        <v>36.30780547701019</v>
      </c>
      <c r="R39" s="2">
        <f t="shared" si="1"/>
        <v>1.5186600550460891</v>
      </c>
      <c r="S39" s="2">
        <f t="shared" si="2"/>
        <v>1.3682102100414416E-07</v>
      </c>
    </row>
    <row r="40" spans="3:19" ht="12.75">
      <c r="C40" s="28" t="s">
        <v>154</v>
      </c>
      <c r="D40" s="28" t="s">
        <v>96</v>
      </c>
      <c r="E40" s="99">
        <v>5</v>
      </c>
      <c r="F40" s="3" t="s">
        <v>50</v>
      </c>
      <c r="G40" s="120"/>
      <c r="P40"/>
      <c r="Q40" s="71">
        <f t="shared" si="3"/>
        <v>41.68693834703361</v>
      </c>
      <c r="R40" s="2">
        <f t="shared" si="1"/>
        <v>1.6316922347243472</v>
      </c>
      <c r="S40" s="2">
        <f t="shared" si="2"/>
        <v>1.4053206540430098E-07</v>
      </c>
    </row>
    <row r="41" spans="16:19" ht="12.75">
      <c r="P41"/>
      <c r="Q41" s="71">
        <f t="shared" si="3"/>
        <v>47.86300923226392</v>
      </c>
      <c r="R41" s="2">
        <f t="shared" si="1"/>
        <v>1.7119056316798766</v>
      </c>
      <c r="S41" s="2">
        <f t="shared" si="2"/>
        <v>1.425662374734382E-07</v>
      </c>
    </row>
    <row r="42" spans="1:22" ht="12.75">
      <c r="A42" s="118">
        <f aca="true" t="shared" si="4" ref="A42:A55">IF(Solution_type="a",0,1)</f>
        <v>0</v>
      </c>
      <c r="C42" s="39" t="s">
        <v>151</v>
      </c>
      <c r="D42" s="39"/>
      <c r="E42" s="44"/>
      <c r="F42" s="3"/>
      <c r="G42" s="120"/>
      <c r="P42"/>
      <c r="Q42" s="71">
        <f t="shared" si="3"/>
        <v>54.954087385762556</v>
      </c>
      <c r="R42" s="2">
        <f t="shared" si="1"/>
        <v>1.7638556739437299</v>
      </c>
      <c r="S42" s="2">
        <f t="shared" si="2"/>
        <v>1.4351205043469658E-07</v>
      </c>
      <c r="V42" s="4"/>
    </row>
    <row r="43" spans="1:19" ht="12.75">
      <c r="A43" s="118">
        <f t="shared" si="4"/>
        <v>0</v>
      </c>
      <c r="C43" s="3" t="s">
        <v>23</v>
      </c>
      <c r="D43" s="28" t="s">
        <v>55</v>
      </c>
      <c r="E43" s="99">
        <v>0.003</v>
      </c>
      <c r="F43" s="3" t="s">
        <v>4</v>
      </c>
      <c r="G43" s="120"/>
      <c r="P43"/>
      <c r="Q43" s="71">
        <f t="shared" si="3"/>
        <v>63.09573444801944</v>
      </c>
      <c r="R43" s="2">
        <f t="shared" si="1"/>
        <v>1.7940951653350774</v>
      </c>
      <c r="S43" s="2">
        <f t="shared" si="2"/>
        <v>1.4384664120689095E-07</v>
      </c>
    </row>
    <row r="44" spans="1:19" ht="12.75">
      <c r="A44" s="118">
        <f t="shared" si="4"/>
        <v>0</v>
      </c>
      <c r="C44" s="28" t="s">
        <v>147</v>
      </c>
      <c r="D44" s="28" t="s">
        <v>61</v>
      </c>
      <c r="E44" s="101" t="s">
        <v>19</v>
      </c>
      <c r="F44" s="28" t="s">
        <v>50</v>
      </c>
      <c r="G44" s="122"/>
      <c r="P44"/>
      <c r="Q44" s="71">
        <f t="shared" si="3"/>
        <v>72.44359600749915</v>
      </c>
      <c r="R44" s="2">
        <f t="shared" si="1"/>
        <v>1.809482873788469</v>
      </c>
      <c r="S44" s="2">
        <f t="shared" si="2"/>
        <v>1.4389992875417271E-07</v>
      </c>
    </row>
    <row r="45" spans="1:22" ht="12.75">
      <c r="A45" s="118">
        <f t="shared" si="4"/>
        <v>0</v>
      </c>
      <c r="C45" s="28" t="s">
        <v>291</v>
      </c>
      <c r="D45" s="28" t="s">
        <v>250</v>
      </c>
      <c r="E45" s="101" t="s">
        <v>53</v>
      </c>
      <c r="F45" s="28" t="s">
        <v>50</v>
      </c>
      <c r="G45" s="122"/>
      <c r="P45"/>
      <c r="Q45" s="71">
        <f t="shared" si="3"/>
        <v>83.17637711026727</v>
      </c>
      <c r="R45" s="2">
        <f aca="true" t="shared" si="5" ref="R45:R63">IF($D$163&lt;=0,0,IF(ISNUMBER(IF(Solution_type="a",Single_Lay_Sol,IF(GM_delam="Yes",Delam_Sol,IF(Solution_type="b",TwoLay_sol,Single_Lay_Sol)))),IF(Solution_type="a",Single_Lay_Sol,IF(GM_delam="Yes",Delam_Sol,IF(Solution_type="b",TwoLay_sol,Single_Lay_Sol))),0))</f>
        <v>1.815941396575266</v>
      </c>
      <c r="S45" s="2">
        <f aca="true" t="shared" si="6" ref="S45:S63">IF($D$163&lt;=0,0,IF(ISNUMBER(IF(Solution_type="a",Single_Lay_Mass,IF(GM_delam="Yes",Delam_Mass_Sol,IF(Solution_type="b",Two_Lay_Mass,Single_Lay_Mass)))),IF(Solution_type="a",Single_Lay_Mass,IF(GM_delam="Yes",Delam_Mass_Sol,IF(Solution_type="b",Two_Lay_Mass,Single_Lay_Mass))),0))/86400</f>
        <v>1.4386432266559272E-07</v>
      </c>
      <c r="V45" s="4"/>
    </row>
    <row r="46" spans="1:19" ht="12.75">
      <c r="A46" s="118">
        <f>IF(OR(GM_delam="No",Solution_type="a"),0,1)</f>
        <v>0</v>
      </c>
      <c r="C46" s="28" t="s">
        <v>329</v>
      </c>
      <c r="D46" s="28" t="s">
        <v>300</v>
      </c>
      <c r="E46" s="99">
        <f>Area_contact</f>
        <v>122000</v>
      </c>
      <c r="F46" s="2" t="s">
        <v>2</v>
      </c>
      <c r="I46" s="3"/>
      <c r="P46"/>
      <c r="Q46" s="71">
        <f t="shared" si="3"/>
        <v>95.4992586021438</v>
      </c>
      <c r="R46" s="2">
        <f t="shared" si="5"/>
        <v>1.8178359995635784</v>
      </c>
      <c r="S46" s="2">
        <f t="shared" si="6"/>
        <v>1.4382918838285043E-07</v>
      </c>
    </row>
    <row r="47" spans="16:19" ht="12.75">
      <c r="P47"/>
      <c r="Q47" s="71">
        <f t="shared" si="3"/>
        <v>109.64781961431873</v>
      </c>
      <c r="R47" s="2">
        <f t="shared" si="5"/>
        <v>1.817914184423876</v>
      </c>
      <c r="S47" s="2">
        <f t="shared" si="6"/>
        <v>1.4382079119350686E-07</v>
      </c>
    </row>
    <row r="48" spans="1:19" ht="12.75">
      <c r="A48" s="118">
        <f t="shared" si="4"/>
        <v>0</v>
      </c>
      <c r="C48" s="39" t="s">
        <v>330</v>
      </c>
      <c r="D48" s="48"/>
      <c r="E48" s="44"/>
      <c r="F48" s="44"/>
      <c r="G48" s="120"/>
      <c r="P48"/>
      <c r="Q48" s="71">
        <f t="shared" si="3"/>
        <v>125.892541179417</v>
      </c>
      <c r="R48" s="2">
        <f t="shared" si="5"/>
        <v>1.81760712791417</v>
      </c>
      <c r="S48" s="2">
        <f t="shared" si="6"/>
        <v>1.43835309930312E-07</v>
      </c>
    </row>
    <row r="49" spans="1:19" ht="12.75">
      <c r="A49" s="118">
        <f t="shared" si="4"/>
        <v>0</v>
      </c>
      <c r="C49" s="3" t="s">
        <v>180</v>
      </c>
      <c r="D49" s="99">
        <v>2</v>
      </c>
      <c r="E49" s="3" t="s">
        <v>5</v>
      </c>
      <c r="F49" s="43">
        <f>D49/10000</f>
        <v>0.0002</v>
      </c>
      <c r="G49" s="120"/>
      <c r="H49" s="3" t="s">
        <v>6</v>
      </c>
      <c r="J49" s="3"/>
      <c r="K49" s="3"/>
      <c r="P49"/>
      <c r="Q49" s="71">
        <f t="shared" si="3"/>
        <v>144.54397707459307</v>
      </c>
      <c r="R49" s="2">
        <f t="shared" si="5"/>
        <v>1.8174681574299958</v>
      </c>
      <c r="S49" s="2">
        <f t="shared" si="6"/>
        <v>1.4386020322834572E-07</v>
      </c>
    </row>
    <row r="50" spans="1:19" ht="12.75">
      <c r="A50" s="118">
        <f t="shared" si="4"/>
        <v>0</v>
      </c>
      <c r="C50" s="3" t="s">
        <v>181</v>
      </c>
      <c r="D50" s="99">
        <v>2.5</v>
      </c>
      <c r="E50" s="3" t="s">
        <v>7</v>
      </c>
      <c r="F50" s="43">
        <f>D50/10^6</f>
        <v>2.5E-06</v>
      </c>
      <c r="G50" s="120"/>
      <c r="H50" s="3" t="s">
        <v>2</v>
      </c>
      <c r="J50" s="3"/>
      <c r="K50" s="3"/>
      <c r="L50" s="3"/>
      <c r="P50"/>
      <c r="Q50" s="71">
        <f t="shared" si="3"/>
        <v>165.95869074375645</v>
      </c>
      <c r="R50" s="2">
        <f t="shared" si="5"/>
        <v>1.817578753333726</v>
      </c>
      <c r="S50" s="2">
        <f t="shared" si="6"/>
        <v>1.4388476703159623E-07</v>
      </c>
    </row>
    <row r="51" spans="1:19" ht="12.75">
      <c r="A51" s="118">
        <f t="shared" si="4"/>
        <v>0</v>
      </c>
      <c r="C51" s="3" t="s">
        <v>182</v>
      </c>
      <c r="D51" s="99">
        <v>2</v>
      </c>
      <c r="E51" s="3" t="s">
        <v>5</v>
      </c>
      <c r="F51" s="43">
        <f>D51/10000</f>
        <v>0.0002</v>
      </c>
      <c r="G51" s="120"/>
      <c r="H51" s="3" t="s">
        <v>6</v>
      </c>
      <c r="L51" s="3"/>
      <c r="P51"/>
      <c r="Q51" s="71">
        <f t="shared" si="3"/>
        <v>190.54607179632518</v>
      </c>
      <c r="R51" s="2">
        <f t="shared" si="5"/>
        <v>1.8178379405878566</v>
      </c>
      <c r="S51" s="2">
        <f t="shared" si="6"/>
        <v>1.439032915619837E-07</v>
      </c>
    </row>
    <row r="52" spans="1:19" ht="12.75">
      <c r="A52" s="118">
        <f t="shared" si="4"/>
        <v>0</v>
      </c>
      <c r="C52" s="3" t="s">
        <v>183</v>
      </c>
      <c r="D52" s="99">
        <v>2</v>
      </c>
      <c r="E52" s="3" t="s">
        <v>7</v>
      </c>
      <c r="F52" s="43">
        <f>D52/10^6</f>
        <v>2E-06</v>
      </c>
      <c r="G52" s="120"/>
      <c r="H52" s="3" t="s">
        <v>2</v>
      </c>
      <c r="P52"/>
      <c r="Q52" s="71">
        <f t="shared" si="3"/>
        <v>218.7761623949558</v>
      </c>
      <c r="R52" s="2">
        <f t="shared" si="5"/>
        <v>1.8181238838902176</v>
      </c>
      <c r="S52" s="2">
        <f t="shared" si="6"/>
        <v>1.439144246900869E-07</v>
      </c>
    </row>
    <row r="53" spans="1:19" ht="12.75">
      <c r="A53" s="118">
        <f t="shared" si="4"/>
        <v>0</v>
      </c>
      <c r="C53" s="3" t="s">
        <v>184</v>
      </c>
      <c r="D53" s="99">
        <v>1</v>
      </c>
      <c r="E53" s="3" t="s">
        <v>5</v>
      </c>
      <c r="F53" s="43">
        <f>D53/10000</f>
        <v>0.0001</v>
      </c>
      <c r="G53" s="120"/>
      <c r="H53" s="3" t="s">
        <v>6</v>
      </c>
      <c r="P53"/>
      <c r="Q53" s="71">
        <f t="shared" si="3"/>
        <v>251.18864315095865</v>
      </c>
      <c r="R53" s="2">
        <f t="shared" si="5"/>
        <v>1.818357726135268</v>
      </c>
      <c r="S53" s="2">
        <f t="shared" si="6"/>
        <v>1.4391934359434262E-07</v>
      </c>
    </row>
    <row r="54" spans="1:19" ht="12.75">
      <c r="A54" s="118">
        <f t="shared" si="4"/>
        <v>0</v>
      </c>
      <c r="C54" s="3" t="s">
        <v>185</v>
      </c>
      <c r="D54" s="99">
        <v>1000</v>
      </c>
      <c r="E54" s="3" t="s">
        <v>8</v>
      </c>
      <c r="F54" s="43">
        <f>D54/1000</f>
        <v>1</v>
      </c>
      <c r="G54" s="120"/>
      <c r="H54" s="3" t="s">
        <v>4</v>
      </c>
      <c r="P54"/>
      <c r="Q54" s="71">
        <f t="shared" si="3"/>
        <v>288.40315031266135</v>
      </c>
      <c r="R54" s="2">
        <f t="shared" si="5"/>
        <v>1.81851073802475</v>
      </c>
      <c r="S54" s="2">
        <f t="shared" si="6"/>
        <v>1.4392011185338648E-07</v>
      </c>
    </row>
    <row r="55" spans="1:19" ht="12.75">
      <c r="A55" s="118">
        <f t="shared" si="4"/>
        <v>0</v>
      </c>
      <c r="C55" s="3" t="s">
        <v>186</v>
      </c>
      <c r="D55" s="99">
        <v>1</v>
      </c>
      <c r="E55" s="3" t="s">
        <v>8</v>
      </c>
      <c r="F55" s="43">
        <f>D55/1000</f>
        <v>0.001</v>
      </c>
      <c r="G55" s="120"/>
      <c r="H55" s="3" t="s">
        <v>4</v>
      </c>
      <c r="P55"/>
      <c r="Q55" s="71">
        <f t="shared" si="3"/>
        <v>331.131121482592</v>
      </c>
      <c r="R55" s="2">
        <f t="shared" si="5"/>
        <v>1.8185883602014712</v>
      </c>
      <c r="S55" s="2">
        <f t="shared" si="6"/>
        <v>1.4391867196525522E-07</v>
      </c>
    </row>
    <row r="56" spans="3:19" ht="12.75">
      <c r="C56" s="3"/>
      <c r="D56" s="3"/>
      <c r="E56" s="3"/>
      <c r="F56" s="3"/>
      <c r="G56" s="120"/>
      <c r="H56" s="3"/>
      <c r="P56"/>
      <c r="Q56" s="71">
        <f>Q55*tscale</f>
        <v>380.18939632056225</v>
      </c>
      <c r="R56" s="2">
        <f t="shared" si="5"/>
        <v>1.8186113280623752</v>
      </c>
      <c r="S56" s="2">
        <f t="shared" si="6"/>
        <v>1.4391642991369507E-07</v>
      </c>
    </row>
    <row r="57" spans="3:19" ht="12.75">
      <c r="C57" s="3"/>
      <c r="D57" s="3"/>
      <c r="E57" s="3"/>
      <c r="F57" s="3"/>
      <c r="G57" s="120"/>
      <c r="H57" s="3"/>
      <c r="Q57" s="71">
        <f t="shared" si="3"/>
        <v>436.5158322401672</v>
      </c>
      <c r="R57" s="2">
        <f t="shared" si="5"/>
        <v>1.81860229155801</v>
      </c>
      <c r="S57" s="2">
        <f t="shared" si="6"/>
        <v>1.4391421434400915E-07</v>
      </c>
    </row>
    <row r="58" spans="3:19" ht="12.75">
      <c r="C58" s="3"/>
      <c r="D58" s="3"/>
      <c r="E58" s="3"/>
      <c r="F58" s="3"/>
      <c r="G58" s="120"/>
      <c r="H58" s="3"/>
      <c r="Q58" s="71">
        <f t="shared" si="3"/>
        <v>501.1872336272737</v>
      </c>
      <c r="R58" s="2">
        <f t="shared" si="5"/>
        <v>1.8185791771174202</v>
      </c>
      <c r="S58" s="2">
        <f t="shared" si="6"/>
        <v>1.439124059606261E-07</v>
      </c>
    </row>
    <row r="59" spans="3:19" ht="12.75">
      <c r="C59" s="3"/>
      <c r="D59" s="3"/>
      <c r="E59" s="3"/>
      <c r="F59" s="3"/>
      <c r="G59" s="120"/>
      <c r="H59" s="3"/>
      <c r="M59" s="6"/>
      <c r="Q59" s="71">
        <f t="shared" si="3"/>
        <v>575.4399373371587</v>
      </c>
      <c r="R59" s="2">
        <f t="shared" si="5"/>
        <v>1.818553462095188</v>
      </c>
      <c r="S59" s="2">
        <f t="shared" si="6"/>
        <v>1.43911101259049E-07</v>
      </c>
    </row>
    <row r="60" spans="3:19" ht="12.75">
      <c r="C60" s="3"/>
      <c r="D60" s="3"/>
      <c r="E60" s="3"/>
      <c r="F60" s="3"/>
      <c r="G60" s="120"/>
      <c r="H60" s="3"/>
      <c r="N60" s="6"/>
      <c r="O60" s="6"/>
      <c r="Q60" s="71">
        <f t="shared" si="3"/>
        <v>660.693448007598</v>
      </c>
      <c r="R60" s="2">
        <f t="shared" si="5"/>
        <v>1.818531079492128</v>
      </c>
      <c r="S60" s="2">
        <f t="shared" si="6"/>
        <v>1.439102514331985E-07</v>
      </c>
    </row>
    <row r="61" spans="3:19" ht="12.75">
      <c r="C61" s="3"/>
      <c r="D61" s="3"/>
      <c r="E61" s="3"/>
      <c r="F61" s="3"/>
      <c r="G61" s="120"/>
      <c r="H61" s="3"/>
      <c r="Q61" s="71">
        <f t="shared" si="3"/>
        <v>758.5775750291862</v>
      </c>
      <c r="R61" s="2">
        <f t="shared" si="5"/>
        <v>1.8185141552057675</v>
      </c>
      <c r="S61" s="2">
        <f t="shared" si="6"/>
        <v>1.43909752745745E-07</v>
      </c>
    </row>
    <row r="62" spans="3:19" ht="12.75">
      <c r="C62" s="3"/>
      <c r="D62" s="3"/>
      <c r="E62" s="3"/>
      <c r="F62" s="3"/>
      <c r="G62" s="120"/>
      <c r="H62" s="3"/>
      <c r="Q62" s="71">
        <f t="shared" si="3"/>
        <v>870.9635899560834</v>
      </c>
      <c r="R62" s="2">
        <f t="shared" si="5"/>
        <v>1.8185026514056728</v>
      </c>
      <c r="S62" s="2">
        <f t="shared" si="6"/>
        <v>1.4390949678180254E-07</v>
      </c>
    </row>
    <row r="63" spans="2:19" ht="13.5" thickBot="1">
      <c r="B63" s="49"/>
      <c r="C63" s="49"/>
      <c r="D63" s="49"/>
      <c r="E63" s="49"/>
      <c r="F63" s="49"/>
      <c r="G63" s="124"/>
      <c r="H63" s="49"/>
      <c r="I63" s="49"/>
      <c r="J63" s="49"/>
      <c r="K63" s="49"/>
      <c r="L63" s="49"/>
      <c r="M63" s="49"/>
      <c r="N63" s="49"/>
      <c r="O63" s="49"/>
      <c r="P63" s="49"/>
      <c r="Q63" s="86">
        <f>Q62*tscale</f>
        <v>1000.0000000000033</v>
      </c>
      <c r="R63" s="49">
        <f t="shared" si="5"/>
        <v>1.8184955750482878</v>
      </c>
      <c r="S63" s="2">
        <f t="shared" si="6"/>
        <v>1.439093938415148E-07</v>
      </c>
    </row>
    <row r="64" spans="1:18" s="3" customFormat="1" ht="13.5" thickTop="1">
      <c r="A64" s="119"/>
      <c r="B64" s="2"/>
      <c r="C64" s="4" t="s">
        <v>298</v>
      </c>
      <c r="D64" s="2"/>
      <c r="E64" s="2"/>
      <c r="G64" s="120"/>
      <c r="H64" s="2"/>
      <c r="I64" s="2"/>
      <c r="J64" s="2"/>
      <c r="K64" s="2"/>
      <c r="L64" s="2"/>
      <c r="M64" s="2"/>
      <c r="Q64" s="11"/>
      <c r="R64" s="2"/>
    </row>
    <row r="65" spans="3:8" ht="12.75">
      <c r="C65" s="2" t="s">
        <v>277</v>
      </c>
      <c r="E65" s="2" t="s">
        <v>190</v>
      </c>
      <c r="F65" s="42" t="str">
        <f>IF(OR(CM=1,AND(OR(CM=2,CM=3),GM_opt="No")),"a",IF(AND(CM&gt;1,AND(GM_opt="Yes",Cont_Type="Organic")),"b","c"))</f>
        <v>a</v>
      </c>
      <c r="G65" s="120"/>
      <c r="H65" s="3"/>
    </row>
    <row r="66" ht="12.75"/>
    <row r="67" spans="1:7" ht="12.75">
      <c r="A67" s="118">
        <f>IF(Solution_type="a",0,1)</f>
        <v>0</v>
      </c>
      <c r="C67" s="39" t="s">
        <v>9</v>
      </c>
      <c r="D67" s="48"/>
      <c r="E67" s="44"/>
      <c r="F67" s="44"/>
      <c r="G67" s="120"/>
    </row>
    <row r="68" spans="1:7" ht="12.75">
      <c r="A68" s="118">
        <f>IF(Solution_type="a",0,1)</f>
        <v>0</v>
      </c>
      <c r="C68" s="3"/>
      <c r="D68" s="3" t="s">
        <v>10</v>
      </c>
      <c r="E68" s="3" t="s">
        <v>11</v>
      </c>
      <c r="F68" s="3" t="s">
        <v>12</v>
      </c>
      <c r="G68" s="120"/>
    </row>
    <row r="69" spans="1:7" ht="12.75">
      <c r="A69" s="118">
        <f>IF(Solution_type="a",0,1)</f>
        <v>0</v>
      </c>
      <c r="C69" s="3" t="s">
        <v>13</v>
      </c>
      <c r="D69" s="3">
        <v>0.21</v>
      </c>
      <c r="E69" s="3">
        <v>1.15</v>
      </c>
      <c r="F69" s="1">
        <f>IF(GM_contact="Good contact",Cq0 Good,IF(GM_contact="Poor contact",Cq0 Poor,0))</f>
        <v>0.21</v>
      </c>
      <c r="G69" s="120"/>
    </row>
    <row r="70" spans="1:7" ht="12.75">
      <c r="A70" s="118">
        <f>IF(Solution_type="a",0,1)</f>
        <v>0</v>
      </c>
      <c r="C70" s="3" t="s">
        <v>14</v>
      </c>
      <c r="D70" s="3">
        <v>0.52</v>
      </c>
      <c r="E70" s="3">
        <v>1.22</v>
      </c>
      <c r="F70" s="1">
        <f>IF(GM_contact="Good contact",Cq8_ Good,IF(GM_contact="Poor contact",Cq8_ Poor,0))</f>
        <v>0.52</v>
      </c>
      <c r="G70" s="120"/>
    </row>
    <row r="71" spans="3:9" ht="12.75">
      <c r="C71" s="3"/>
      <c r="D71" s="28"/>
      <c r="E71" s="28"/>
      <c r="F71" s="28"/>
      <c r="G71" s="122"/>
      <c r="H71" s="5"/>
      <c r="I71" s="5"/>
    </row>
    <row r="72" spans="1:9" ht="12.75">
      <c r="A72" s="118">
        <f>IF(Solution_type="a",0,1)</f>
        <v>0</v>
      </c>
      <c r="C72" s="10"/>
      <c r="D72" s="5"/>
      <c r="E72" s="28" t="s">
        <v>15</v>
      </c>
      <c r="F72" s="89">
        <f>(ABS(Head_outLF-Head_inLF)/(thick_cl+IF(GM_opt="Yes",thick_gm,0)))</f>
        <v>4.985044865403789</v>
      </c>
      <c r="G72" s="125"/>
      <c r="H72" s="5"/>
      <c r="I72" s="5"/>
    </row>
    <row r="73" spans="1:9" ht="12.75">
      <c r="A73" s="118">
        <f>IF(Solution_type="a",0,1)</f>
        <v>0</v>
      </c>
      <c r="C73" s="10"/>
      <c r="D73" s="5"/>
      <c r="E73" s="28" t="s">
        <v>16</v>
      </c>
      <c r="F73" s="89">
        <f>(ABS(Head_outLF-Head_inLF)/(thick_cl+IF(GM_opt="Yes",thick_gm,0)))</f>
        <v>4.985044865403789</v>
      </c>
      <c r="G73" s="125"/>
      <c r="H73" s="5"/>
      <c r="I73" s="5"/>
    </row>
    <row r="74" spans="3:8" ht="12.75">
      <c r="C74" s="3"/>
      <c r="D74" s="3"/>
      <c r="E74" s="3"/>
      <c r="F74" s="3"/>
      <c r="G74" s="120"/>
      <c r="H74" s="3"/>
    </row>
    <row r="75" spans="3:9" ht="12.75">
      <c r="C75" s="39" t="s">
        <v>102</v>
      </c>
      <c r="D75" s="44"/>
      <c r="E75" s="44"/>
      <c r="F75" s="44"/>
      <c r="G75" s="120"/>
      <c r="H75" s="3"/>
      <c r="I75" s="11"/>
    </row>
    <row r="76" spans="3:9" ht="13.5" customHeight="1">
      <c r="C76" s="28" t="s">
        <v>187</v>
      </c>
      <c r="D76" s="28" t="s">
        <v>188</v>
      </c>
      <c r="E76" s="99">
        <v>0</v>
      </c>
      <c r="F76" s="3" t="s">
        <v>50</v>
      </c>
      <c r="G76" s="120"/>
      <c r="H76" s="3"/>
      <c r="I76" s="11"/>
    </row>
    <row r="77" spans="1:8" ht="24.75" customHeight="1">
      <c r="A77" s="118">
        <f>IF(Solution_type="a",0,1)</f>
        <v>0</v>
      </c>
      <c r="C77" s="117" t="s">
        <v>209</v>
      </c>
      <c r="D77" s="87" t="s">
        <v>100</v>
      </c>
      <c r="E77" s="58">
        <f>Dw_gm</f>
        <v>2.9E-14</v>
      </c>
      <c r="F77" s="59" t="s">
        <v>84</v>
      </c>
      <c r="G77" s="119"/>
      <c r="H77" s="3"/>
    </row>
    <row r="78" spans="1:8" ht="12.75">
      <c r="A78" s="118">
        <f>IF(Solution_type="a",0,1)</f>
        <v>0</v>
      </c>
      <c r="C78" s="53" t="s">
        <v>202</v>
      </c>
      <c r="D78" s="87" t="s">
        <v>203</v>
      </c>
      <c r="E78" s="58">
        <f>((Dw_cl+Dt_def))</f>
        <v>100.000000005</v>
      </c>
      <c r="F78" s="59" t="s">
        <v>84</v>
      </c>
      <c r="G78" s="119"/>
      <c r="H78" s="3"/>
    </row>
    <row r="79" spans="1:8" ht="12.75">
      <c r="A79" s="118">
        <f>IF(Solution_type="a",0,1)</f>
        <v>0</v>
      </c>
      <c r="C79" s="3" t="s">
        <v>122</v>
      </c>
      <c r="D79" s="90" t="s">
        <v>92</v>
      </c>
      <c r="E79" s="9">
        <f>D_mech*ABS(vel_cl)+((1/tau_cl)*(Dw_cl+Dt_cl))</f>
        <v>1E-09</v>
      </c>
      <c r="F79" s="3" t="s">
        <v>84</v>
      </c>
      <c r="G79" s="120"/>
      <c r="H79" s="3"/>
    </row>
    <row r="80" spans="4:8" ht="12.75">
      <c r="D80" s="91"/>
      <c r="H80" s="10"/>
    </row>
    <row r="81" spans="4:8" ht="12.75">
      <c r="D81" s="91"/>
      <c r="H81" s="10"/>
    </row>
    <row r="82" spans="1:8" ht="12.75">
      <c r="A82" s="118">
        <f>IF(Solution_type="a",0,1)</f>
        <v>0</v>
      </c>
      <c r="C82" s="3" t="s">
        <v>201</v>
      </c>
      <c r="D82" s="90" t="s">
        <v>95</v>
      </c>
      <c r="E82" s="9">
        <f>n*pore_radius^2*umax^2/(192*Dw_cl)</f>
        <v>9.492187500000005E-30</v>
      </c>
      <c r="F82" s="3" t="s">
        <v>84</v>
      </c>
      <c r="G82" s="120"/>
      <c r="H82" s="3"/>
    </row>
    <row r="83" spans="1:8" ht="12.75">
      <c r="A83" s="118">
        <f>IF(Solution_type="a",0,1)</f>
        <v>0</v>
      </c>
      <c r="C83" s="53" t="s">
        <v>207</v>
      </c>
      <c r="D83" s="87" t="s">
        <v>208</v>
      </c>
      <c r="E83" s="58">
        <f>IF(Solution_type="a",Conc_LF,IF(OR(Defect_Choice=1,Defect_Choice=4),Dt_def_arr Pin,IF(OR(Defect_Choice=2,Defect_Choice=5),Dt_def_arr Hole,Dt_def_arr Tear)))</f>
        <v>100</v>
      </c>
      <c r="F83" s="59" t="s">
        <v>84</v>
      </c>
      <c r="G83" s="119"/>
      <c r="H83" s="30"/>
    </row>
    <row r="84" spans="3:7" ht="12.75">
      <c r="C84" s="3" t="s">
        <v>124</v>
      </c>
      <c r="D84" s="90" t="s">
        <v>94</v>
      </c>
      <c r="E84" s="1">
        <f>ABS(D_mech*vel_cl)</f>
        <v>0</v>
      </c>
      <c r="F84" s="3" t="s">
        <v>84</v>
      </c>
      <c r="G84" s="120"/>
    </row>
    <row r="85" spans="3:8" ht="12.75">
      <c r="C85" s="3"/>
      <c r="D85" s="31"/>
      <c r="E85" s="30"/>
      <c r="F85" s="3"/>
      <c r="G85" s="120"/>
      <c r="H85" s="62"/>
    </row>
    <row r="86" spans="3:8" ht="12.75">
      <c r="C86" s="39" t="s">
        <v>123</v>
      </c>
      <c r="D86" s="44"/>
      <c r="E86" s="44"/>
      <c r="F86" s="44"/>
      <c r="G86" s="120"/>
      <c r="H86" s="7"/>
    </row>
    <row r="87" spans="1:8" ht="12.75">
      <c r="A87" s="118">
        <f>IF(Solution_type="b",0,1)</f>
        <v>1</v>
      </c>
      <c r="C87" s="53" t="s">
        <v>127</v>
      </c>
      <c r="D87" s="59" t="s">
        <v>49</v>
      </c>
      <c r="E87" s="58">
        <f>IF(Solution_type="a",Conc_LF,IF(OR(Defect_Choice=1,Defect_Choice=4),Conc_def_arr Pin,IF(OR(Defect_Choice=2,Defect_Choice=5),Conc_def_arr Hole,Conc_def_arr Tear)))</f>
        <v>100</v>
      </c>
      <c r="F87" s="59" t="s">
        <v>52</v>
      </c>
      <c r="G87" s="119"/>
      <c r="H87" s="7"/>
    </row>
    <row r="88" spans="1:8" ht="12.75">
      <c r="A88" s="118">
        <f>IF(Solution_type&lt;&gt;"b",0,1)</f>
        <v>0</v>
      </c>
      <c r="C88" s="53" t="s">
        <v>28</v>
      </c>
      <c r="D88" s="59" t="s">
        <v>60</v>
      </c>
      <c r="E88" s="58">
        <f>Conc_LF*Kd_gm</f>
        <v>20</v>
      </c>
      <c r="F88" s="59" t="s">
        <v>52</v>
      </c>
      <c r="G88" s="119"/>
      <c r="H88" s="7"/>
    </row>
    <row r="89" spans="3:7" ht="12.75">
      <c r="C89" s="3"/>
      <c r="D89" s="61"/>
      <c r="E89" s="30"/>
      <c r="F89" s="3"/>
      <c r="G89" s="120"/>
    </row>
    <row r="90" spans="3:9" ht="12.75">
      <c r="C90" s="3"/>
      <c r="D90" s="61"/>
      <c r="E90" s="3"/>
      <c r="F90" s="3"/>
      <c r="G90" s="120"/>
      <c r="H90" s="3"/>
      <c r="I90" s="10"/>
    </row>
    <row r="91" spans="1:9" ht="12.75">
      <c r="A91" s="118">
        <f aca="true" t="shared" si="7" ref="A91:A118">IF(Solution_type="a",0,1)</f>
        <v>0</v>
      </c>
      <c r="C91" s="88" t="s">
        <v>103</v>
      </c>
      <c r="D91" s="59"/>
      <c r="E91" s="87"/>
      <c r="F91" s="59"/>
      <c r="G91" s="119"/>
      <c r="I91" s="55"/>
    </row>
    <row r="92" spans="1:9" ht="12.75">
      <c r="A92" s="118">
        <f t="shared" si="7"/>
        <v>0</v>
      </c>
      <c r="C92" s="53" t="s">
        <v>72</v>
      </c>
      <c r="D92" s="59" t="s">
        <v>73</v>
      </c>
      <c r="E92" s="58">
        <f>SQRT((Cq0 CqBase)/PI())*(A_pin^0.05)*(ABS(Head_outLF-Head_inLF)^0.45)*(k_cl^(-0.13))</f>
        <v>13.707814331625363</v>
      </c>
      <c r="F92" s="59" t="s">
        <v>4</v>
      </c>
      <c r="G92" s="119"/>
      <c r="I92" s="3"/>
    </row>
    <row r="93" spans="1:8" ht="12.75">
      <c r="A93" s="118">
        <f t="shared" si="7"/>
        <v>0</v>
      </c>
      <c r="C93" s="53"/>
      <c r="D93" s="59" t="s">
        <v>74</v>
      </c>
      <c r="E93" s="58">
        <f>SQRT((Cq0 CqBase)/PI())*(A_hole^0.05)*(ABS(Head_outLF-Head_inLF)^0.45)*(k_cl^(-0.13))</f>
        <v>13.555723841109177</v>
      </c>
      <c r="F93" s="59" t="s">
        <v>4</v>
      </c>
      <c r="G93" s="119"/>
      <c r="H93" s="10"/>
    </row>
    <row r="94" spans="1:8" ht="12.75">
      <c r="A94" s="118">
        <f t="shared" si="7"/>
        <v>0</v>
      </c>
      <c r="C94" s="53"/>
      <c r="D94" s="59" t="s">
        <v>75</v>
      </c>
      <c r="E94" s="58">
        <f>SQRT((Cq0 CqBase)/PI())*(w_tear^0.1)*(ABS(Head_outLF-Head_inLF)^0.45)*(k_cl^(-0.13))</f>
        <v>13.093966123000005</v>
      </c>
      <c r="F94" s="59" t="s">
        <v>4</v>
      </c>
      <c r="G94" s="119"/>
      <c r="H94" s="3"/>
    </row>
    <row r="95" spans="3:9" ht="12.75">
      <c r="C95" s="53"/>
      <c r="D95" s="59"/>
      <c r="E95" s="87"/>
      <c r="F95" s="59"/>
      <c r="G95" s="119"/>
      <c r="H95" s="3"/>
      <c r="I95" s="10"/>
    </row>
    <row r="96" spans="1:8" ht="12.75">
      <c r="A96" s="118">
        <f t="shared" si="7"/>
        <v>0</v>
      </c>
      <c r="C96" s="53" t="s">
        <v>76</v>
      </c>
      <c r="D96" s="59" t="s">
        <v>77</v>
      </c>
      <c r="E96" s="58">
        <f>PI()*WR_pin^2</f>
        <v>590.3183718328455</v>
      </c>
      <c r="F96" s="59" t="s">
        <v>2</v>
      </c>
      <c r="G96" s="119"/>
      <c r="H96" s="3"/>
    </row>
    <row r="97" spans="1:8" ht="12.75">
      <c r="A97" s="118">
        <f t="shared" si="7"/>
        <v>0</v>
      </c>
      <c r="C97" s="53"/>
      <c r="D97" s="59" t="s">
        <v>78</v>
      </c>
      <c r="E97" s="58">
        <f>PI()*WR_hole^2</f>
        <v>577.2916796882486</v>
      </c>
      <c r="F97" s="59" t="s">
        <v>2</v>
      </c>
      <c r="G97" s="119"/>
      <c r="H97" s="3"/>
    </row>
    <row r="98" spans="1:8" ht="12.75">
      <c r="A98" s="118">
        <f t="shared" si="7"/>
        <v>0</v>
      </c>
      <c r="C98" s="53"/>
      <c r="D98" s="59" t="s">
        <v>79</v>
      </c>
      <c r="E98" s="58">
        <f>PI()*WR_tear^2+(WR_tear*2*(l_tear-w_tear))</f>
        <v>564.793927202589</v>
      </c>
      <c r="F98" s="59" t="s">
        <v>2</v>
      </c>
      <c r="G98" s="119"/>
      <c r="H98" s="3"/>
    </row>
    <row r="99" spans="3:8" ht="12.75">
      <c r="C99" s="53"/>
      <c r="D99" s="59"/>
      <c r="E99" s="87"/>
      <c r="F99" s="59"/>
      <c r="G99" s="119"/>
      <c r="H99" s="3"/>
    </row>
    <row r="100" spans="1:8" ht="12.75">
      <c r="A100" s="118">
        <f t="shared" si="7"/>
        <v>0</v>
      </c>
      <c r="C100" s="53" t="s">
        <v>80</v>
      </c>
      <c r="D100" s="59" t="s">
        <v>82</v>
      </c>
      <c r="E100" s="58">
        <f>MIN((1-IF(CM=1,0,IF(GM_delam="Yes",Frac_Delam,0)))*Area_contact*(n_pin*CZ_Pin+n_hole*CZ_hole+n_tear*CZ_tear),(1-IF(CM=1,0,IF(GM_delam="Yes",Frac_Delam,0)))*Area_contact)</f>
        <v>35380.171168986286</v>
      </c>
      <c r="F100" s="59" t="s">
        <v>2</v>
      </c>
      <c r="G100" s="119"/>
      <c r="H100" s="3"/>
    </row>
    <row r="101" spans="1:8" ht="12.75">
      <c r="A101" s="118">
        <f t="shared" si="7"/>
        <v>0</v>
      </c>
      <c r="C101" s="53" t="s">
        <v>81</v>
      </c>
      <c r="D101" s="59" t="s">
        <v>83</v>
      </c>
      <c r="E101" s="58">
        <f>(1-IF(CM=1,0,IF(GM_delam="Yes",Frac_Delam,0)))*Area_contact*(A_pin*n_pin+A_hole*n_hole+l_tear*w_tear*n_tear)</f>
        <v>0.012309800000000001</v>
      </c>
      <c r="F101" s="59" t="s">
        <v>2</v>
      </c>
      <c r="G101" s="119"/>
      <c r="H101" s="3"/>
    </row>
    <row r="102" spans="3:8" ht="12.75">
      <c r="C102" s="53"/>
      <c r="D102" s="59"/>
      <c r="E102" s="87"/>
      <c r="F102" s="59"/>
      <c r="G102" s="119"/>
      <c r="H102" s="3"/>
    </row>
    <row r="103" spans="1:10" ht="12.75">
      <c r="A103" s="118">
        <f t="shared" si="7"/>
        <v>0</v>
      </c>
      <c r="C103" s="53" t="s">
        <v>105</v>
      </c>
      <c r="D103" s="59" t="s">
        <v>35</v>
      </c>
      <c r="E103" s="58">
        <f>IF(CM=1,LFbase_elev-Aqbound_elev,thick_clbr)</f>
        <v>1</v>
      </c>
      <c r="F103" s="59" t="s">
        <v>4</v>
      </c>
      <c r="G103" s="119"/>
      <c r="H103" s="3"/>
      <c r="I103" s="10"/>
      <c r="J103" s="10"/>
    </row>
    <row r="104" spans="3:10" ht="12.75">
      <c r="C104" s="3"/>
      <c r="D104" s="61"/>
      <c r="E104" s="3"/>
      <c r="F104" s="3"/>
      <c r="G104" s="120"/>
      <c r="H104" s="3"/>
      <c r="I104" s="54"/>
      <c r="J104" s="10"/>
    </row>
    <row r="105" spans="1:8" ht="12.75">
      <c r="A105" s="118">
        <f t="shared" si="7"/>
        <v>0</v>
      </c>
      <c r="C105" s="116" t="s">
        <v>189</v>
      </c>
      <c r="D105" s="59"/>
      <c r="E105" s="87"/>
      <c r="F105" s="59"/>
      <c r="G105" s="119"/>
      <c r="H105" s="3"/>
    </row>
    <row r="106" spans="3:8" ht="12.75">
      <c r="C106" s="147" t="s">
        <v>374</v>
      </c>
      <c r="D106" s="59" t="s">
        <v>366</v>
      </c>
      <c r="E106" s="58">
        <f>((0.4836*(A_pin^0.9))/(Cq0 CqBase*(1+0.1*((ABS(Head_outLF-Head_inLF)/thick_cl)^0.95))*(ABS(Head_outLF-Head_inLF)^0.4)))^(1/0.74)</f>
        <v>1.1906254054620213E-07</v>
      </c>
      <c r="F106" s="59" t="s">
        <v>1</v>
      </c>
      <c r="G106" s="119"/>
      <c r="H106" s="3"/>
    </row>
    <row r="107" spans="3:8" ht="12.75">
      <c r="C107" s="147" t="s">
        <v>370</v>
      </c>
      <c r="D107" s="59" t="s">
        <v>372</v>
      </c>
      <c r="E107" s="58">
        <f>i_avg_0_base*ABS(Head_outLF-Head_inLF)^0.9*(k_cl^0.74)*(A_pin^0.1)*Cq0 CqBase</f>
        <v>2.942763568458848E-10</v>
      </c>
      <c r="F107" s="59" t="s">
        <v>3</v>
      </c>
      <c r="G107" s="119"/>
      <c r="H107" s="3"/>
    </row>
    <row r="108" spans="3:8" ht="12.75">
      <c r="C108" s="147"/>
      <c r="D108" s="59" t="s">
        <v>378</v>
      </c>
      <c r="E108" s="58">
        <f>5.554-0.4324*LOG(1.128*(A_pin^0.5))+0.5405*LOG(ABS(Head_outLF-Head_inLF))+1.3514*LOG(Cq0 CqBase)+1.3514*LOG(1+0.1*(ABS(Head_outLF-Head_inLF)/thick_cl)^0.95)</f>
        <v>6.4270323942906895</v>
      </c>
      <c r="F108" s="59"/>
      <c r="G108" s="119"/>
      <c r="H108" s="3"/>
    </row>
    <row r="109" spans="3:8" ht="12.75">
      <c r="C109" s="147" t="s">
        <v>371</v>
      </c>
      <c r="D109" s="59" t="s">
        <v>373</v>
      </c>
      <c r="E109" s="58">
        <f>10^(0.3195+2*LOG(1.128*(A_pin^0.5))+0.5*LOG(ABS(Head_outLF-Head_inLF))-0.74*((5+2*LOG(1.128*(A_pin^0.5))-LOG(k_cl))/nparam_pin)^nparam_pin)</f>
        <v>7.778475238258764E-59</v>
      </c>
      <c r="F109" s="59" t="s">
        <v>3</v>
      </c>
      <c r="G109" s="119"/>
      <c r="H109" s="3"/>
    </row>
    <row r="110" spans="7:8" ht="12.75">
      <c r="G110" s="119"/>
      <c r="H110" s="3"/>
    </row>
    <row r="111" spans="3:8" ht="12.75">
      <c r="C111" s="147" t="s">
        <v>367</v>
      </c>
      <c r="D111" s="59" t="s">
        <v>368</v>
      </c>
      <c r="E111" s="58">
        <f>(0.4836*(A_hole^0.9)/(Cq0 CqBase*(1+0.1*((ABS(Head_outLF-Head_inLF)/thick_cl)^0.95))*(ABS(Head_outLF-Head_inLF)^0.4)))^(1/0.74)</f>
        <v>9.076357967244019E-08</v>
      </c>
      <c r="F111" s="59" t="s">
        <v>1</v>
      </c>
      <c r="G111" s="119"/>
      <c r="H111" s="3"/>
    </row>
    <row r="112" spans="3:8" ht="12.75">
      <c r="C112" s="147" t="s">
        <v>375</v>
      </c>
      <c r="D112" s="59" t="s">
        <v>376</v>
      </c>
      <c r="E112" s="58">
        <f>i_avg_0_base*ABS(Head_outLF-Head_inLF)^0.9*(k_cl^0.74)*(A_hole^0.1)*Cq0 CqBase</f>
        <v>2.8778249236702296E-10</v>
      </c>
      <c r="F112" s="59" t="s">
        <v>3</v>
      </c>
      <c r="G112" s="119"/>
      <c r="H112" s="3"/>
    </row>
    <row r="113" spans="3:8" ht="12.75">
      <c r="C113" s="147"/>
      <c r="D113" s="59" t="s">
        <v>379</v>
      </c>
      <c r="E113" s="58">
        <f>5.554-0.4324*LOG(1.128*(A_hole^0.5))+0.5405*LOG(ABS(Head_outLF-Head_inLF))+1.3514*LOG(Cq0 CqBase)+1.3514*LOG(1+0.1*(ABS(Head_outLF-Head_inLF)/thick_cl)^0.95)</f>
        <v>6.447984339103031</v>
      </c>
      <c r="F113" s="59"/>
      <c r="G113" s="119"/>
      <c r="H113" s="3"/>
    </row>
    <row r="114" spans="3:8" ht="12.75">
      <c r="C114" s="147" t="s">
        <v>371</v>
      </c>
      <c r="D114" s="59" t="s">
        <v>377</v>
      </c>
      <c r="E114" s="58">
        <f>10^(0.3195+2*LOG(1.128*(A_hole^0.5))+0.5*LOG(ABS(Head_outLF-Head_inLF))-0.74*((5+2*LOG(1.128*(A_hole^0.5))-LOG(k_cl))/nparam_hole)^nparam_hole)</f>
        <v>5.715449755902826E-56</v>
      </c>
      <c r="F114" s="59" t="s">
        <v>3</v>
      </c>
      <c r="G114" s="119"/>
      <c r="H114" s="3"/>
    </row>
    <row r="115" spans="3:8" ht="12.75">
      <c r="C115" s="147"/>
      <c r="D115" s="59"/>
      <c r="E115" s="87"/>
      <c r="F115" s="59"/>
      <c r="G115" s="119"/>
      <c r="H115" s="3"/>
    </row>
    <row r="116" spans="1:8" ht="12.75">
      <c r="A116" s="118">
        <f t="shared" si="7"/>
        <v>0</v>
      </c>
      <c r="C116" s="53" t="s">
        <v>369</v>
      </c>
      <c r="D116" s="59" t="s">
        <v>65</v>
      </c>
      <c r="E116" s="58">
        <f>IF(k_cl&lt;K_Giroud_pin,Q_pin_Giroud,Q_pin_Interp)</f>
        <v>2.942763568458848E-10</v>
      </c>
      <c r="F116" s="59" t="s">
        <v>3</v>
      </c>
      <c r="G116" s="119"/>
      <c r="H116" s="3"/>
    </row>
    <row r="117" spans="1:8" ht="12.75">
      <c r="A117" s="118">
        <f t="shared" si="7"/>
        <v>0</v>
      </c>
      <c r="C117" s="53" t="s">
        <v>69</v>
      </c>
      <c r="D117" s="59" t="s">
        <v>66</v>
      </c>
      <c r="E117" s="58">
        <f>IF(k_cl&lt;K_Giroud_hole,Q_hole_Giroud,Q_hole_Interp)</f>
        <v>2.8778249236702296E-10</v>
      </c>
      <c r="F117" s="59" t="s">
        <v>3</v>
      </c>
      <c r="G117" s="119"/>
      <c r="H117" s="3"/>
    </row>
    <row r="118" spans="1:8" ht="12.75">
      <c r="A118" s="118">
        <f t="shared" si="7"/>
        <v>0</v>
      </c>
      <c r="C118" s="53" t="s">
        <v>68</v>
      </c>
      <c r="D118" s="59" t="s">
        <v>67</v>
      </c>
      <c r="E118" s="58">
        <f>i_avg_0_base*ABS(Head_outLF-Head_inLF)^0.9*(Cq0 CqBase)*(w_tear)^0.2*(k_cl)^0.74+i_avg_8_base*ABS(Head_outLF-Head_inLF)^0.45*(Cq8_ CqBase)*(l_tear-w_tear)*(w_tear)^0.1*(k_cl)^0.87</f>
        <v>2.8162574428474184E-10</v>
      </c>
      <c r="F118" s="59" t="s">
        <v>3</v>
      </c>
      <c r="G118" s="119"/>
      <c r="H118" s="3"/>
    </row>
    <row r="119" spans="3:8" ht="12.75">
      <c r="C119" s="30"/>
      <c r="D119" s="92"/>
      <c r="E119" s="30"/>
      <c r="F119" s="30"/>
      <c r="G119" s="123"/>
      <c r="H119" s="3"/>
    </row>
    <row r="120" spans="3:8" ht="12.75">
      <c r="C120" s="29" t="s">
        <v>62</v>
      </c>
      <c r="D120" s="61"/>
      <c r="E120" s="3"/>
      <c r="F120" s="3"/>
      <c r="G120" s="120"/>
      <c r="H120" s="3"/>
    </row>
    <row r="121" spans="1:8" ht="25.5">
      <c r="A121" s="118">
        <f>IF(Solution_type="a",0,1)</f>
        <v>0</v>
      </c>
      <c r="C121" s="53" t="s">
        <v>64</v>
      </c>
      <c r="D121" s="59" t="s">
        <v>70</v>
      </c>
      <c r="E121" s="58">
        <f>Area_flow*(Q_pin*n_pin+Q_hole*n_hole+Q_tear*n_tear)</f>
        <v>1.76380700010688E-08</v>
      </c>
      <c r="F121" s="59" t="s">
        <v>3</v>
      </c>
      <c r="G121" s="119"/>
      <c r="H121" s="3"/>
    </row>
    <row r="122" spans="3:8" ht="12.75">
      <c r="C122" s="53" t="s">
        <v>63</v>
      </c>
      <c r="D122" s="59" t="s">
        <v>71</v>
      </c>
      <c r="E122" s="58">
        <f>k_cl*(Head_outLF-Head_inLF)*Area_contact/(thick_cl)</f>
        <v>6.1E-08</v>
      </c>
      <c r="F122" s="59" t="s">
        <v>3</v>
      </c>
      <c r="G122" s="119"/>
      <c r="H122" s="3"/>
    </row>
    <row r="123" spans="1:8" ht="12.75">
      <c r="A123" s="118">
        <f>IF((Solution_type&lt;&gt;"b"),0,1)</f>
        <v>0</v>
      </c>
      <c r="C123" s="53" t="s">
        <v>99</v>
      </c>
      <c r="D123" s="59" t="s">
        <v>98</v>
      </c>
      <c r="E123" s="58">
        <v>0</v>
      </c>
      <c r="F123" s="59" t="s">
        <v>3</v>
      </c>
      <c r="G123" s="119"/>
      <c r="H123" s="3"/>
    </row>
    <row r="124" spans="3:7" ht="12.75">
      <c r="C124" s="3" t="s">
        <v>112</v>
      </c>
      <c r="D124" s="61" t="s">
        <v>21</v>
      </c>
      <c r="E124" s="1">
        <f>IF(Solution_type="a",Q_darcy,IF(Solution_type="b",Q_org,MIN(Q_giroud,Q_darcy)))</f>
        <v>6.1E-08</v>
      </c>
      <c r="F124" s="3" t="s">
        <v>3</v>
      </c>
      <c r="G124" s="120"/>
    </row>
    <row r="125" spans="3:9" ht="12.75">
      <c r="C125" s="3"/>
      <c r="D125" s="61"/>
      <c r="E125" s="3"/>
      <c r="F125" s="3"/>
      <c r="G125" s="120"/>
      <c r="I125" s="10"/>
    </row>
    <row r="126" spans="3:9" ht="12.75">
      <c r="C126" s="39" t="s">
        <v>88</v>
      </c>
      <c r="D126" s="93"/>
      <c r="E126" s="44"/>
      <c r="F126" s="44"/>
      <c r="G126" s="120"/>
      <c r="I126" s="55"/>
    </row>
    <row r="127" spans="3:9" ht="12.75">
      <c r="C127" s="28" t="str">
        <f>"Velocity through the clay  "&amp;IF(Solution_type="b","(underlying intact geomembrane)","")</f>
        <v>Velocity through the clay  </v>
      </c>
      <c r="D127" s="61" t="s">
        <v>89</v>
      </c>
      <c r="E127" s="8">
        <f>IF(Solution_type="a",IF(Area_flow=0,0,(Head_inLF-Head_outLF)/ABS(Head_inLF-Head_outLF)*Q/(Area_flow*n)),vel_cl_used)</f>
        <v>-3.08641975308642E-12</v>
      </c>
      <c r="F127" s="3" t="s">
        <v>1</v>
      </c>
      <c r="G127" s="120"/>
      <c r="H127" s="3"/>
      <c r="I127" s="10"/>
    </row>
    <row r="128" spans="1:8" ht="12.75">
      <c r="A128" s="118">
        <f>IF(Solution_type&lt;&gt;"c",0,1)</f>
        <v>0</v>
      </c>
      <c r="C128" s="53" t="s">
        <v>90</v>
      </c>
      <c r="D128" s="59" t="s">
        <v>91</v>
      </c>
      <c r="E128" s="58">
        <f>IF(Solution_type="a",Conc_LF,IF(OR(Defect_Choice=1,Defect_Choice=4),vel_def_arr Pin,IF(OR(Defect_Choice=2,Defect_Choice=5),vel_def_arr Hole,vel_def_arr Tear)))</f>
        <v>100</v>
      </c>
      <c r="F128" s="59" t="s">
        <v>1</v>
      </c>
      <c r="G128" s="119"/>
      <c r="H128" s="3"/>
    </row>
    <row r="129" spans="3:8" ht="12.75">
      <c r="C129" s="28" t="s">
        <v>204</v>
      </c>
      <c r="D129" s="94" t="s">
        <v>0</v>
      </c>
      <c r="E129" s="1">
        <f>1.5*vel_cl*n</f>
        <v>-7.500000000000001E-13</v>
      </c>
      <c r="F129" s="3" t="s">
        <v>1</v>
      </c>
      <c r="G129" s="120"/>
      <c r="H129" s="3"/>
    </row>
    <row r="130" spans="1:9" ht="12.75">
      <c r="A130" s="118">
        <f>IF(Solution_type&lt;&gt;"c",0,1)</f>
        <v>0</v>
      </c>
      <c r="C130" s="53" t="s">
        <v>205</v>
      </c>
      <c r="D130" s="59" t="s">
        <v>206</v>
      </c>
      <c r="E130" s="58">
        <f>IF(Solution_type="a",Conc_LF,IF(OR(Defect_Choice=1,Defect_Choice=4),umax_def_arr Pin,IF(OR(Defect_Choice=2,Defect_Choice=5),umax_def_arr Hole,umax_def_arr Tear)))</f>
        <v>100</v>
      </c>
      <c r="F130" s="59" t="s">
        <v>1</v>
      </c>
      <c r="G130" s="119"/>
      <c r="H130" s="3"/>
      <c r="I130" s="10"/>
    </row>
    <row r="131" spans="3:9" ht="12.75">
      <c r="C131" s="53"/>
      <c r="D131" s="57"/>
      <c r="E131" s="58"/>
      <c r="F131" s="59"/>
      <c r="G131" s="119"/>
      <c r="H131" s="3"/>
      <c r="I131" s="10"/>
    </row>
    <row r="132" spans="1:9" ht="12.75">
      <c r="A132" s="118">
        <f>IF(OR(Solution_type="a",GM_delam="No"),0,1)</f>
        <v>0</v>
      </c>
      <c r="C132" s="39" t="s">
        <v>308</v>
      </c>
      <c r="D132" s="44"/>
      <c r="E132" s="44"/>
      <c r="F132" s="44"/>
      <c r="G132" s="120"/>
      <c r="H132" s="3"/>
      <c r="I132" s="10"/>
    </row>
    <row r="133" spans="1:9" ht="12.75">
      <c r="A133" s="118">
        <f aca="true" t="shared" si="8" ref="A133:A138">IF(OR(Solution_type="a",GM_delam="No"),0,1)</f>
        <v>0</v>
      </c>
      <c r="C133" s="2" t="s">
        <v>309</v>
      </c>
      <c r="D133" s="12" t="s">
        <v>244</v>
      </c>
      <c r="E133" s="58">
        <f>k_cl*(Head_outLF-Head_inLF)*Area_Delam/(thick_cl)</f>
        <v>6.1E-08</v>
      </c>
      <c r="F133" s="59" t="s">
        <v>3</v>
      </c>
      <c r="G133" s="119"/>
      <c r="H133" s="3"/>
      <c r="I133" s="10"/>
    </row>
    <row r="134" spans="1:9" ht="12.75">
      <c r="A134" s="118">
        <f t="shared" si="8"/>
        <v>0</v>
      </c>
      <c r="C134" s="2" t="s">
        <v>310</v>
      </c>
      <c r="D134" s="12" t="s">
        <v>242</v>
      </c>
      <c r="E134" s="58">
        <f>(Head_inLF-Head_outLF)/ABS(Head_inLF-Head_outLF)*Q_Delam/(Area_Delam*n)</f>
        <v>-3.08641975308642E-12</v>
      </c>
      <c r="F134" s="2" t="s">
        <v>1</v>
      </c>
      <c r="H134" s="3"/>
      <c r="I134" s="10"/>
    </row>
    <row r="135" spans="1:9" ht="25.5">
      <c r="A135" s="118">
        <f t="shared" si="8"/>
        <v>0</v>
      </c>
      <c r="C135" s="95" t="s">
        <v>311</v>
      </c>
      <c r="D135" s="12" t="s">
        <v>246</v>
      </c>
      <c r="E135" s="58">
        <f>1.5*vel_delam*n</f>
        <v>-7.500000000000001E-13</v>
      </c>
      <c r="F135" s="2" t="s">
        <v>1</v>
      </c>
      <c r="H135" s="3"/>
      <c r="I135" s="61"/>
    </row>
    <row r="136" spans="1:9" ht="25.5">
      <c r="A136" s="118">
        <f t="shared" si="8"/>
        <v>0</v>
      </c>
      <c r="C136" s="95" t="s">
        <v>314</v>
      </c>
      <c r="D136" s="12" t="s">
        <v>241</v>
      </c>
      <c r="E136" s="58">
        <f>n*pore_radius^2*umax_delam^2/(192*Dw_cl)</f>
        <v>9.492187500000005E-30</v>
      </c>
      <c r="F136" s="3" t="s">
        <v>84</v>
      </c>
      <c r="G136" s="120"/>
      <c r="H136" s="3"/>
      <c r="I136" s="60"/>
    </row>
    <row r="137" spans="1:9" ht="12.75">
      <c r="A137" s="118">
        <f t="shared" si="8"/>
        <v>0</v>
      </c>
      <c r="C137" s="3" t="s">
        <v>312</v>
      </c>
      <c r="D137" s="12" t="s">
        <v>243</v>
      </c>
      <c r="E137" s="58">
        <f>D_mech*ABS(vel_delam)+((1/tau_cl)*(Dw_cl+Dt_Delam))</f>
        <v>1E-09</v>
      </c>
      <c r="F137" s="3" t="s">
        <v>84</v>
      </c>
      <c r="G137" s="120"/>
      <c r="H137" s="3"/>
      <c r="I137" s="60"/>
    </row>
    <row r="138" spans="1:9" ht="12.75">
      <c r="A138" s="118">
        <f t="shared" si="8"/>
        <v>0</v>
      </c>
      <c r="C138" s="2" t="s">
        <v>313</v>
      </c>
      <c r="D138" s="12" t="s">
        <v>247</v>
      </c>
      <c r="E138" s="58">
        <f>Conc_LF</f>
        <v>100</v>
      </c>
      <c r="F138" s="59" t="s">
        <v>52</v>
      </c>
      <c r="G138" s="119"/>
      <c r="H138" s="3"/>
      <c r="I138" s="11"/>
    </row>
    <row r="140" spans="3:9" ht="12.75">
      <c r="C140" s="39" t="s">
        <v>128</v>
      </c>
      <c r="D140" s="44"/>
      <c r="E140" s="44"/>
      <c r="F140" s="44"/>
      <c r="G140" s="120"/>
      <c r="I140" s="10"/>
    </row>
    <row r="141" spans="3:9" ht="12.75">
      <c r="C141" s="28" t="s">
        <v>161</v>
      </c>
      <c r="D141" s="28" t="s">
        <v>115</v>
      </c>
      <c r="E141" s="1">
        <f>IF(Solution_type="a",Conc_LF,IF(Solution_type="b",Conc_gm,Conc_def))</f>
        <v>100</v>
      </c>
      <c r="F141" s="3" t="s">
        <v>52</v>
      </c>
      <c r="G141" s="120"/>
      <c r="I141" s="10"/>
    </row>
    <row r="142" spans="3:9" ht="12.75">
      <c r="C142" s="28" t="s">
        <v>117</v>
      </c>
      <c r="D142" s="28" t="s">
        <v>116</v>
      </c>
      <c r="E142" s="8">
        <f>MAX(R13:R63)</f>
        <v>1.8186113280623752</v>
      </c>
      <c r="F142" s="3" t="s">
        <v>52</v>
      </c>
      <c r="G142" s="120"/>
      <c r="I142" s="10"/>
    </row>
    <row r="143" spans="3:8" ht="12.75">
      <c r="C143" s="28" t="s">
        <v>119</v>
      </c>
      <c r="D143" s="28" t="s">
        <v>118</v>
      </c>
      <c r="E143" s="1">
        <f>IF(Solution_type="b",D_org,D_cl)</f>
        <v>1E-09</v>
      </c>
      <c r="F143" s="3" t="s">
        <v>84</v>
      </c>
      <c r="G143" s="120"/>
      <c r="H143" s="3"/>
    </row>
    <row r="144" spans="3:8" ht="12.75">
      <c r="C144" s="28" t="s">
        <v>120</v>
      </c>
      <c r="D144" s="28" t="s">
        <v>121</v>
      </c>
      <c r="E144" s="1">
        <f>IF(Solution_type="b",thick_cl+thick_gm,thick_cl)</f>
        <v>1</v>
      </c>
      <c r="F144" s="3" t="s">
        <v>4</v>
      </c>
      <c r="G144" s="120"/>
      <c r="H144" s="3"/>
    </row>
    <row r="145" spans="3:8" ht="12.75">
      <c r="C145" s="28" t="s">
        <v>191</v>
      </c>
      <c r="D145" s="28" t="s">
        <v>85</v>
      </c>
      <c r="E145" s="1">
        <f>IF(Solution_type="c",Area_CZ,Area_contact*(1-IF(OR(Solution_type="a",CM=1),0,IF(GM_delam="Yes",Frac_Delam,0))))</f>
        <v>122000</v>
      </c>
      <c r="F145" s="28" t="s">
        <v>2</v>
      </c>
      <c r="G145" s="122"/>
      <c r="H145" s="3"/>
    </row>
    <row r="146" spans="3:8" ht="12.75">
      <c r="C146" s="28" t="s">
        <v>192</v>
      </c>
      <c r="D146" s="28" t="s">
        <v>193</v>
      </c>
      <c r="E146" s="1">
        <f>IF(OR(Solution_type="c",Solution_type="b"),Area_CZ,(1-IF(OR(Solution_type="a",CM=1),0,IF(GM_delam="Yes",Frac_Delam,0)))*Area_contact)</f>
        <v>122000</v>
      </c>
      <c r="F146" s="28" t="s">
        <v>2</v>
      </c>
      <c r="G146" s="122"/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spans="3:7" ht="12.75">
      <c r="C151" s="3"/>
      <c r="D151" s="3"/>
      <c r="E151" s="3"/>
      <c r="F151" s="3"/>
      <c r="G151" s="120"/>
    </row>
    <row r="152" ht="12.75">
      <c r="C152" s="2">
        <f>IF(D162&lt;0,C164,IF(D157&lt;=0,IF(CM=3,C169,C165),IF(D161&lt;0,C170,IF(D158&lt;=0,C166,IF(D159&lt;=0,C167,IF(D160&lt;=0,C168,IF(Cont_Class="List II",IF(K14&gt;0.1*Conc_LF,C153,""),"")))))))</f>
      </c>
    </row>
    <row r="153" ht="12.75">
      <c r="C153" s="2" t="s">
        <v>343</v>
      </c>
    </row>
    <row r="154" ht="12.75">
      <c r="C154" s="2" t="s">
        <v>348</v>
      </c>
    </row>
    <row r="155" spans="3:8" ht="12.75">
      <c r="C155" s="2" t="s">
        <v>364</v>
      </c>
      <c r="D155" s="2">
        <f>IF(Area_Delam=0,0,1)</f>
        <v>1</v>
      </c>
      <c r="H155" s="3"/>
    </row>
    <row r="156" spans="3:8" ht="12.75">
      <c r="C156" s="2" t="s">
        <v>365</v>
      </c>
      <c r="D156" s="2">
        <f>IF(D50*D52*D54*D55=0,0,1)</f>
        <v>1</v>
      </c>
      <c r="H156" s="3"/>
    </row>
    <row r="157" spans="3:8" ht="12.75">
      <c r="C157" s="2" t="s">
        <v>280</v>
      </c>
      <c r="D157" s="2">
        <f>IF(LEN(LFbase_elev)*LEN(Aqbound_elev)=0,1,IF(CM=3,Aqbound_elev-LFbase_elev,(LFbase_elev-Aqbound_elev)))</f>
        <v>1</v>
      </c>
      <c r="H157" s="3"/>
    </row>
    <row r="158" spans="3:8" ht="12.75">
      <c r="C158" s="2" t="s">
        <v>279</v>
      </c>
      <c r="D158" s="2">
        <f>IF(LEN(Head_inLF)*LEN(LFbase_elev)=0,1,(Head_inLF-LFbase_elev))</f>
        <v>3</v>
      </c>
      <c r="H158" s="3"/>
    </row>
    <row r="159" spans="3:8" ht="12.75">
      <c r="C159" s="2" t="s">
        <v>283</v>
      </c>
      <c r="D159" s="2">
        <f>IF(LEN(Head_outLF)*LEN(LFbase_elev)=0,1,(Head_outLF-LFbase_elev))</f>
        <v>8</v>
      </c>
      <c r="H159" s="3"/>
    </row>
    <row r="160" spans="3:8" ht="12.75">
      <c r="C160" s="2" t="s">
        <v>278</v>
      </c>
      <c r="D160" s="2">
        <f>IF(LEN(Head_inLF)*LEN(Head_outLF)=0,1,(Head_outLF-Head_inLF))</f>
        <v>5</v>
      </c>
      <c r="H160" s="3"/>
    </row>
    <row r="161" spans="3:8" ht="12.75">
      <c r="C161" s="2" t="s">
        <v>322</v>
      </c>
      <c r="D161" s="2">
        <f>IF(CM=3,IF(Head_inLF&lt;Aqbound_elev,-1,1),1)</f>
        <v>1</v>
      </c>
      <c r="H161" s="3"/>
    </row>
    <row r="162" spans="3:8" ht="12.75">
      <c r="C162" s="2" t="s">
        <v>302</v>
      </c>
      <c r="D162" s="2">
        <f>IF(GM_delam="Yes",IF(Area_contact&lt;Area_Delam,-1,1),1)</f>
        <v>1</v>
      </c>
      <c r="H162" s="3"/>
    </row>
    <row r="163" spans="3:4" ht="12.75">
      <c r="C163" s="2" t="s">
        <v>284</v>
      </c>
      <c r="D163" s="2">
        <f>LEN(LFbase_elev)*LEN(Aqbound_elev)*LEN(Head_inLF)*LEN(Head_outLF)*MIN(D157:D162)</f>
        <v>4</v>
      </c>
    </row>
    <row r="164" ht="12.75">
      <c r="C164" s="2" t="s">
        <v>316</v>
      </c>
    </row>
    <row r="165" ht="12.75">
      <c r="C165" s="2" t="str">
        <f>"WARNING:  The base of the landfill should be higher than the "&amp;IF(CM=1,"top","base")&amp;" of the aquifer!"</f>
        <v>WARNING:  The base of the landfill should be higher than the top of the aquifer!</v>
      </c>
    </row>
    <row r="166" ht="12.75">
      <c r="C166" s="2" t="s">
        <v>292</v>
      </c>
    </row>
    <row r="167" ht="12.75">
      <c r="C167" s="2" t="s">
        <v>293</v>
      </c>
    </row>
    <row r="168" ht="12.75">
      <c r="C168" s="2" t="s">
        <v>294</v>
      </c>
    </row>
    <row r="169" ht="12.75">
      <c r="C169" s="2" t="s">
        <v>299</v>
      </c>
    </row>
    <row r="170" ht="12.75">
      <c r="C170" s="2" t="s">
        <v>323</v>
      </c>
    </row>
    <row r="171" ht="12.75">
      <c r="C171" s="2" t="s">
        <v>362</v>
      </c>
    </row>
    <row r="172" ht="12.75">
      <c r="C172" s="2" t="s">
        <v>363</v>
      </c>
    </row>
    <row r="173" ht="12.75">
      <c r="C173" s="2">
        <f>IF(Area_delam_check=0,C171,IF(Area_defect_check=0,C172,""))</f>
      </c>
    </row>
    <row r="174" ht="12.75">
      <c r="C174" s="2">
        <f>IF(Area_delam_check=0,C173,IF(Area_defect_check=0,C172,""))</f>
      </c>
    </row>
    <row r="180" spans="12:14" ht="12.75">
      <c r="L180" s="141"/>
      <c r="M180" s="141"/>
      <c r="N180" s="141"/>
    </row>
    <row r="181" spans="12:14" ht="12.75">
      <c r="L181" s="141"/>
      <c r="M181" s="141"/>
      <c r="N181" s="141"/>
    </row>
    <row r="182" spans="12:14" ht="12.75">
      <c r="L182" s="141"/>
      <c r="M182" s="141"/>
      <c r="N182" s="141"/>
    </row>
    <row r="183" spans="12:14" ht="12.75">
      <c r="L183" s="141"/>
      <c r="M183" s="141"/>
      <c r="N183" s="141"/>
    </row>
    <row r="184" spans="12:14" ht="12.75">
      <c r="L184" s="141"/>
      <c r="M184" s="141"/>
      <c r="N184" s="141"/>
    </row>
    <row r="185" spans="12:14" ht="12.75">
      <c r="L185" s="141"/>
      <c r="M185" s="141"/>
      <c r="N185" s="141"/>
    </row>
    <row r="186" spans="12:14" ht="12.75">
      <c r="L186" s="141"/>
      <c r="M186" s="141"/>
      <c r="N186" s="141"/>
    </row>
    <row r="187" spans="12:14" ht="12.75">
      <c r="L187" s="141"/>
      <c r="M187" s="141"/>
      <c r="N187" s="141"/>
    </row>
    <row r="188" spans="12:14" ht="12.75">
      <c r="L188" s="141"/>
      <c r="M188" s="141"/>
      <c r="N188" s="141"/>
    </row>
    <row r="189" spans="12:14" ht="12.75">
      <c r="L189" s="141"/>
      <c r="M189" s="141"/>
      <c r="N189" s="141"/>
    </row>
    <row r="190" spans="12:14" ht="12.75">
      <c r="L190" s="141"/>
      <c r="M190" s="141"/>
      <c r="N190" s="141"/>
    </row>
    <row r="191" spans="12:14" ht="12.75">
      <c r="L191" s="141"/>
      <c r="M191" s="141"/>
      <c r="N191" s="141"/>
    </row>
    <row r="192" spans="12:14" ht="12.75">
      <c r="L192" s="141"/>
      <c r="M192" s="141"/>
      <c r="N192" s="141"/>
    </row>
    <row r="193" spans="12:14" ht="12.75">
      <c r="L193" s="141"/>
      <c r="M193" s="141"/>
      <c r="N193" s="141"/>
    </row>
    <row r="194" spans="12:14" ht="12.75">
      <c r="L194" s="141"/>
      <c r="M194" s="141"/>
      <c r="N194" s="141"/>
    </row>
    <row r="195" spans="12:14" ht="12.75">
      <c r="L195" s="141"/>
      <c r="M195" s="141"/>
      <c r="N195" s="141"/>
    </row>
    <row r="196" spans="12:14" ht="12.75">
      <c r="L196" s="141"/>
      <c r="M196" s="141"/>
      <c r="N196" s="141"/>
    </row>
    <row r="197" spans="12:14" ht="12.75">
      <c r="L197" s="141"/>
      <c r="M197" s="141"/>
      <c r="N197" s="141"/>
    </row>
    <row r="198" spans="12:14" ht="12.75">
      <c r="L198" s="141"/>
      <c r="M198" s="141"/>
      <c r="N198" s="141"/>
    </row>
    <row r="199" spans="12:14" ht="12.75">
      <c r="L199" s="141"/>
      <c r="M199" s="141"/>
      <c r="N199" s="141"/>
    </row>
    <row r="200" spans="12:14" ht="12.75">
      <c r="L200" s="141"/>
      <c r="M200" s="141"/>
      <c r="N200" s="141"/>
    </row>
    <row r="201" spans="12:14" ht="12.75">
      <c r="L201" s="141"/>
      <c r="M201" s="141"/>
      <c r="N201" s="141"/>
    </row>
  </sheetData>
  <sheetProtection password="DF9F" sheet="1" objects="1" scenarios="1"/>
  <mergeCells count="2">
    <mergeCell ref="I2:L2"/>
    <mergeCell ref="I20:L22"/>
  </mergeCells>
  <conditionalFormatting sqref="D35:G35">
    <cfRule type="expression" priority="1" dxfId="0" stopIfTrue="1">
      <formula>CM=1</formula>
    </cfRule>
  </conditionalFormatting>
  <conditionalFormatting sqref="C56:H62 C75:G75 C90:G90 H75:H83 H90:H92 C104:G104">
    <cfRule type="expression" priority="2" dxfId="0" stopIfTrue="1">
      <formula>Solution_type="a"</formula>
    </cfRule>
  </conditionalFormatting>
  <conditionalFormatting sqref="I15:L15">
    <cfRule type="expression" priority="3" dxfId="0" stopIfTrue="1">
      <formula>Cont_Class="List I"</formula>
    </cfRule>
    <cfRule type="expression" priority="4" dxfId="0" stopIfTrue="1">
      <formula>dil="No"</formula>
    </cfRule>
  </conditionalFormatting>
  <conditionalFormatting sqref="B15">
    <cfRule type="expression" priority="5" dxfId="1" stopIfTrue="1">
      <formula>$D$160&lt;=0</formula>
    </cfRule>
  </conditionalFormatting>
  <conditionalFormatting sqref="C6:F6">
    <cfRule type="expression" priority="6" dxfId="0" stopIfTrue="1">
      <formula>$A$6=0</formula>
    </cfRule>
    <cfRule type="expression" priority="7" dxfId="1" stopIfTrue="1">
      <formula>$A$6=2</formula>
    </cfRule>
  </conditionalFormatting>
  <conditionalFormatting sqref="C11:G11">
    <cfRule type="expression" priority="8" dxfId="0" stopIfTrue="1">
      <formula>$A$11=0</formula>
    </cfRule>
    <cfRule type="expression" priority="9" dxfId="1" stopIfTrue="1">
      <formula>$A$11=2</formula>
    </cfRule>
  </conditionalFormatting>
  <conditionalFormatting sqref="C12:G12">
    <cfRule type="expression" priority="10" dxfId="0" stopIfTrue="1">
      <formula>$A$12=0</formula>
    </cfRule>
    <cfRule type="expression" priority="11" dxfId="1" stopIfTrue="1">
      <formula>$A$12=2</formula>
    </cfRule>
  </conditionalFormatting>
  <conditionalFormatting sqref="C13:G13">
    <cfRule type="expression" priority="12" dxfId="0" stopIfTrue="1">
      <formula>$A$13=0</formula>
    </cfRule>
    <cfRule type="expression" priority="13" dxfId="1" stopIfTrue="1">
      <formula>$A$13=2</formula>
    </cfRule>
  </conditionalFormatting>
  <conditionalFormatting sqref="C14:G14">
    <cfRule type="expression" priority="14" dxfId="0" stopIfTrue="1">
      <formula>$A$14=0</formula>
    </cfRule>
    <cfRule type="expression" priority="15" dxfId="1" stopIfTrue="1">
      <formula>$A$14=2</formula>
    </cfRule>
  </conditionalFormatting>
  <conditionalFormatting sqref="C15:G15">
    <cfRule type="expression" priority="16" dxfId="0" stopIfTrue="1">
      <formula>$A$15=0</formula>
    </cfRule>
    <cfRule type="expression" priority="17" dxfId="1" stopIfTrue="1">
      <formula>$A$15=2</formula>
    </cfRule>
  </conditionalFormatting>
  <conditionalFormatting sqref="C31:G31">
    <cfRule type="expression" priority="18" dxfId="0" stopIfTrue="1">
      <formula>$A$31=0</formula>
    </cfRule>
  </conditionalFormatting>
  <conditionalFormatting sqref="C32:G32">
    <cfRule type="expression" priority="19" dxfId="0" stopIfTrue="1">
      <formula>$A$32=0</formula>
    </cfRule>
  </conditionalFormatting>
  <conditionalFormatting sqref="C42:G42 B42:B46">
    <cfRule type="expression" priority="20" dxfId="0" stopIfTrue="1">
      <formula>$A$42=0</formula>
    </cfRule>
  </conditionalFormatting>
  <conditionalFormatting sqref="C43:G43">
    <cfRule type="expression" priority="21" dxfId="0" stopIfTrue="1">
      <formula>$A$43=0</formula>
    </cfRule>
  </conditionalFormatting>
  <conditionalFormatting sqref="C44:G44">
    <cfRule type="expression" priority="22" dxfId="0" stopIfTrue="1">
      <formula>$A$44=0</formula>
    </cfRule>
  </conditionalFormatting>
  <conditionalFormatting sqref="C45:G45">
    <cfRule type="expression" priority="23" dxfId="0" stopIfTrue="1">
      <formula>$A$45=0</formula>
    </cfRule>
  </conditionalFormatting>
  <conditionalFormatting sqref="C46:G46">
    <cfRule type="expression" priority="24" dxfId="0" stopIfTrue="1">
      <formula>$A$46=0</formula>
    </cfRule>
  </conditionalFormatting>
  <conditionalFormatting sqref="C48:H48">
    <cfRule type="expression" priority="25" dxfId="0" stopIfTrue="1">
      <formula>$A$48=0</formula>
    </cfRule>
  </conditionalFormatting>
  <conditionalFormatting sqref="C49:H49">
    <cfRule type="expression" priority="26" dxfId="0" stopIfTrue="1">
      <formula>$A$49=0</formula>
    </cfRule>
  </conditionalFormatting>
  <conditionalFormatting sqref="C50:H50">
    <cfRule type="expression" priority="27" dxfId="0" stopIfTrue="1">
      <formula>$A$50=0</formula>
    </cfRule>
  </conditionalFormatting>
  <conditionalFormatting sqref="C51:H51">
    <cfRule type="expression" priority="28" dxfId="0" stopIfTrue="1">
      <formula>$A$51=0</formula>
    </cfRule>
  </conditionalFormatting>
  <conditionalFormatting sqref="C52:H52">
    <cfRule type="expression" priority="29" dxfId="0" stopIfTrue="1">
      <formula>$A$52=0</formula>
    </cfRule>
  </conditionalFormatting>
  <conditionalFormatting sqref="C53:H53">
    <cfRule type="expression" priority="30" dxfId="0" stopIfTrue="1">
      <formula>$A$53=0</formula>
    </cfRule>
  </conditionalFormatting>
  <conditionalFormatting sqref="C54:H54">
    <cfRule type="expression" priority="31" dxfId="0" stopIfTrue="1">
      <formula>$A$54=0</formula>
    </cfRule>
  </conditionalFormatting>
  <conditionalFormatting sqref="C55:H55">
    <cfRule type="expression" priority="32" dxfId="0" stopIfTrue="1">
      <formula>$A$55=0</formula>
    </cfRule>
  </conditionalFormatting>
  <conditionalFormatting sqref="C67:G67">
    <cfRule type="expression" priority="33" dxfId="0" stopIfTrue="1">
      <formula>$A$67=0</formula>
    </cfRule>
  </conditionalFormatting>
  <conditionalFormatting sqref="C68:G68 C71:G71">
    <cfRule type="expression" priority="34" dxfId="0" stopIfTrue="1">
      <formula>$A$68=0</formula>
    </cfRule>
  </conditionalFormatting>
  <conditionalFormatting sqref="C69:G69">
    <cfRule type="expression" priority="35" dxfId="0" stopIfTrue="1">
      <formula>$A$69=0</formula>
    </cfRule>
  </conditionalFormatting>
  <conditionalFormatting sqref="C70:G70">
    <cfRule type="expression" priority="36" dxfId="0" stopIfTrue="1">
      <formula>$A$70=0</formula>
    </cfRule>
  </conditionalFormatting>
  <conditionalFormatting sqref="C72:G72">
    <cfRule type="expression" priority="37" dxfId="0" stopIfTrue="1">
      <formula>$A$72=0</formula>
    </cfRule>
  </conditionalFormatting>
  <conditionalFormatting sqref="C73:G73">
    <cfRule type="expression" priority="38" dxfId="0" stopIfTrue="1">
      <formula>$A$73=0</formula>
    </cfRule>
  </conditionalFormatting>
  <conditionalFormatting sqref="C77:G77">
    <cfRule type="expression" priority="39" dxfId="0" stopIfTrue="1">
      <formula>$A$77=0</formula>
    </cfRule>
  </conditionalFormatting>
  <conditionalFormatting sqref="C78:G78">
    <cfRule type="expression" priority="40" dxfId="0" stopIfTrue="1">
      <formula>$A$78=0</formula>
    </cfRule>
  </conditionalFormatting>
  <conditionalFormatting sqref="C82:G82">
    <cfRule type="expression" priority="41" dxfId="0" stopIfTrue="1">
      <formula>$A$82=0</formula>
    </cfRule>
  </conditionalFormatting>
  <conditionalFormatting sqref="C83:D83 F83:G83">
    <cfRule type="expression" priority="42" dxfId="0" stopIfTrue="1">
      <formula>$A$83=0</formula>
    </cfRule>
  </conditionalFormatting>
  <conditionalFormatting sqref="C79:G79">
    <cfRule type="expression" priority="43" dxfId="0" stopIfTrue="1">
      <formula>$A$79=0</formula>
    </cfRule>
  </conditionalFormatting>
  <conditionalFormatting sqref="C87:G87">
    <cfRule type="expression" priority="44" dxfId="0" stopIfTrue="1">
      <formula>$A$87=0</formula>
    </cfRule>
  </conditionalFormatting>
  <conditionalFormatting sqref="C88:G88">
    <cfRule type="expression" priority="45" dxfId="0" stopIfTrue="1">
      <formula>$A$88=0</formula>
    </cfRule>
  </conditionalFormatting>
  <conditionalFormatting sqref="C91:G91 C99:G99 C102:G102">
    <cfRule type="expression" priority="46" dxfId="0" stopIfTrue="1">
      <formula>$A$91=0</formula>
    </cfRule>
  </conditionalFormatting>
  <conditionalFormatting sqref="C92:G92 E106 E111">
    <cfRule type="expression" priority="47" dxfId="0" stopIfTrue="1">
      <formula>$A$92=0</formula>
    </cfRule>
  </conditionalFormatting>
  <conditionalFormatting sqref="C93:G93">
    <cfRule type="expression" priority="48" dxfId="0" stopIfTrue="1">
      <formula>$A$93=0</formula>
    </cfRule>
  </conditionalFormatting>
  <conditionalFormatting sqref="C94:G95 E108 E113">
    <cfRule type="expression" priority="49" dxfId="0" stopIfTrue="1">
      <formula>$A$94=0</formula>
    </cfRule>
  </conditionalFormatting>
  <conditionalFormatting sqref="C96:G96">
    <cfRule type="expression" priority="50" dxfId="0" stopIfTrue="1">
      <formula>$A$96=0</formula>
    </cfRule>
  </conditionalFormatting>
  <conditionalFormatting sqref="C97:G97">
    <cfRule type="expression" priority="51" dxfId="0" stopIfTrue="1">
      <formula>$A$97=0</formula>
    </cfRule>
  </conditionalFormatting>
  <conditionalFormatting sqref="C98:G98">
    <cfRule type="expression" priority="52" dxfId="0" stopIfTrue="1">
      <formula>$A$98=0</formula>
    </cfRule>
  </conditionalFormatting>
  <conditionalFormatting sqref="C100:G100">
    <cfRule type="expression" priority="53" dxfId="0" stopIfTrue="1">
      <formula>$A$100=0</formula>
    </cfRule>
  </conditionalFormatting>
  <conditionalFormatting sqref="C101:G101">
    <cfRule type="expression" priority="54" dxfId="0" stopIfTrue="1">
      <formula>$A$101=0</formula>
    </cfRule>
  </conditionalFormatting>
  <conditionalFormatting sqref="C103:G103">
    <cfRule type="expression" priority="55" dxfId="0" stopIfTrue="1">
      <formula>$A$103=0</formula>
    </cfRule>
  </conditionalFormatting>
  <conditionalFormatting sqref="G105:G115 C115:F115 F111 E105 C105:D109 F105:F106 C111:D114">
    <cfRule type="expression" priority="56" dxfId="0" stopIfTrue="1">
      <formula>$A$105=0</formula>
    </cfRule>
  </conditionalFormatting>
  <conditionalFormatting sqref="C116:G116 F107:F108 F112:F113 E117">
    <cfRule type="expression" priority="57" dxfId="0" stopIfTrue="1">
      <formula>$A$116=0</formula>
    </cfRule>
  </conditionalFormatting>
  <conditionalFormatting sqref="F109 F114 C117:D117 F117:G117">
    <cfRule type="expression" priority="58" dxfId="0" stopIfTrue="1">
      <formula>$A$117=0</formula>
    </cfRule>
  </conditionalFormatting>
  <conditionalFormatting sqref="C118:G118">
    <cfRule type="expression" priority="59" dxfId="0" stopIfTrue="1">
      <formula>$A$118=0</formula>
    </cfRule>
  </conditionalFormatting>
  <conditionalFormatting sqref="C121:G121">
    <cfRule type="expression" priority="60" dxfId="0" stopIfTrue="1">
      <formula>$A$121=0</formula>
    </cfRule>
  </conditionalFormatting>
  <conditionalFormatting sqref="C123:G123">
    <cfRule type="expression" priority="61" dxfId="0" stopIfTrue="1">
      <formula>$A$123=0</formula>
    </cfRule>
  </conditionalFormatting>
  <conditionalFormatting sqref="C128:G128 E130 E83">
    <cfRule type="expression" priority="62" dxfId="0" stopIfTrue="1">
      <formula>$A$128=0</formula>
    </cfRule>
  </conditionalFormatting>
  <conditionalFormatting sqref="C130:D131 F130:G131 E131">
    <cfRule type="expression" priority="63" dxfId="0" stopIfTrue="1">
      <formula>$A$130=0</formula>
    </cfRule>
  </conditionalFormatting>
  <conditionalFormatting sqref="C132:G132">
    <cfRule type="expression" priority="64" dxfId="2" stopIfTrue="1">
      <formula>$A$132=0</formula>
    </cfRule>
  </conditionalFormatting>
  <conditionalFormatting sqref="C133:G133">
    <cfRule type="expression" priority="65" dxfId="2" stopIfTrue="1">
      <formula>$A$133=0</formula>
    </cfRule>
  </conditionalFormatting>
  <conditionalFormatting sqref="C134:G134">
    <cfRule type="expression" priority="66" dxfId="2" stopIfTrue="1">
      <formula>$A$134=0</formula>
    </cfRule>
  </conditionalFormatting>
  <conditionalFormatting sqref="C135:G135">
    <cfRule type="expression" priority="67" dxfId="2" stopIfTrue="1">
      <formula>$A$135=0</formula>
    </cfRule>
  </conditionalFormatting>
  <conditionalFormatting sqref="C136:G136">
    <cfRule type="expression" priority="68" dxfId="2" stopIfTrue="1">
      <formula>$A$136=0</formula>
    </cfRule>
  </conditionalFormatting>
  <conditionalFormatting sqref="C137:G137">
    <cfRule type="expression" priority="69" dxfId="2" stopIfTrue="1">
      <formula>$A$137=0</formula>
    </cfRule>
  </conditionalFormatting>
  <conditionalFormatting sqref="C138:G138">
    <cfRule type="expression" priority="70" dxfId="2" stopIfTrue="1">
      <formula>$A$138=0</formula>
    </cfRule>
  </conditionalFormatting>
  <conditionalFormatting sqref="I4:L4">
    <cfRule type="expression" priority="71" dxfId="0" stopIfTrue="1">
      <formula>$G$4=0</formula>
    </cfRule>
  </conditionalFormatting>
  <conditionalFormatting sqref="I5:L5">
    <cfRule type="expression" priority="72" dxfId="0" stopIfTrue="1">
      <formula>$G$5=0</formula>
    </cfRule>
  </conditionalFormatting>
  <conditionalFormatting sqref="I6:L6">
    <cfRule type="expression" priority="73" dxfId="0" stopIfTrue="1">
      <formula>$G$6=0</formula>
    </cfRule>
  </conditionalFormatting>
  <conditionalFormatting sqref="I7:L7">
    <cfRule type="expression" priority="74" dxfId="0" stopIfTrue="1">
      <formula>$G$7=0</formula>
    </cfRule>
  </conditionalFormatting>
  <conditionalFormatting sqref="I8:L8">
    <cfRule type="expression" priority="75" dxfId="0" stopIfTrue="1">
      <formula>$G$8=0</formula>
    </cfRule>
  </conditionalFormatting>
  <conditionalFormatting sqref="I9:L9 K10">
    <cfRule type="expression" priority="76" dxfId="0" stopIfTrue="1">
      <formula>$G$9=0</formula>
    </cfRule>
  </conditionalFormatting>
  <conditionalFormatting sqref="I10:J10 L10">
    <cfRule type="expression" priority="77" dxfId="0" stopIfTrue="1">
      <formula>$G$10=0</formula>
    </cfRule>
  </conditionalFormatting>
  <conditionalFormatting sqref="E112">
    <cfRule type="expression" priority="78" dxfId="3" stopIfTrue="1">
      <formula>$E$111&gt;$E$36</formula>
    </cfRule>
  </conditionalFormatting>
  <conditionalFormatting sqref="E114">
    <cfRule type="expression" priority="79" dxfId="3" stopIfTrue="1">
      <formula>$E$111&lt;$E$36</formula>
    </cfRule>
  </conditionalFormatting>
  <conditionalFormatting sqref="E107">
    <cfRule type="expression" priority="80" dxfId="3" stopIfTrue="1">
      <formula>$E$106&gt;$E$36</formula>
    </cfRule>
  </conditionalFormatting>
  <conditionalFormatting sqref="E109">
    <cfRule type="expression" priority="81" dxfId="3" stopIfTrue="1">
      <formula>$E$106&lt;$E$36</formula>
    </cfRule>
  </conditionalFormatting>
  <dataValidations count="10">
    <dataValidation type="list" allowBlank="1" showInputMessage="1" showErrorMessage="1" sqref="E6 E45 E28">
      <formula1>$AF$2:$AF$3</formula1>
    </dataValidation>
    <dataValidation type="list" allowBlank="1" showInputMessage="1" showErrorMessage="1" sqref="E44">
      <formula1>$AI$2:$AI$3</formula1>
    </dataValidation>
    <dataValidation type="list" allowBlank="1" showInputMessage="1" showErrorMessage="1" sqref="E20">
      <formula1>$AH$2:$AH$3</formula1>
    </dataValidation>
    <dataValidation type="list" allowBlank="1" showInputMessage="1" showErrorMessage="1" sqref="E21">
      <formula1>$AH$4:$AH$5</formula1>
    </dataValidation>
    <dataValidation type="decimal" operator="greaterThanOrEqual" allowBlank="1" showInputMessage="1" showErrorMessage="1" sqref="K17">
      <formula1>0</formula1>
    </dataValidation>
    <dataValidation type="decimal" operator="greaterThan" allowBlank="1" showInputMessage="1" showErrorMessage="1" sqref="K18">
      <formula1>K17</formula1>
    </dataValidation>
    <dataValidation type="whole" allowBlank="1" showInputMessage="1" showErrorMessage="1" sqref="E5">
      <formula1>1</formula1>
      <formula2>3</formula2>
    </dataValidation>
    <dataValidation operator="greaterThan" allowBlank="1" showInputMessage="1" showErrorMessage="1" sqref="D50 D55"/>
    <dataValidation operator="greaterThan" allowBlank="1" showInputMessage="1" showErrorMessage="1" error="." sqref="D52"/>
    <dataValidation type="custom" operator="greaterThan" allowBlank="1" showInputMessage="1" showErrorMessage="1" sqref="D54">
      <formula1>0</formula1>
    </dataValidation>
  </dataValidations>
  <printOptions/>
  <pageMargins left="0.75" right="0.75" top="1" bottom="1" header="0.5" footer="0.5"/>
  <pageSetup orientation="landscape" paperSize="9" scale="74" r:id="rId4"/>
  <rowBreaks count="1" manualBreakCount="1">
    <brk id="58" max="255" man="1"/>
  </rowBreaks>
  <colBreaks count="1" manualBreakCount="1">
    <brk id="12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G55"/>
  <sheetViews>
    <sheetView showGridLines="0" zoomScale="75" zoomScaleNormal="75" workbookViewId="0" topLeftCell="B1">
      <selection activeCell="E5" sqref="E5"/>
    </sheetView>
  </sheetViews>
  <sheetFormatPr defaultColWidth="9.140625" defaultRowHeight="12.75"/>
  <cols>
    <col min="1" max="1" width="1.421875" style="0" hidden="1" customWidth="1"/>
    <col min="2" max="2" width="0.85546875" style="0" customWidth="1"/>
    <col min="3" max="3" width="52.28125" style="0" customWidth="1"/>
    <col min="4" max="4" width="20.7109375" style="107" customWidth="1"/>
    <col min="5" max="5" width="24.57421875" style="131" bestFit="1" customWidth="1"/>
    <col min="7" max="7" width="55.140625" style="0" customWidth="1"/>
  </cols>
  <sheetData>
    <row r="1" ht="3.75" customHeight="1"/>
    <row r="2" spans="3:4" ht="12.75">
      <c r="C2" s="114" t="str">
        <f>Introduction!$A$17</f>
        <v>Enter site name here</v>
      </c>
      <c r="D2" s="115">
        <f>Introduction!$A$21</f>
        <v>38243</v>
      </c>
    </row>
    <row r="3" spans="3:4" ht="12.75">
      <c r="C3" s="114" t="str">
        <f>Introduction!$A$19</f>
        <v>Enter assessor's name here</v>
      </c>
      <c r="D3" s="113"/>
    </row>
    <row r="4" ht="12.75">
      <c r="E4" s="132"/>
    </row>
    <row r="5" spans="3:7" ht="12.75">
      <c r="C5" s="39" t="s">
        <v>174</v>
      </c>
      <c r="D5" s="40"/>
      <c r="E5" s="133"/>
      <c r="F5" s="51"/>
      <c r="G5" s="108" t="s">
        <v>327</v>
      </c>
    </row>
    <row r="6" spans="3:7" ht="12.75">
      <c r="C6" t="s">
        <v>326</v>
      </c>
      <c r="E6" s="129">
        <f>CM</f>
        <v>1</v>
      </c>
      <c r="G6" s="128"/>
    </row>
    <row r="7" spans="1:7" ht="12.75">
      <c r="A7">
        <f>Calculations!A6</f>
        <v>0</v>
      </c>
      <c r="C7" t="s">
        <v>138</v>
      </c>
      <c r="E7" s="129" t="str">
        <f>Calculations!$E$6</f>
        <v>Yes</v>
      </c>
      <c r="G7" s="128"/>
    </row>
    <row r="8" spans="5:6" ht="12.75">
      <c r="E8" s="134"/>
      <c r="F8" s="109"/>
    </row>
    <row r="9" spans="3:7" ht="12.75">
      <c r="C9" t="str">
        <f>Calculations!C8</f>
        <v>Basal width perpendicular to groundwater flow</v>
      </c>
      <c r="D9" s="107" t="str">
        <f>Calculations!D8</f>
        <v>Width_LF</v>
      </c>
      <c r="E9" s="129">
        <f>Calculations!E8</f>
        <v>200</v>
      </c>
      <c r="F9" s="109" t="str">
        <f>Calculations!F8</f>
        <v>m</v>
      </c>
      <c r="G9" s="128"/>
    </row>
    <row r="10" spans="3:7" ht="12.75">
      <c r="C10" t="str">
        <f>Calculations!C9</f>
        <v>Basal length parallel to groundwater flow</v>
      </c>
      <c r="D10" s="107" t="str">
        <f>Calculations!D9</f>
        <v>Length_LF</v>
      </c>
      <c r="E10" s="129">
        <f>Calculations!E9</f>
        <v>610</v>
      </c>
      <c r="F10" s="109" t="str">
        <f>Calculations!F9</f>
        <v>m</v>
      </c>
      <c r="G10" s="128"/>
    </row>
    <row r="11" spans="1:7" ht="12.75">
      <c r="A11">
        <f>Calculations!A11</f>
        <v>1</v>
      </c>
      <c r="C11" s="3" t="str">
        <f>Calculations!C11</f>
        <v>Elevation of base of landfill</v>
      </c>
      <c r="D11" s="3" t="str">
        <f>Calculations!D11</f>
        <v>LFbase_elev</v>
      </c>
      <c r="E11" s="130">
        <f>Calculations!E11</f>
        <v>7</v>
      </c>
      <c r="F11" s="3" t="str">
        <f>Calculations!F11</f>
        <v>maOD</v>
      </c>
      <c r="G11" s="128"/>
    </row>
    <row r="12" spans="1:7" ht="12.75">
      <c r="A12">
        <f>Calculations!A12</f>
        <v>1</v>
      </c>
      <c r="C12" s="28" t="str">
        <f>Calculations!C12</f>
        <v>Elevation of top of aquifer</v>
      </c>
      <c r="D12" s="3" t="str">
        <f>Calculations!D12</f>
        <v>Aqbound_elev</v>
      </c>
      <c r="E12" s="130">
        <f>Calculations!E12</f>
        <v>6</v>
      </c>
      <c r="F12" s="3" t="str">
        <f>Calculations!F12</f>
        <v>maOD</v>
      </c>
      <c r="G12" s="128"/>
    </row>
    <row r="13" spans="1:7" ht="12.75">
      <c r="A13">
        <f>Calculations!A13</f>
        <v>1</v>
      </c>
      <c r="C13" s="28" t="str">
        <f>Calculations!C13</f>
        <v>Maximum thickness of underlying aquifer</v>
      </c>
      <c r="D13" s="3" t="str">
        <f>Calculations!D13</f>
        <v>Aq_max</v>
      </c>
      <c r="E13" s="130">
        <f>Calculations!E13</f>
        <v>1</v>
      </c>
      <c r="F13" s="3" t="str">
        <f>Calculations!F13</f>
        <v>m</v>
      </c>
      <c r="G13" s="128"/>
    </row>
    <row r="14" spans="1:7" ht="12.75">
      <c r="A14">
        <f>Calculations!A14</f>
        <v>1</v>
      </c>
      <c r="C14" s="3" t="str">
        <f>Calculations!C14</f>
        <v>Leachate head inside landfill</v>
      </c>
      <c r="D14" s="3" t="str">
        <f>Calculations!D14</f>
        <v>Head_inLF</v>
      </c>
      <c r="E14" s="130">
        <f>Calculations!E14</f>
        <v>10</v>
      </c>
      <c r="F14" s="3" t="str">
        <f>Calculations!F14</f>
        <v>maOD</v>
      </c>
      <c r="G14" s="128"/>
    </row>
    <row r="15" spans="1:7" ht="12.75">
      <c r="A15">
        <f>Calculations!A15</f>
        <v>1</v>
      </c>
      <c r="C15" s="3" t="str">
        <f>Calculations!C15</f>
        <v>Groundwater head outside landfill</v>
      </c>
      <c r="D15" s="3" t="str">
        <f>Calculations!D15</f>
        <v>Head_outLF</v>
      </c>
      <c r="E15" s="130">
        <f>Calculations!E15</f>
        <v>15</v>
      </c>
      <c r="F15" s="3" t="str">
        <f>Calculations!F15</f>
        <v>maOD</v>
      </c>
      <c r="G15" s="128"/>
    </row>
    <row r="16" spans="4:5" s="2" customFormat="1" ht="12.75">
      <c r="D16" s="91"/>
      <c r="E16" s="135"/>
    </row>
    <row r="17" spans="3:7" ht="12.75">
      <c r="C17" s="39" t="s">
        <v>148</v>
      </c>
      <c r="D17" s="39"/>
      <c r="E17" s="136"/>
      <c r="F17" s="51"/>
      <c r="G17" s="51"/>
    </row>
    <row r="18" spans="3:7" ht="12.75">
      <c r="C18" t="str">
        <f>Calculations!C19</f>
        <v>Contaminant name</v>
      </c>
      <c r="D18" s="107" t="str">
        <f>Calculations!D19</f>
        <v>Cont_Nme</v>
      </c>
      <c r="E18" s="137" t="str">
        <f>Calculations!E19</f>
        <v>trichloroethene</v>
      </c>
      <c r="F18" t="str">
        <f>Calculations!F19</f>
        <v>-</v>
      </c>
      <c r="G18" s="128"/>
    </row>
    <row r="19" spans="3:7" ht="12.75">
      <c r="C19" t="str">
        <f>Calculations!C20</f>
        <v>Contaminant type</v>
      </c>
      <c r="D19" s="110" t="str">
        <f>Calculations!D20</f>
        <v>Cont_Type</v>
      </c>
      <c r="E19" s="129" t="str">
        <f>Calculations!E20</f>
        <v>Organic</v>
      </c>
      <c r="F19" s="109" t="str">
        <f>Calculations!F20</f>
        <v>-</v>
      </c>
      <c r="G19" s="128"/>
    </row>
    <row r="20" spans="3:7" ht="12.75">
      <c r="C20" t="str">
        <f>Calculations!C21</f>
        <v>Contaminant classification</v>
      </c>
      <c r="D20" s="110" t="str">
        <f>Calculations!D21</f>
        <v>Cont_Class</v>
      </c>
      <c r="E20" s="129" t="str">
        <f>Calculations!E21</f>
        <v>List I</v>
      </c>
      <c r="F20" s="109" t="str">
        <f>Calculations!F21</f>
        <v>-</v>
      </c>
      <c r="G20" s="128"/>
    </row>
    <row r="21" spans="3:7" ht="12.75">
      <c r="C21" t="str">
        <f>Calculations!C22</f>
        <v>Concentration in landfill leachate</v>
      </c>
      <c r="D21" s="110" t="str">
        <f>Calculations!D22</f>
        <v>Conc_LF</v>
      </c>
      <c r="E21" s="129">
        <f>Calculations!E22</f>
        <v>100</v>
      </c>
      <c r="F21" s="109" t="str">
        <f>Calculations!F22</f>
        <v>mg/l</v>
      </c>
      <c r="G21" s="128"/>
    </row>
    <row r="22" spans="3:7" ht="12.75">
      <c r="C22" t="str">
        <f>Calculations!C23</f>
        <v>Free water diffusion coefficient </v>
      </c>
      <c r="D22" s="110" t="str">
        <f>Calculations!D23</f>
        <v>Dw_cl</v>
      </c>
      <c r="E22" s="129">
        <f>Calculations!E23</f>
        <v>5E-09</v>
      </c>
      <c r="F22" s="109" t="str">
        <f>Calculations!$F$23</f>
        <v>m2/s</v>
      </c>
      <c r="G22" s="128"/>
    </row>
    <row r="23" spans="3:7" ht="12.75">
      <c r="C23" t="str">
        <f>Calculations!C25</f>
        <v>Partition coefficient in clay</v>
      </c>
      <c r="D23" s="110" t="str">
        <f>Calculations!D25</f>
        <v>Kd_cl</v>
      </c>
      <c r="E23" s="129">
        <f>Calculations!E25</f>
        <v>0.5</v>
      </c>
      <c r="F23" s="109" t="str">
        <f>Calculations!$F$25</f>
        <v>l/kg</v>
      </c>
      <c r="G23" s="128"/>
    </row>
    <row r="24" spans="3:7" ht="12.75">
      <c r="C24" t="str">
        <f>Calculations!C27</f>
        <v>Half life in clay (0 for no decay)</v>
      </c>
      <c r="D24" s="110" t="str">
        <f>Calculations!D27</f>
        <v>thalf_cl</v>
      </c>
      <c r="E24" s="129">
        <f>Calculations!E27</f>
        <v>500</v>
      </c>
      <c r="F24" s="109" t="str">
        <f>Calculations!F27</f>
        <v>days</v>
      </c>
      <c r="G24" s="128"/>
    </row>
    <row r="25" spans="3:7" ht="12.75">
      <c r="C25" t="str">
        <f>Calculations!C28</f>
        <v>Decay in sorbed phase?</v>
      </c>
      <c r="D25" s="110" t="str">
        <f>Calculations!D28</f>
        <v>Decay_sorb</v>
      </c>
      <c r="E25" s="129" t="str">
        <f>Calculations!E28</f>
        <v>No</v>
      </c>
      <c r="F25" s="109" t="str">
        <f>Calculations!F28</f>
        <v>-</v>
      </c>
      <c r="G25" s="128"/>
    </row>
    <row r="26" spans="1:7" ht="12.75">
      <c r="A26">
        <f>Calculations!A31</f>
        <v>0</v>
      </c>
      <c r="C26" t="str">
        <f>Calculations!C31</f>
        <v>Partition coefficient to geomembrane</v>
      </c>
      <c r="D26" s="110" t="str">
        <f>Calculations!D31</f>
        <v>Kd_gm</v>
      </c>
      <c r="E26" s="129">
        <f>Calculations!E31</f>
        <v>0.2</v>
      </c>
      <c r="F26" s="109" t="str">
        <f>Calculations!F31</f>
        <v>-</v>
      </c>
      <c r="G26" s="128"/>
    </row>
    <row r="27" spans="1:7" ht="12.75">
      <c r="A27">
        <f>Calculations!A32</f>
        <v>0</v>
      </c>
      <c r="C27" t="str">
        <f>Calculations!C32</f>
        <v>Diffusion coefficient in geomembrane</v>
      </c>
      <c r="D27" s="110" t="str">
        <f>Calculations!D32</f>
        <v>Dw_gm</v>
      </c>
      <c r="E27" s="129">
        <f>Calculations!E32</f>
        <v>2.9E-14</v>
      </c>
      <c r="F27" s="109" t="str">
        <f>Calculations!F32</f>
        <v>m2/s</v>
      </c>
      <c r="G27" s="128"/>
    </row>
    <row r="28" spans="4:6" s="2" customFormat="1" ht="12.75">
      <c r="D28" s="111"/>
      <c r="E28" s="138"/>
      <c r="F28" s="3"/>
    </row>
    <row r="29" spans="3:7" ht="12.75">
      <c r="C29" s="39" t="s">
        <v>282</v>
      </c>
      <c r="D29" s="48"/>
      <c r="E29" s="139"/>
      <c r="F29" s="51"/>
      <c r="G29" s="51"/>
    </row>
    <row r="30" spans="3:7" ht="12.75">
      <c r="C30" t="str">
        <f>Calculations!C35</f>
        <v>Thickness of mineral barrier is calculated as 1m</v>
      </c>
      <c r="D30" s="107" t="str">
        <f>Calculations!D35</f>
        <v>thick_clbr</v>
      </c>
      <c r="E30" s="137">
        <f>Calculations!E35</f>
        <v>1</v>
      </c>
      <c r="F30" t="str">
        <f>Calculations!F35</f>
        <v>m</v>
      </c>
      <c r="G30" s="128"/>
    </row>
    <row r="31" spans="3:7" ht="12.75">
      <c r="C31" t="str">
        <f>Calculations!C36</f>
        <v>Hydraulic conductivity</v>
      </c>
      <c r="D31" s="110" t="str">
        <f>Calculations!D36</f>
        <v>k_cl</v>
      </c>
      <c r="E31" s="129">
        <f>Calculations!E36</f>
        <v>1E-13</v>
      </c>
      <c r="F31" s="109" t="str">
        <f>Calculations!F36</f>
        <v>m/s</v>
      </c>
      <c r="G31" s="128"/>
    </row>
    <row r="32" spans="3:7" ht="12.75">
      <c r="C32" t="str">
        <f>Calculations!C37</f>
        <v>Average pore radius </v>
      </c>
      <c r="D32" s="110" t="str">
        <f>Calculations!D37</f>
        <v>pore_radius</v>
      </c>
      <c r="E32" s="129">
        <f>Calculations!E37</f>
        <v>1E-05</v>
      </c>
      <c r="F32" s="109" t="str">
        <f>Calculations!F37</f>
        <v>m</v>
      </c>
      <c r="G32" s="128"/>
    </row>
    <row r="33" spans="3:7" ht="12.75">
      <c r="C33" t="str">
        <f>Calculations!C38</f>
        <v>Effective porosity</v>
      </c>
      <c r="D33" s="110" t="str">
        <f>Calculations!D38</f>
        <v>n</v>
      </c>
      <c r="E33" s="129">
        <f>Calculations!E38</f>
        <v>0.162</v>
      </c>
      <c r="F33" s="109" t="str">
        <f>Calculations!F38</f>
        <v>-</v>
      </c>
      <c r="G33" s="128"/>
    </row>
    <row r="34" spans="3:7" ht="12.75">
      <c r="C34" t="str">
        <f>Calculations!C39</f>
        <v>Dry bulk density</v>
      </c>
      <c r="D34" s="110" t="str">
        <f>Calculations!D39</f>
        <v>rho</v>
      </c>
      <c r="E34" s="129">
        <f>Calculations!E39</f>
        <v>1750</v>
      </c>
      <c r="F34" s="109" t="str">
        <f>Calculations!F39</f>
        <v>kg/m3</v>
      </c>
      <c r="G34" s="128"/>
    </row>
    <row r="35" spans="3:7" ht="12.75">
      <c r="C35" t="str">
        <f>Calculations!C40</f>
        <v>Tortuosity</v>
      </c>
      <c r="D35" s="110" t="str">
        <f>Calculations!D40</f>
        <v>tau_cl</v>
      </c>
      <c r="E35" s="129">
        <f>Calculations!E40</f>
        <v>5</v>
      </c>
      <c r="F35" s="109" t="str">
        <f>Calculations!F40</f>
        <v>-</v>
      </c>
      <c r="G35" s="128"/>
    </row>
    <row r="36" spans="4:5" s="2" customFormat="1" ht="12.75">
      <c r="D36" s="91"/>
      <c r="E36" s="135"/>
    </row>
    <row r="37" spans="1:7" ht="12.75">
      <c r="A37">
        <f>Calculations!A42</f>
        <v>0</v>
      </c>
      <c r="C37" s="39" t="s">
        <v>151</v>
      </c>
      <c r="D37" s="39"/>
      <c r="E37" s="139"/>
      <c r="F37" s="51"/>
      <c r="G37" s="44"/>
    </row>
    <row r="38" spans="1:7" ht="12.75">
      <c r="A38">
        <f>Calculations!A43</f>
        <v>0</v>
      </c>
      <c r="C38" t="str">
        <f>Calculations!C43</f>
        <v>Thickness of geomembrane</v>
      </c>
      <c r="D38" s="107" t="str">
        <f>Calculations!D43</f>
        <v>thick_gm</v>
      </c>
      <c r="E38" s="137">
        <f>Calculations!E43</f>
        <v>0.003</v>
      </c>
      <c r="F38" t="str">
        <f>Calculations!F43</f>
        <v>m</v>
      </c>
      <c r="G38" s="128"/>
    </row>
    <row r="39" spans="1:7" ht="12.75">
      <c r="A39">
        <f>Calculations!A44</f>
        <v>0</v>
      </c>
      <c r="C39" t="str">
        <f>Calculations!C44</f>
        <v>Quality of geomembrane/clay contact</v>
      </c>
      <c r="D39" s="110" t="str">
        <f>Calculations!D44</f>
        <v>GM_contact</v>
      </c>
      <c r="E39" s="129" t="str">
        <f>Calculations!E44</f>
        <v>Good contact</v>
      </c>
      <c r="F39" s="109" t="str">
        <f>Calculations!F44</f>
        <v>-</v>
      </c>
      <c r="G39" s="128"/>
    </row>
    <row r="40" spans="1:7" ht="12.75">
      <c r="A40">
        <f>Calculations!A45</f>
        <v>0</v>
      </c>
      <c r="C40" t="str">
        <f>Calculations!C45</f>
        <v>Has part of the geomembrane delaminated?</v>
      </c>
      <c r="D40" s="110" t="str">
        <f>Calculations!D45</f>
        <v>GM_delam</v>
      </c>
      <c r="E40" s="129" t="str">
        <f>Calculations!E45</f>
        <v>Yes</v>
      </c>
      <c r="F40" s="109" t="str">
        <f>Calculations!F45</f>
        <v>-</v>
      </c>
      <c r="G40" s="128"/>
    </row>
    <row r="41" spans="1:7" ht="12.75">
      <c r="A41">
        <f>Calculations!A46</f>
        <v>0</v>
      </c>
      <c r="C41" t="str">
        <f>Calculations!C46</f>
        <v>Area of geomembrane delaminated</v>
      </c>
      <c r="D41" s="110" t="str">
        <f>Calculations!D46</f>
        <v>Area_Delam</v>
      </c>
      <c r="E41" s="129">
        <f>Calculations!E46</f>
        <v>122000</v>
      </c>
      <c r="F41" s="109" t="str">
        <f>Calculations!F46</f>
        <v>m2</v>
      </c>
      <c r="G41" s="128"/>
    </row>
    <row r="42" spans="4:6" ht="12.75">
      <c r="D42" s="110"/>
      <c r="E42" s="138"/>
      <c r="F42" s="109"/>
    </row>
    <row r="43" spans="1:7" ht="12.75">
      <c r="A43">
        <f>Calculations!A49</f>
        <v>0</v>
      </c>
      <c r="C43" t="str">
        <f>TRIM(LEFT(Calculations!C49,25))</f>
        <v>Density of pin holes</v>
      </c>
      <c r="D43" s="109" t="str">
        <f>TRIM(RIGHT(Calculations!C49,10))</f>
        <v>n_pin</v>
      </c>
      <c r="E43" s="129">
        <f>Calculations!D49</f>
        <v>2</v>
      </c>
      <c r="F43" s="112" t="str">
        <f>Calculations!E49</f>
        <v>/ha</v>
      </c>
      <c r="G43" s="128"/>
    </row>
    <row r="44" spans="1:7" ht="12.75">
      <c r="A44">
        <f>Calculations!A50</f>
        <v>0</v>
      </c>
      <c r="C44" t="str">
        <f>TRIM(LEFT(Calculations!C50,25))</f>
        <v>Area of pin holes</v>
      </c>
      <c r="D44" s="109" t="str">
        <f>TRIM(RIGHT(Calculations!C50,10))</f>
        <v>A_pin</v>
      </c>
      <c r="E44" s="129">
        <f>Calculations!D50</f>
        <v>2.5</v>
      </c>
      <c r="F44" s="112" t="str">
        <f>Calculations!E50</f>
        <v>mm2</v>
      </c>
      <c r="G44" s="128"/>
    </row>
    <row r="45" spans="1:7" ht="12.75">
      <c r="A45">
        <f>Calculations!A51</f>
        <v>0</v>
      </c>
      <c r="C45" t="str">
        <f>TRIM(LEFT(Calculations!C51,25))</f>
        <v>Density of holes</v>
      </c>
      <c r="D45" s="109" t="str">
        <f>TRIM(RIGHT(Calculations!C51,10))</f>
        <v>n_hole</v>
      </c>
      <c r="E45" s="129">
        <f>Calculations!D51</f>
        <v>2</v>
      </c>
      <c r="F45" s="112" t="str">
        <f>Calculations!E51</f>
        <v>/ha</v>
      </c>
      <c r="G45" s="128"/>
    </row>
    <row r="46" spans="1:7" ht="12.75">
      <c r="A46">
        <f>Calculations!A52</f>
        <v>0</v>
      </c>
      <c r="C46" t="str">
        <f>TRIM(LEFT(Calculations!C52,25))</f>
        <v>Area of holes</v>
      </c>
      <c r="D46" s="109" t="str">
        <f>TRIM(RIGHT(Calculations!C52,10))</f>
        <v>A_hole</v>
      </c>
      <c r="E46" s="129">
        <f>Calculations!D52</f>
        <v>2</v>
      </c>
      <c r="F46" s="112" t="str">
        <f>Calculations!E52</f>
        <v>mm2</v>
      </c>
      <c r="G46" s="128"/>
    </row>
    <row r="47" spans="1:7" ht="12.75">
      <c r="A47">
        <f>Calculations!A53</f>
        <v>0</v>
      </c>
      <c r="C47" t="str">
        <f>TRIM(LEFT(Calculations!C53,25))</f>
        <v>Density of tears</v>
      </c>
      <c r="D47" s="109" t="str">
        <f>TRIM(RIGHT(Calculations!C53,10))</f>
        <v>n_tear</v>
      </c>
      <c r="E47" s="129">
        <f>Calculations!D53</f>
        <v>1</v>
      </c>
      <c r="F47" s="112" t="str">
        <f>Calculations!E53</f>
        <v>/ha</v>
      </c>
      <c r="G47" s="128"/>
    </row>
    <row r="48" spans="1:7" ht="12.75">
      <c r="A48">
        <f>Calculations!A54</f>
        <v>0</v>
      </c>
      <c r="C48" t="str">
        <f>TRIM(LEFT(Calculations!C54,25))</f>
        <v>Length of tears</v>
      </c>
      <c r="D48" s="109" t="str">
        <f>TRIM(RIGHT(Calculations!C54,10))</f>
        <v>l_tear</v>
      </c>
      <c r="E48" s="129">
        <f>Calculations!D54</f>
        <v>1000</v>
      </c>
      <c r="F48" s="112" t="str">
        <f>Calculations!E54</f>
        <v>mm</v>
      </c>
      <c r="G48" s="128"/>
    </row>
    <row r="49" spans="1:7" ht="12.75">
      <c r="A49">
        <f>Calculations!A55</f>
        <v>0</v>
      </c>
      <c r="C49" t="str">
        <f>TRIM(LEFT(Calculations!C55,25))</f>
        <v>Width of tears</v>
      </c>
      <c r="D49" s="109" t="str">
        <f>TRIM(RIGHT(Calculations!C55,10))</f>
        <v>w_tear</v>
      </c>
      <c r="E49" s="129">
        <f>Calculations!D55</f>
        <v>1</v>
      </c>
      <c r="F49" s="112" t="str">
        <f>Calculations!E55</f>
        <v>mm</v>
      </c>
      <c r="G49" s="128"/>
    </row>
    <row r="50" spans="5:6" s="2" customFormat="1" ht="12.75">
      <c r="E50" s="135"/>
      <c r="F50" s="60"/>
    </row>
    <row r="51" spans="1:7" ht="12.75">
      <c r="A51">
        <f>Calculations!G4</f>
        <v>0</v>
      </c>
      <c r="C51" s="39" t="s">
        <v>175</v>
      </c>
      <c r="D51" s="44"/>
      <c r="E51" s="139"/>
      <c r="F51" s="51"/>
      <c r="G51" s="51"/>
    </row>
    <row r="52" spans="1:7" ht="12.75">
      <c r="A52">
        <f>Calculations!G5</f>
        <v>0</v>
      </c>
      <c r="C52" t="str">
        <f>Calculations!I5</f>
        <v>Hydraulic gradient in the aquifer</v>
      </c>
      <c r="D52" s="107" t="str">
        <f>Calculations!J5</f>
        <v>aq_I</v>
      </c>
      <c r="E52" s="137">
        <f>Calculations!K5</f>
        <v>0.001</v>
      </c>
      <c r="F52" t="str">
        <f>Calculations!L5</f>
        <v>-</v>
      </c>
      <c r="G52" s="128"/>
    </row>
    <row r="53" spans="1:7" ht="12.75">
      <c r="A53">
        <f>Calculations!G6</f>
        <v>0</v>
      </c>
      <c r="C53" t="str">
        <f>Calculations!I6</f>
        <v>Hydraulic conductivity of the aquifer</v>
      </c>
      <c r="D53" s="110" t="str">
        <f>Calculations!J6</f>
        <v>k_aq</v>
      </c>
      <c r="E53" s="129">
        <f>Calculations!K6</f>
        <v>1E-05</v>
      </c>
      <c r="F53" s="109" t="str">
        <f>Calculations!L6</f>
        <v>m/s</v>
      </c>
      <c r="G53" s="128"/>
    </row>
    <row r="54" spans="1:7" ht="12.75">
      <c r="A54">
        <f>Calculations!G7</f>
        <v>0</v>
      </c>
      <c r="C54" t="str">
        <f>Calculations!I7</f>
        <v>Downgradient distance of compliance point from landfill</v>
      </c>
      <c r="D54" s="110" t="str">
        <f>Calculations!J7</f>
        <v>dist_cp</v>
      </c>
      <c r="E54" s="129">
        <f>Calculations!K7</f>
        <v>5000</v>
      </c>
      <c r="F54" s="109" t="str">
        <f>Calculations!L7</f>
        <v>m</v>
      </c>
      <c r="G54" s="128"/>
    </row>
    <row r="55" spans="1:7" ht="12.75">
      <c r="A55">
        <f>Calculations!G8</f>
        <v>0</v>
      </c>
      <c r="C55" t="str">
        <f>Calculations!I10</f>
        <v>Dilution flow in aquifer directly under the landfill</v>
      </c>
      <c r="D55" t="str">
        <f>Calculations!J10</f>
        <v>aq_Q</v>
      </c>
      <c r="E55" s="140">
        <f>Calculations!K10</f>
        <v>2E-06</v>
      </c>
      <c r="F55" t="str">
        <f>Calculations!L10</f>
        <v>m3/s</v>
      </c>
      <c r="G55" s="128"/>
    </row>
  </sheetData>
  <sheetProtection password="DF9F" sheet="1" objects="1" scenarios="1"/>
  <conditionalFormatting sqref="C7:G7">
    <cfRule type="expression" priority="1" dxfId="0" stopIfTrue="1">
      <formula>$A$7=0</formula>
    </cfRule>
  </conditionalFormatting>
  <conditionalFormatting sqref="C11:G11">
    <cfRule type="expression" priority="2" dxfId="0" stopIfTrue="1">
      <formula>$A$11=0</formula>
    </cfRule>
    <cfRule type="expression" priority="3" dxfId="1" stopIfTrue="1">
      <formula>$A$11=2</formula>
    </cfRule>
  </conditionalFormatting>
  <conditionalFormatting sqref="C12:G12">
    <cfRule type="expression" priority="4" dxfId="0" stopIfTrue="1">
      <formula>$A$12=0</formula>
    </cfRule>
    <cfRule type="expression" priority="5" dxfId="1" stopIfTrue="1">
      <formula>$A$12=2</formula>
    </cfRule>
  </conditionalFormatting>
  <conditionalFormatting sqref="C13:G13">
    <cfRule type="expression" priority="6" dxfId="0" stopIfTrue="1">
      <formula>$A$13=0</formula>
    </cfRule>
    <cfRule type="expression" priority="7" dxfId="1" stopIfTrue="1">
      <formula>$A$13=2</formula>
    </cfRule>
  </conditionalFormatting>
  <conditionalFormatting sqref="C14:G14">
    <cfRule type="expression" priority="8" dxfId="0" stopIfTrue="1">
      <formula>$A$14=0</formula>
    </cfRule>
    <cfRule type="expression" priority="9" dxfId="1" stopIfTrue="1">
      <formula>$A$14=2</formula>
    </cfRule>
  </conditionalFormatting>
  <conditionalFormatting sqref="C15:G15">
    <cfRule type="expression" priority="10" dxfId="0" stopIfTrue="1">
      <formula>$A$15=0</formula>
    </cfRule>
    <cfRule type="expression" priority="11" dxfId="1" stopIfTrue="1">
      <formula>$A$15=2</formula>
    </cfRule>
  </conditionalFormatting>
  <conditionalFormatting sqref="C26:G26">
    <cfRule type="expression" priority="12" dxfId="0" stopIfTrue="1">
      <formula>$A$26=0</formula>
    </cfRule>
  </conditionalFormatting>
  <conditionalFormatting sqref="C27:G27">
    <cfRule type="expression" priority="13" dxfId="0" stopIfTrue="1">
      <formula>$A$27=0</formula>
    </cfRule>
  </conditionalFormatting>
  <conditionalFormatting sqref="C37:G37 C42:G42">
    <cfRule type="expression" priority="14" dxfId="0" stopIfTrue="1">
      <formula>$A$37=0</formula>
    </cfRule>
  </conditionalFormatting>
  <conditionalFormatting sqref="C38:G38">
    <cfRule type="expression" priority="15" dxfId="0" stopIfTrue="1">
      <formula>$A$38=0</formula>
    </cfRule>
  </conditionalFormatting>
  <conditionalFormatting sqref="C39:G39">
    <cfRule type="expression" priority="16" dxfId="0" stopIfTrue="1">
      <formula>$A$39=0</formula>
    </cfRule>
  </conditionalFormatting>
  <conditionalFormatting sqref="C40:G40">
    <cfRule type="expression" priority="17" dxfId="0" stopIfTrue="1">
      <formula>$A$40=0</formula>
    </cfRule>
  </conditionalFormatting>
  <conditionalFormatting sqref="C41:G41">
    <cfRule type="expression" priority="18" dxfId="0" stopIfTrue="1">
      <formula>$A$41=0</formula>
    </cfRule>
  </conditionalFormatting>
  <conditionalFormatting sqref="C43:G43">
    <cfRule type="expression" priority="19" dxfId="0" stopIfTrue="1">
      <formula>$A$43=0</formula>
    </cfRule>
  </conditionalFormatting>
  <conditionalFormatting sqref="C44:G44">
    <cfRule type="expression" priority="20" dxfId="0" stopIfTrue="1">
      <formula>$A$44=0</formula>
    </cfRule>
  </conditionalFormatting>
  <conditionalFormatting sqref="C45:G45">
    <cfRule type="expression" priority="21" dxfId="0" stopIfTrue="1">
      <formula>$A$45=0</formula>
    </cfRule>
  </conditionalFormatting>
  <conditionalFormatting sqref="C46:G46">
    <cfRule type="expression" priority="22" dxfId="0" stopIfTrue="1">
      <formula>$A$46=0</formula>
    </cfRule>
  </conditionalFormatting>
  <conditionalFormatting sqref="C47:G47">
    <cfRule type="expression" priority="23" dxfId="0" stopIfTrue="1">
      <formula>$A$47=0</formula>
    </cfRule>
  </conditionalFormatting>
  <conditionalFormatting sqref="C48:G48">
    <cfRule type="expression" priority="24" dxfId="0" stopIfTrue="1">
      <formula>$A$48=0</formula>
    </cfRule>
  </conditionalFormatting>
  <conditionalFormatting sqref="C49:G49">
    <cfRule type="expression" priority="25" dxfId="0" stopIfTrue="1">
      <formula>$A$49=0</formula>
    </cfRule>
  </conditionalFormatting>
  <conditionalFormatting sqref="C51:G51">
    <cfRule type="expression" priority="26" dxfId="0" stopIfTrue="1">
      <formula>$A$51=0</formula>
    </cfRule>
  </conditionalFormatting>
  <conditionalFormatting sqref="C52:G52">
    <cfRule type="expression" priority="27" dxfId="0" stopIfTrue="1">
      <formula>$A$52=0</formula>
    </cfRule>
  </conditionalFormatting>
  <conditionalFormatting sqref="C53:G53">
    <cfRule type="expression" priority="28" dxfId="0" stopIfTrue="1">
      <formula>$A$53=0</formula>
    </cfRule>
  </conditionalFormatting>
  <conditionalFormatting sqref="C54:G54">
    <cfRule type="expression" priority="29" dxfId="0" stopIfTrue="1">
      <formula>$A$54=0</formula>
    </cfRule>
  </conditionalFormatting>
  <conditionalFormatting sqref="C55:G55">
    <cfRule type="expression" priority="30" dxfId="0" stopIfTrue="1">
      <formula>$A$55=0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25"/>
  <sheetViews>
    <sheetView workbookViewId="0" topLeftCell="A1">
      <selection activeCell="G5" sqref="G5"/>
    </sheetView>
  </sheetViews>
  <sheetFormatPr defaultColWidth="9.140625" defaultRowHeight="12.75"/>
  <sheetData>
    <row r="1" spans="1:9" ht="12.75">
      <c r="A1" s="142"/>
      <c r="B1" s="142"/>
      <c r="C1" s="142"/>
      <c r="D1" s="142"/>
      <c r="E1" s="143"/>
      <c r="F1" s="142"/>
      <c r="G1" s="142"/>
      <c r="H1" s="142"/>
      <c r="I1" s="142"/>
    </row>
    <row r="2" spans="1:9" ht="12.75">
      <c r="A2" s="142" t="s">
        <v>352</v>
      </c>
      <c r="B2" s="142"/>
      <c r="C2" s="142"/>
      <c r="D2" s="144"/>
      <c r="E2" s="144"/>
      <c r="F2" s="144"/>
      <c r="G2" s="144"/>
      <c r="H2" s="144"/>
      <c r="I2" s="142"/>
    </row>
    <row r="3" spans="1:9" ht="12.75">
      <c r="A3" s="11" t="str">
        <f>Cont_Class</f>
        <v>List I</v>
      </c>
      <c r="B3" s="11" t="str">
        <f>Cont_Type</f>
        <v>Organic</v>
      </c>
      <c r="C3" s="11" t="s">
        <v>349</v>
      </c>
      <c r="D3" s="10" t="str">
        <f>GM_delam</f>
        <v>Yes</v>
      </c>
      <c r="E3" s="144"/>
      <c r="F3" s="144"/>
      <c r="G3" s="142"/>
      <c r="H3" s="142"/>
      <c r="I3" s="142"/>
    </row>
    <row r="4" spans="1:9" ht="12.75">
      <c r="A4" s="145" t="s">
        <v>353</v>
      </c>
      <c r="B4" s="142"/>
      <c r="C4" s="142"/>
      <c r="D4" s="142"/>
      <c r="E4" s="144"/>
      <c r="F4" s="144"/>
      <c r="G4" s="142"/>
      <c r="H4" s="142"/>
      <c r="I4" s="142"/>
    </row>
    <row r="5" spans="1:9" ht="12.75">
      <c r="A5" s="153" t="s">
        <v>351</v>
      </c>
      <c r="B5" s="153"/>
      <c r="C5" s="153"/>
      <c r="D5" s="142"/>
      <c r="E5" s="144"/>
      <c r="F5" s="144"/>
      <c r="G5" s="142"/>
      <c r="H5" s="142"/>
      <c r="I5" s="142"/>
    </row>
    <row r="6" spans="1:9" ht="12.75">
      <c r="A6" s="142" t="s">
        <v>213</v>
      </c>
      <c r="B6" s="142" t="s">
        <v>214</v>
      </c>
      <c r="C6" s="142" t="s">
        <v>215</v>
      </c>
      <c r="D6" s="144" t="s">
        <v>350</v>
      </c>
      <c r="E6" s="144" t="s">
        <v>349</v>
      </c>
      <c r="F6" s="144"/>
      <c r="G6" s="142"/>
      <c r="H6" s="142"/>
      <c r="I6" s="142"/>
    </row>
    <row r="7" spans="1:9" ht="12.75">
      <c r="A7" s="142">
        <f>'Single layer solutions'!M63</f>
        <v>0</v>
      </c>
      <c r="B7" s="142">
        <f>'Single layer solutions'!Q63</f>
        <v>0</v>
      </c>
      <c r="C7" s="142">
        <f>'Single layer solutions'!U63</f>
        <v>0</v>
      </c>
      <c r="D7" s="144">
        <f>'Two Layer Solutions Layer Two'!L63</f>
        <v>0</v>
      </c>
      <c r="E7" s="144">
        <f>Delamination!K63</f>
        <v>0</v>
      </c>
      <c r="F7" s="144"/>
      <c r="G7" s="142"/>
      <c r="H7" s="142"/>
      <c r="I7" s="142"/>
    </row>
    <row r="8" spans="1:9" ht="12.75">
      <c r="A8" s="142"/>
      <c r="B8" s="142"/>
      <c r="C8" s="142"/>
      <c r="D8" s="144"/>
      <c r="E8" s="144"/>
      <c r="F8" s="144"/>
      <c r="G8" s="142"/>
      <c r="H8" s="142"/>
      <c r="I8" s="142"/>
    </row>
    <row r="9" spans="1:9" ht="12.75">
      <c r="A9" s="145" t="s">
        <v>354</v>
      </c>
      <c r="B9" s="142"/>
      <c r="C9" s="142"/>
      <c r="D9" s="142"/>
      <c r="E9" s="144"/>
      <c r="F9" s="144"/>
      <c r="G9" s="142"/>
      <c r="H9" s="142"/>
      <c r="I9" s="142"/>
    </row>
    <row r="10" spans="1:9" ht="12.75">
      <c r="A10" s="153" t="s">
        <v>351</v>
      </c>
      <c r="B10" s="153"/>
      <c r="C10" s="153"/>
      <c r="D10" s="142"/>
      <c r="E10" s="144"/>
      <c r="F10" s="142"/>
      <c r="G10" s="142"/>
      <c r="H10" s="142"/>
      <c r="I10" s="142"/>
    </row>
    <row r="11" spans="1:9" ht="12.75">
      <c r="A11" s="142" t="s">
        <v>213</v>
      </c>
      <c r="B11" s="142" t="s">
        <v>214</v>
      </c>
      <c r="C11" s="142" t="s">
        <v>215</v>
      </c>
      <c r="D11" s="144" t="s">
        <v>350</v>
      </c>
      <c r="E11" s="144" t="s">
        <v>358</v>
      </c>
      <c r="F11" s="144" t="s">
        <v>349</v>
      </c>
      <c r="G11" s="144" t="s">
        <v>360</v>
      </c>
      <c r="H11" s="142"/>
      <c r="I11" s="142"/>
    </row>
    <row r="12" spans="1:9" ht="12.75">
      <c r="A12" s="142">
        <f>'Single layer solutions'!L63*Area_CZ_arr Pin*1000/aq_Q</f>
        <v>0</v>
      </c>
      <c r="B12" s="142">
        <f>'Single layer solutions'!P63*Area_CZ_arr Hole*1000/aq_Q</f>
        <v>0</v>
      </c>
      <c r="C12" s="142">
        <f>'Single layer solutions'!T63*Area_CZ_arr Tear*1000/aq_Q</f>
        <v>0</v>
      </c>
      <c r="D12" s="142">
        <f>'Two Layer Solutions Layer Two'!K63*Area_two*1000/aq_Q</f>
        <v>0</v>
      </c>
      <c r="E12" s="142">
        <f>D12+B12+A12+C12</f>
        <v>0</v>
      </c>
      <c r="F12" s="142">
        <f>Delamination!J63*Area_delam*1000/aq_Q</f>
        <v>0</v>
      </c>
      <c r="G12" s="142">
        <f>F12+E12</f>
        <v>0</v>
      </c>
      <c r="H12" s="142"/>
      <c r="I12" s="142"/>
    </row>
    <row r="13" spans="1:9" ht="12.75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2.75">
      <c r="A14" s="145" t="s">
        <v>355</v>
      </c>
      <c r="B14" s="142"/>
      <c r="C14" s="142"/>
      <c r="D14" s="142"/>
      <c r="E14" s="142"/>
      <c r="F14" s="142"/>
      <c r="G14" s="142"/>
      <c r="H14" s="142"/>
      <c r="I14" s="142"/>
    </row>
    <row r="15" spans="1:9" ht="12.75">
      <c r="A15" s="153" t="s">
        <v>351</v>
      </c>
      <c r="B15" s="153"/>
      <c r="C15" s="153"/>
      <c r="D15" s="142"/>
      <c r="E15" s="144"/>
      <c r="F15" s="142"/>
      <c r="G15" s="142"/>
      <c r="H15" s="142"/>
      <c r="I15" s="142"/>
    </row>
    <row r="16" spans="1:9" ht="12.75">
      <c r="A16" s="142" t="s">
        <v>213</v>
      </c>
      <c r="B16" s="142" t="s">
        <v>214</v>
      </c>
      <c r="C16" s="142" t="s">
        <v>215</v>
      </c>
      <c r="D16" s="142" t="s">
        <v>359</v>
      </c>
      <c r="E16" s="144" t="s">
        <v>350</v>
      </c>
      <c r="F16" s="145" t="s">
        <v>358</v>
      </c>
      <c r="G16" s="144" t="s">
        <v>349</v>
      </c>
      <c r="H16" s="144" t="s">
        <v>360</v>
      </c>
      <c r="I16" s="142"/>
    </row>
    <row r="17" spans="1:9" ht="12.75">
      <c r="A17" s="142">
        <f>'Single layer solutions'!N63*Area_CZ_arr Pin</f>
        <v>0</v>
      </c>
      <c r="B17" s="142">
        <f>'Single layer solutions'!R63*Area_CZ_arr Hole</f>
        <v>0</v>
      </c>
      <c r="C17" s="142">
        <f>'Single layer solutions'!V63*Area_CZ_arr Tear</f>
        <v>0</v>
      </c>
      <c r="D17" s="142">
        <f>A17+B17+C17</f>
        <v>0</v>
      </c>
      <c r="E17" s="142">
        <f>'Two Layer Solutions Layer Two'!M63*Area_two</f>
        <v>0</v>
      </c>
      <c r="F17" s="142">
        <f>E17+D17</f>
        <v>0</v>
      </c>
      <c r="G17" s="142">
        <f>Delamination!L63*Area_delam</f>
        <v>0</v>
      </c>
      <c r="H17" s="142">
        <f>G17+F17</f>
        <v>0</v>
      </c>
      <c r="I17" s="142"/>
    </row>
    <row r="18" spans="1:9" ht="12.75">
      <c r="A18" s="146"/>
      <c r="B18" s="142"/>
      <c r="C18" s="142"/>
      <c r="D18" s="142"/>
      <c r="E18" s="142"/>
      <c r="F18" s="142"/>
      <c r="G18" s="142"/>
      <c r="H18" s="142"/>
      <c r="I18" s="142"/>
    </row>
    <row r="19" spans="1:9" ht="12.75">
      <c r="A19" s="145" t="s">
        <v>357</v>
      </c>
      <c r="B19" s="142"/>
      <c r="C19" s="142"/>
      <c r="D19" s="142"/>
      <c r="E19" s="142"/>
      <c r="F19" s="142"/>
      <c r="G19" s="142"/>
      <c r="H19" s="142"/>
      <c r="I19" s="142"/>
    </row>
    <row r="20" spans="1:9" ht="12.75">
      <c r="A20" s="153" t="s">
        <v>351</v>
      </c>
      <c r="B20" s="153"/>
      <c r="C20" s="153"/>
      <c r="D20" s="142"/>
      <c r="E20" s="144"/>
      <c r="F20" s="142"/>
      <c r="G20" s="142"/>
      <c r="H20" s="142"/>
      <c r="I20" s="142"/>
    </row>
    <row r="21" spans="1:9" ht="12.75">
      <c r="A21" s="142" t="s">
        <v>213</v>
      </c>
      <c r="B21" s="142" t="s">
        <v>214</v>
      </c>
      <c r="C21" s="142" t="s">
        <v>215</v>
      </c>
      <c r="D21" s="142" t="s">
        <v>356</v>
      </c>
      <c r="E21" s="144" t="s">
        <v>350</v>
      </c>
      <c r="F21" s="145" t="s">
        <v>358</v>
      </c>
      <c r="G21" s="144" t="s">
        <v>349</v>
      </c>
      <c r="H21" s="144" t="s">
        <v>360</v>
      </c>
      <c r="I21" s="142"/>
    </row>
    <row r="22" spans="1:9" ht="12.75">
      <c r="A22" s="142">
        <f>'Single layer solutions'!L63*Area_CZ_arr Pin</f>
        <v>0</v>
      </c>
      <c r="B22" s="142">
        <f>'Single layer solutions'!P63*Area_CZ_arr Hole</f>
        <v>0</v>
      </c>
      <c r="C22" s="142">
        <f>'Single layer solutions'!T63*Area_CZ_arr Tear</f>
        <v>0</v>
      </c>
      <c r="D22" s="145">
        <f>A22+B22+C22</f>
        <v>0</v>
      </c>
      <c r="E22" s="142">
        <f>'Two Layer Solutions Layer Two'!K63*Area_two</f>
        <v>0</v>
      </c>
      <c r="F22" s="142">
        <f>E22+D22</f>
        <v>0</v>
      </c>
      <c r="G22" s="142">
        <f>Delamination!J63*Area_delam</f>
        <v>0</v>
      </c>
      <c r="H22" s="142">
        <f>F22+G22</f>
        <v>0</v>
      </c>
      <c r="I22" s="142"/>
    </row>
    <row r="23" spans="1:9" ht="12.75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12.75">
      <c r="A24" s="142"/>
      <c r="B24" s="142"/>
      <c r="C24" s="142"/>
      <c r="D24" s="142"/>
      <c r="E24" s="143"/>
      <c r="F24" s="142"/>
      <c r="G24" s="142"/>
      <c r="H24" s="142"/>
      <c r="I24" s="142"/>
    </row>
    <row r="25" spans="1:9" ht="12.75">
      <c r="A25" s="142"/>
      <c r="B25" s="142"/>
      <c r="C25" s="142"/>
      <c r="D25" s="142"/>
      <c r="E25" s="143"/>
      <c r="F25" s="142"/>
      <c r="G25" s="142"/>
      <c r="H25" s="142"/>
      <c r="I25" s="142"/>
    </row>
  </sheetData>
  <sheetProtection sheet="1" objects="1" scenarios="1"/>
  <mergeCells count="4">
    <mergeCell ref="A15:C15"/>
    <mergeCell ref="A20:C20"/>
    <mergeCell ref="A5:C5"/>
    <mergeCell ref="A10:C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65"/>
  <sheetViews>
    <sheetView workbookViewId="0" topLeftCell="A1">
      <selection activeCell="D10" sqref="D10"/>
    </sheetView>
  </sheetViews>
  <sheetFormatPr defaultColWidth="9.140625" defaultRowHeight="12.75"/>
  <cols>
    <col min="1" max="1" width="16.8515625" style="64" customWidth="1"/>
    <col min="2" max="3" width="11.00390625" style="64" bestFit="1" customWidth="1"/>
    <col min="4" max="4" width="10.421875" style="64" bestFit="1" customWidth="1"/>
    <col min="5" max="5" width="9.140625" style="64" customWidth="1"/>
    <col min="6" max="6" width="11.00390625" style="64" bestFit="1" customWidth="1"/>
    <col min="7" max="7" width="11.140625" style="64" bestFit="1" customWidth="1"/>
    <col min="8" max="10" width="11.00390625" style="64" bestFit="1" customWidth="1"/>
    <col min="11" max="11" width="11.140625" style="64" bestFit="1" customWidth="1"/>
    <col min="12" max="14" width="11.00390625" style="64" bestFit="1" customWidth="1"/>
    <col min="15" max="15" width="9.140625" style="64" customWidth="1"/>
    <col min="16" max="16" width="14.8515625" style="64" bestFit="1" customWidth="1"/>
    <col min="17" max="17" width="11.00390625" style="64" bestFit="1" customWidth="1"/>
    <col min="18" max="18" width="13.8515625" style="64" customWidth="1"/>
    <col min="19" max="19" width="10.421875" style="64" bestFit="1" customWidth="1"/>
    <col min="20" max="22" width="11.00390625" style="64" bestFit="1" customWidth="1"/>
    <col min="23" max="27" width="9.140625" style="64" customWidth="1"/>
    <col min="28" max="28" width="11.00390625" style="64" bestFit="1" customWidth="1"/>
    <col min="29" max="29" width="9.140625" style="64" customWidth="1"/>
    <col min="30" max="30" width="11.00390625" style="64" bestFit="1" customWidth="1"/>
    <col min="31" max="35" width="9.140625" style="64" customWidth="1"/>
    <col min="36" max="36" width="11.00390625" style="64" bestFit="1" customWidth="1"/>
    <col min="37" max="37" width="9.140625" style="64" customWidth="1"/>
    <col min="38" max="38" width="11.00390625" style="64" bestFit="1" customWidth="1"/>
    <col min="39" max="16384" width="9.140625" style="64" customWidth="1"/>
  </cols>
  <sheetData>
    <row r="1" spans="1:25" ht="15.75" customHeight="1">
      <c r="A1" s="64" t="s">
        <v>251</v>
      </c>
      <c r="B1" s="64" t="s">
        <v>252</v>
      </c>
      <c r="C1" s="64" t="s">
        <v>228</v>
      </c>
      <c r="D1" s="64" t="s">
        <v>229</v>
      </c>
      <c r="F1" s="65"/>
      <c r="G1" s="66" t="s">
        <v>216</v>
      </c>
      <c r="H1" s="65" t="s">
        <v>217</v>
      </c>
      <c r="I1" s="65" t="s">
        <v>220</v>
      </c>
      <c r="J1" s="66" t="s">
        <v>222</v>
      </c>
      <c r="K1" s="66" t="s">
        <v>219</v>
      </c>
      <c r="L1" s="65" t="s">
        <v>226</v>
      </c>
      <c r="M1" s="65" t="s">
        <v>225</v>
      </c>
      <c r="N1" s="66" t="s">
        <v>224</v>
      </c>
      <c r="O1" s="65" t="s">
        <v>223</v>
      </c>
      <c r="P1" s="65" t="s">
        <v>221</v>
      </c>
      <c r="Q1" s="65" t="s">
        <v>218</v>
      </c>
      <c r="R1" s="65" t="s">
        <v>227</v>
      </c>
      <c r="S1" s="64" t="s">
        <v>232</v>
      </c>
      <c r="T1" s="64" t="s">
        <v>231</v>
      </c>
      <c r="X1" s="76" t="s">
        <v>344</v>
      </c>
      <c r="Y1" s="64">
        <f>IF(Solution_type="a",Conc_LF,IF(OR(Defect_Choice=1,Defect_Choice=4),vel_cl_arr Pin,IF(OR(Defect_Choice=2,Defect_Choice=5),vel_cl_arr Hole,vel_cl_arr Tear)))</f>
        <v>100</v>
      </c>
    </row>
    <row r="2" spans="1:25" ht="11.25">
      <c r="A2" s="64" t="s">
        <v>253</v>
      </c>
      <c r="B2" s="64" t="s">
        <v>254</v>
      </c>
      <c r="C2" s="64" t="s">
        <v>255</v>
      </c>
      <c r="D2" s="64" t="s">
        <v>256</v>
      </c>
      <c r="E2" s="64" t="s">
        <v>275</v>
      </c>
      <c r="F2" s="67" t="s">
        <v>213</v>
      </c>
      <c r="G2" s="68">
        <f>(Head_inLF-Head_outLF)/ABS(Head_inLF-Head_outLF)*Q_pin/(A_Pin)</f>
        <v>-0.00011771054273835392</v>
      </c>
      <c r="H2" s="69">
        <f>1.5*vel_def_arr Pin*1</f>
        <v>-0.00017656581410753087</v>
      </c>
      <c r="I2" s="70">
        <f>1*pore_rad_def_arr Pin^2*umax_def_arr Pin^2/(192*Dw_cl)</f>
        <v>2.584235840324887E-08</v>
      </c>
      <c r="J2" s="71">
        <f>((Dw_cl+Dt_def_arr Pin))</f>
        <v>3.084235840324887E-08</v>
      </c>
      <c r="K2" s="72">
        <f>(Head_inLF-Head_outLF)/ABS(Head_inLF-Head_outLF)*Q_pin/CZ_Pin</f>
        <v>-4.985044865403783E-13</v>
      </c>
      <c r="L2" s="63">
        <f>1.5*vel_cl_arr Pin*n</f>
        <v>-1.2113659022931194E-13</v>
      </c>
      <c r="M2" s="63">
        <f>n*pore_radius^2*umax_cl_arr Pin^2/(192*Dw_cl)</f>
        <v>2.4762499018398395E-31</v>
      </c>
      <c r="N2" s="73">
        <f>D_mech*ABS(vel_cl_arr Pin)+((1/tau_cl)*(Dw_cl+Dt_cl_arr Pin))</f>
        <v>1E-09</v>
      </c>
      <c r="O2" s="63">
        <f>n_pin</f>
        <v>0.0002</v>
      </c>
      <c r="P2" s="65">
        <f>MIN(MIN((1-IF(CM=1,0,IF(GM_delam="Yes",Frac_Delam,0))))*Area_contact*(n_pin*CZ_Pin),MIN((1-IF(CM=1,0,IF(GM_delam="Yes",Frac_Delam,0))))*Area_contact*n_pin*CZ_Pin/P6)</f>
        <v>14403.76827272143</v>
      </c>
      <c r="Q2" s="65">
        <f>A_Pin*n_pin*Area_contact*(1-IF(CM=1,0,IF(GM_delam="Yes",Frac_Delam,0)))</f>
        <v>6.1000000000000005E-05</v>
      </c>
      <c r="R2" s="63">
        <f>SQRT((A_Pin/PI()))</f>
        <v>0.0008920620580763856</v>
      </c>
      <c r="S2" s="63">
        <f>IF(O2=0,0,IF(Solution_type="a",Conc_LF,(Conc_LF/2)*(ERFC_esi((thick_gm-(vel_def_arr Pin*tlarge))/(2*SQRT(D_def_arr Pin*tlarge)))+(EXP(vel_def_arr Pin*thick_gm/D_def_arr Pin)*ERFC_esi((thick_gm+(vel_def_arr Pin*tlarge))/(2*SQRT(D_def_arr Pin*tlarge)))))))</f>
        <v>100</v>
      </c>
      <c r="T2" s="63">
        <f>(EXP(MIN(700,(vel_cl_arr Pin*x/(2*D_cl_arr Pin))*(1-SQRT(vel_cl_arr Pin^2+(4*Decay_cl*R_cl*D_cl_arr Pin))/vel_cl_arr Pin)))*ERFC_esi((1/(2*SQRT(D_cl_arr Pin*tlarge/R_cl)))*(x-(vel_cl_arr Pin*tlarge*SQRT(vel_cl_arr Pin^2+(4*Decay_cl*R_cl*D_cl_arr Pin))/vel_cl_arr Pin/R_cl)))+EXP(MIN(700,(vel_cl_arr Pin*x/(2*D_cl_arr Pin))*(1+SQRT(vel_cl_arr Pin^2+(4*Decay_cl*R_cl*D_cl_arr Pin))/vel_cl_arr Pin)))*ERFC_esi((1/(2*SQRT(D_cl_arr Pin*tlarge/R_cl)))*(x+(vel_cl_arr Pin*tlarge*SQRT(vel_cl_arr Pin^2+(4*Decay_cl*R_cl*D_cl_arr Pin))/vel_cl_arr Pin/R_cl))))</f>
        <v>0.03641653606501877</v>
      </c>
      <c r="U2" s="64">
        <f>S2*T2</f>
        <v>3.641653606501877</v>
      </c>
      <c r="X2" s="71" t="s">
        <v>345</v>
      </c>
      <c r="Y2" s="64">
        <f>IF(Solution_type="a",Conc_LF,IF(OR(Defect_Choice=1,Defect_Choice=4),umax_cl_arr Pin,IF(OR(Defect_Choice=2,Defect_Choice=5),umax_cl_arr Hole,umax_cl_arr Tear)))</f>
        <v>100</v>
      </c>
    </row>
    <row r="3" spans="1:25" ht="11.25">
      <c r="A3" s="64" t="s">
        <v>257</v>
      </c>
      <c r="B3" s="64" t="s">
        <v>254</v>
      </c>
      <c r="C3" s="64" t="s">
        <v>248</v>
      </c>
      <c r="D3" s="64" t="s">
        <v>256</v>
      </c>
      <c r="E3" s="64" t="s">
        <v>275</v>
      </c>
      <c r="F3" s="67" t="s">
        <v>214</v>
      </c>
      <c r="G3" s="68">
        <f>(Head_inLF-Head_outLF)/ABS(Head_inLF-Head_outLF)*Q_hole/(A_hole)</f>
        <v>-0.00014389124618351148</v>
      </c>
      <c r="H3" s="69">
        <f>1.5*vel_def_arr Hole*1</f>
        <v>-0.00021583686927526723</v>
      </c>
      <c r="I3" s="70">
        <f>1*pore_rad_def_arr Hole^2*umax_def_arr Hole^2/(192*Dw_cl)</f>
        <v>3.089300507427142E-08</v>
      </c>
      <c r="J3" s="71">
        <f>((Dw_cl+Dt_def_arr Hole))</f>
        <v>3.5893005074271416E-08</v>
      </c>
      <c r="K3" s="68">
        <f>(Head_inLF-Head_outLF)/ABS(Head_inLF-Head_outLF)*Q_hole/CZ_hole</f>
        <v>-4.985044865403784E-13</v>
      </c>
      <c r="L3" s="63">
        <f>1.5*vel_cl_arr Hole*n</f>
        <v>-1.2113659022931194E-13</v>
      </c>
      <c r="M3" s="63">
        <f>n*pore_radius^2*umax_cl_arr Hole^2/(192*Dw_cl)</f>
        <v>2.4762499018398395E-31</v>
      </c>
      <c r="N3" s="73">
        <f>D_mech*ABS(vel_cl_arr Hole)+((1/tau_cl)*(Dw_cl+Dt_cl_arr Hole))</f>
        <v>1E-09</v>
      </c>
      <c r="O3" s="63">
        <f>n_hole</f>
        <v>0.0002</v>
      </c>
      <c r="P3" s="65">
        <f>MIN(MIN((1-IF(CM=1,0,IF(GM_delam="Yes",Frac_Delam,0))))*Area_contact*(n_hole*CZ_hole),MIN((1-IF(CM=1,0,IF(GM_delam="Yes",Frac_Delam,0))))*Area_contact*(n_hole*CZ_hole)/P6)</f>
        <v>14085.916984393265</v>
      </c>
      <c r="Q3" s="65">
        <f>A_hole*n_hole*Area_contact*(1-IF(CM=1,0,IF(GM_delam="Yes",Frac_Delam,0)))</f>
        <v>4.88E-05</v>
      </c>
      <c r="R3" s="63">
        <f>SQRT((A_hole/PI()))</f>
        <v>0.0007978845608028653</v>
      </c>
      <c r="S3" s="63">
        <f>IF(O3=0,0,IF(Solution_type="a",Conc_LF,(Conc_LF/2)*(ERFC_esi((thick_gm-(vel_def_arr Hole*tlarge))/(2*SQRT(D_def_arr Hole*tlarge)))+(EXP(vel_def_arr Hole*thick_gm/D_def_arr Hole)*ERFC_esi((thick_gm+(vel_def_arr Hole*tlarge))/(2*SQRT(D_def_arr Hole*tlarge)))))))</f>
        <v>100</v>
      </c>
      <c r="T3" s="63">
        <f>(EXP(MIN(700,(vel_cl_arr Hole*x/(2*D_cl_arr Hole))*(1-SQRT(vel_cl_arr Hole^2+(4*Decay_cl*R_cl*D_cl_arr Hole))/vel_cl_arr Hole)))*ERFC_esi((1/(2*SQRT(D_cl_arr Hole*tlarge/R_cl)))*(x-(vel_cl_arr Hole*tlarge*SQRT(vel_cl_arr Hole^2+(4*Decay_cl*R_cl*D_cl_arr Hole))/vel_cl_arr Hole/R_cl)))+EXP(MIN(700,(vel_cl_arr Hole*x/(2*D_cl_arr Hole))*(1+SQRT(vel_cl_arr Hole^2+(4*Decay_cl*R_cl*D_cl_arr Hole))/vel_cl_arr Hole)))*ERFC_esi((1/(2*SQRT(D_cl_arr Hole*tlarge/R_cl)))*(x+(vel_cl_arr Hole*tlarge*SQRT(vel_cl_arr Hole^2+(4*Decay_cl*R_cl*D_cl_arr Hole))/vel_cl_arr Hole/R_cl))))</f>
        <v>0.03641653606501877</v>
      </c>
      <c r="U3" s="64">
        <f>S3*T3</f>
        <v>3.641653606501877</v>
      </c>
      <c r="X3" s="76" t="s">
        <v>346</v>
      </c>
      <c r="Y3" s="64">
        <f>IF(Solution_type="a",Conc_LF,IF(OR(Defect_Choice=1,Defect_Choice=4),Dt_cl_arr Pin,IF(OR(Defect_Choice=2,Defect_Choice=5),Dt_cl_arr Hole,Dt_cl_arr Tear)))</f>
        <v>100</v>
      </c>
    </row>
    <row r="4" spans="1:25" ht="11.25">
      <c r="A4" s="64" t="s">
        <v>260</v>
      </c>
      <c r="B4" s="64" t="s">
        <v>261</v>
      </c>
      <c r="F4" s="67" t="s">
        <v>215</v>
      </c>
      <c r="G4" s="68">
        <f>(Head_inLF-Head_outLF)/ABS(Head_inLF-Head_outLF)*Q_tear/(w_tear*l_tear)</f>
        <v>-2.8162574428474186E-07</v>
      </c>
      <c r="H4" s="69">
        <f>1.5*vel_def_arr Tear*1</f>
        <v>-4.224386164271128E-07</v>
      </c>
      <c r="I4" s="70">
        <f>1*pore_rad_def_arr Tear^2*umax_def_arr Tear^2/(192*Dw_cl)</f>
        <v>4.6472496002305545E-14</v>
      </c>
      <c r="J4" s="71">
        <f>((Dw_cl+Dt_def_arr Tear))</f>
        <v>5.000046472496002E-09</v>
      </c>
      <c r="K4" s="68">
        <f>(Head_inLF-Head_outLF)/ABS(Head_inLF-Head_outLF)*Q_tear/CZ_tear</f>
        <v>-4.986345120239297E-13</v>
      </c>
      <c r="L4" s="63">
        <f>1.5*vel_cl_arr Tear*n</f>
        <v>-1.2116818642181492E-13</v>
      </c>
      <c r="M4" s="63">
        <f>n*pore_radius^2*umax_cl_arr Tear^2/(192*Dw_cl)</f>
        <v>2.477541836376848E-31</v>
      </c>
      <c r="N4" s="73">
        <f>D_mech*ABS(vel_cl_arr Tear)+((1/tau_cl)*(Dw_cl+Dt_cl_arr Tear))</f>
        <v>1E-09</v>
      </c>
      <c r="O4" s="63">
        <f>n_tear</f>
        <v>0.0001</v>
      </c>
      <c r="P4" s="65">
        <f>MIN(MIN((1-IF(CM=1,0,IF(GM_delam="Yes",Frac_Delam,0))))*Area_contact*(n_tear*CZ_tear),MIN((1-IF(CM=1,0,IF(GM_delam="Yes",Frac_Delam,0))))*Area_contact*(n_tear*CZ_tear)/P6)</f>
        <v>6890.485911871586</v>
      </c>
      <c r="Q4" s="65">
        <f>w_tear*l_tear*n_tear*Area_contact*(1-IF(CM=1,0,IF(GM_delam="Yes",Frac_Delam,0)))</f>
        <v>0.0122</v>
      </c>
      <c r="R4" s="63">
        <f>MIN(w_tear/2,l_tear/2)</f>
        <v>0.0005</v>
      </c>
      <c r="S4" s="63">
        <f>IF(O4=0,0,IF(Solution_type="a",Conc_LF,(Conc_LF/2)*(ERFC_esi((thick_gm-(vel_def_arr Tear*tlarge))/(2*SQRT(D_def_arr Tear*tlarge)))+(EXP(vel_def_arr Tear*thick_gm/D_def_arr Tear)*ERFC_esi((thick_gm+(vel_def_arr Tear*tlarge))/(2*SQRT(D_def_arr Tear*tlarge)))))))</f>
        <v>100</v>
      </c>
      <c r="T4" s="63">
        <f>(EXP(MIN(700,(vel_cl_arr Tear*x/(2*D_cl_arr Tear))*(1-SQRT(vel_cl_arr Tear^2+(4*Decay_cl*R_cl*D_cl_arr Tear))/vel_cl_arr Tear)))*ERFC_esi((1/(2*SQRT(D_cl_arr Tear*tlarge/R_cl)))*(x-(vel_cl_arr Tear*tlarge*SQRT(vel_cl_arr Tear^2+(4*Decay_cl*R_cl*D_cl_arr Tear))/vel_cl_arr Tear/R_cl)))+EXP(MIN(700,(vel_cl_arr Tear*x/(2*D_cl_arr Tear))*(1+SQRT(vel_cl_arr Tear^2+(4*Decay_cl*R_cl*D_cl_arr Tear))/vel_cl_arr Tear)))*ERFC_esi((1/(2*SQRT(D_cl_arr Tear*tlarge/R_cl)))*(x+(vel_cl_arr Tear*tlarge*SQRT(vel_cl_arr Tear^2+(4*Decay_cl*R_cl*D_cl_arr Tear))/vel_cl_arr Tear/R_cl))))</f>
        <v>0.03641653369733262</v>
      </c>
      <c r="U4" s="64">
        <f>S4*T4</f>
        <v>3.6416533697332625</v>
      </c>
      <c r="V4" s="64">
        <f>MAX(U2:U4)</f>
        <v>3.641653606501877</v>
      </c>
      <c r="X4" s="76" t="s">
        <v>347</v>
      </c>
      <c r="Y4" s="64">
        <f>IF(Solution_type="a",Conc_LF,IF(OR(Defect_Choice=1,Defect_Choice=4),D_cl_arr Pin,IF(OR(Defect_Choice=2,Defect_Choice=5),D_cl_arr Hole,D_cl_arr Tear)))</f>
        <v>100</v>
      </c>
    </row>
    <row r="5" spans="1:21" ht="11.25">
      <c r="A5" s="64" t="s">
        <v>262</v>
      </c>
      <c r="B5" s="64" t="s">
        <v>263</v>
      </c>
      <c r="D5" s="64" t="s">
        <v>229</v>
      </c>
      <c r="P5" s="64">
        <f>SUM(Area_CZ_arr)</f>
        <v>35380.17116898628</v>
      </c>
      <c r="Q5" s="77" t="s">
        <v>235</v>
      </c>
      <c r="R5" s="76" t="s">
        <v>236</v>
      </c>
      <c r="S5" s="63">
        <f>(S4*Q2+S3*Q3+S2*Q4)/Q6</f>
        <v>99.99999999999999</v>
      </c>
      <c r="T5" s="64" t="s">
        <v>259</v>
      </c>
      <c r="U5" s="64">
        <f>IF(V4=U4,3,IF(V4=U3,2,1))+IF(Cont_Class="List I",0,3)</f>
        <v>2</v>
      </c>
    </row>
    <row r="6" spans="8:20" ht="11.25">
      <c r="H6" s="76"/>
      <c r="I6" s="76"/>
      <c r="J6" s="76"/>
      <c r="K6" s="76"/>
      <c r="L6" s="76"/>
      <c r="M6" s="76"/>
      <c r="N6" s="76" t="s">
        <v>92</v>
      </c>
      <c r="P6" s="64">
        <f>IF((n_pin*CZ_Pin)+(n_hole*CZ_hole)+(n_tear*CZ_tear)=0,1,(n_pin*CZ_Pin)+(n_hole*CZ_hole)+(n_tear*CZ_tear))</f>
        <v>0.29000140302447774</v>
      </c>
      <c r="Q6" s="63">
        <f>SUM(area_def_arr)</f>
        <v>0.012309800000000001</v>
      </c>
      <c r="S6" s="76" t="s">
        <v>49</v>
      </c>
      <c r="T6" s="76" t="s">
        <v>234</v>
      </c>
    </row>
    <row r="7" spans="8:20" ht="11.25">
      <c r="H7" s="63"/>
      <c r="I7" s="63"/>
      <c r="J7" s="63"/>
      <c r="K7" s="63"/>
      <c r="L7" s="63"/>
      <c r="M7" s="63"/>
      <c r="N7" s="63">
        <f>D_cl</f>
        <v>1E-09</v>
      </c>
      <c r="O7" s="63"/>
      <c r="P7" s="63"/>
      <c r="R7" s="63"/>
      <c r="S7" s="63">
        <f>Conc_def</f>
        <v>100</v>
      </c>
      <c r="T7" s="63">
        <f>(EXP(MIN(700,(vel_cl*x/(2*D_cl))*(1-SQRT(vel_cl^2+(4*Decay_cl*R_cl*D_cl))/vel_cl)))*ERFC_esi((1/(2*SQRT(D_cl*tlarge/R_cl)))*(x-(vel_cl*tlarge*SQRT(vel_cl^2+(4*Decay_cl*R_cl*D_cl))/vel_cl/R_cl)))+EXP(MIN(700,(vel_cl*x/(2*D_cl))*(1+SQRT(vel_cl^2+(4*Decay_cl*R_cl*D_cl))/vel_cl)))*ERFC_esi((1/(2*SQRT(D_cl*tlarge/R_cl)))*(x+(vel_cl*tlarge*SQRT(vel_cl^2+(4*Decay_cl*R_cl*D_cl))/vel_cl/R_cl))))</f>
        <v>0.036369434554185516</v>
      </c>
    </row>
    <row r="8" spans="1:4" ht="11.25">
      <c r="A8" s="64" t="s">
        <v>266</v>
      </c>
      <c r="B8" s="64" t="str">
        <f>Cont_Class</f>
        <v>List I</v>
      </c>
      <c r="C8" s="76" t="s">
        <v>233</v>
      </c>
      <c r="D8" s="63">
        <v>12</v>
      </c>
    </row>
    <row r="9" spans="1:38" ht="11.25">
      <c r="A9" s="64" t="s">
        <v>267</v>
      </c>
      <c r="B9" s="64" t="str">
        <f>Cont_Type</f>
        <v>Organic</v>
      </c>
      <c r="C9" s="71" t="s">
        <v>18</v>
      </c>
      <c r="D9" s="63">
        <f>thick_cl</f>
        <v>1</v>
      </c>
      <c r="H9" s="154" t="s">
        <v>258</v>
      </c>
      <c r="I9" s="154"/>
      <c r="J9" s="154"/>
      <c r="K9" s="154"/>
      <c r="L9" s="155" t="s">
        <v>237</v>
      </c>
      <c r="M9" s="155"/>
      <c r="N9" s="155"/>
      <c r="O9" s="155"/>
      <c r="P9" s="155" t="s">
        <v>238</v>
      </c>
      <c r="Q9" s="155"/>
      <c r="R9" s="155"/>
      <c r="S9" s="155"/>
      <c r="T9" s="155" t="s">
        <v>239</v>
      </c>
      <c r="U9" s="155"/>
      <c r="V9" s="155"/>
      <c r="W9" s="155"/>
      <c r="AA9" s="78"/>
      <c r="AB9" s="78"/>
      <c r="AC9" s="78"/>
      <c r="AD9" s="78"/>
      <c r="AG9" s="78"/>
      <c r="AH9" s="78"/>
      <c r="AI9" s="78"/>
      <c r="AJ9" s="78"/>
      <c r="AK9" s="78"/>
      <c r="AL9" s="78"/>
    </row>
    <row r="10" spans="1:22" ht="11.25">
      <c r="A10" s="64" t="s">
        <v>268</v>
      </c>
      <c r="B10" s="64">
        <f>CM</f>
        <v>1</v>
      </c>
      <c r="G10" s="71"/>
      <c r="H10" s="75"/>
      <c r="I10" s="74"/>
      <c r="J10" s="75"/>
      <c r="L10" s="75"/>
      <c r="M10" s="74"/>
      <c r="N10" s="75"/>
      <c r="P10" s="75"/>
      <c r="Q10" s="74"/>
      <c r="R10" s="75"/>
      <c r="T10" s="75"/>
      <c r="U10" s="74"/>
      <c r="V10" s="75"/>
    </row>
    <row r="11" spans="1:22" ht="11.25">
      <c r="A11" s="64" t="s">
        <v>324</v>
      </c>
      <c r="B11" s="64">
        <f>IF(Solution_type="b",Area_CZ,Area_Flux)</f>
        <v>122000</v>
      </c>
      <c r="C11" s="64" t="str">
        <f>Solution_type</f>
        <v>a</v>
      </c>
      <c r="G11" s="71"/>
      <c r="H11" s="75" t="s">
        <v>264</v>
      </c>
      <c r="I11" s="74" t="s">
        <v>52</v>
      </c>
      <c r="J11" s="75" t="s">
        <v>264</v>
      </c>
      <c r="L11" s="75" t="s">
        <v>264</v>
      </c>
      <c r="M11" s="74" t="s">
        <v>52</v>
      </c>
      <c r="N11" s="75" t="s">
        <v>264</v>
      </c>
      <c r="P11" s="75" t="s">
        <v>264</v>
      </c>
      <c r="Q11" s="74" t="s">
        <v>52</v>
      </c>
      <c r="R11" s="75" t="s">
        <v>264</v>
      </c>
      <c r="T11" s="75" t="s">
        <v>264</v>
      </c>
      <c r="U11" s="74" t="s">
        <v>52</v>
      </c>
      <c r="V11" s="75" t="s">
        <v>264</v>
      </c>
    </row>
    <row r="12" spans="1:22" ht="11.25">
      <c r="A12" s="76" t="s">
        <v>265</v>
      </c>
      <c r="B12" s="76" t="s">
        <v>318</v>
      </c>
      <c r="C12" s="126"/>
      <c r="D12" s="126"/>
      <c r="F12" s="71" t="s">
        <v>58</v>
      </c>
      <c r="G12" s="71" t="s">
        <v>59</v>
      </c>
      <c r="H12" s="75" t="s">
        <v>200</v>
      </c>
      <c r="I12" s="74" t="s">
        <v>199</v>
      </c>
      <c r="J12" s="75" t="s">
        <v>212</v>
      </c>
      <c r="L12" s="75" t="s">
        <v>200</v>
      </c>
      <c r="M12" s="74" t="s">
        <v>199</v>
      </c>
      <c r="N12" s="75" t="s">
        <v>212</v>
      </c>
      <c r="P12" s="75" t="s">
        <v>200</v>
      </c>
      <c r="Q12" s="74" t="s">
        <v>199</v>
      </c>
      <c r="R12" s="75" t="s">
        <v>212</v>
      </c>
      <c r="T12" s="75" t="s">
        <v>200</v>
      </c>
      <c r="U12" s="74" t="s">
        <v>199</v>
      </c>
      <c r="V12" s="75" t="s">
        <v>212</v>
      </c>
    </row>
    <row r="13" spans="1:22" ht="11.25">
      <c r="A1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1.9790867653005497E-06</v>
      </c>
      <c r="B1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5.028703533663919E-08</v>
      </c>
      <c r="C13" s="127"/>
      <c r="D13" s="127"/>
      <c r="F13" s="71">
        <f>tmin</f>
        <v>1</v>
      </c>
      <c r="G13" s="71">
        <f aca="true" t="shared" si="0" ref="G13:G63">F13*365*24*60*60</f>
        <v>31536000</v>
      </c>
      <c r="H13" s="75">
        <f>IF(Solution_type="a",n*GetJ_1laysol_L(Conc_def/1000,thick_cl,$G13,x,R_cl,D_cl,Decay_cl,vel_cl,nsum),0)</f>
        <v>9.542397279968872E-18</v>
      </c>
      <c r="I13" s="74">
        <f>IF(Solution_type="a",Get_1laysol_inf(Conc_def,thick_cl,$G13,x,R_cl,D_cl,Decay_cl,vel_cl,nsum),0)</f>
        <v>1.9790867653005497E-06</v>
      </c>
      <c r="J13" s="75">
        <f aca="true" t="shared" si="1" ref="J13:J44">IF(Solution_type="a",(n)*GetJ_1laysol_inf(Conc_def/1000,thick_cl,$G13,x,R_cl,D_cl,Decay_cl,vel_cl,nsum),0)</f>
        <v>4.770703868457725E-18</v>
      </c>
      <c r="L13" s="75">
        <f>IF(NOT(Solution_type="a"),n*GetJ_1laysol_L(Conc_def_arr Pin/1000,thick_cl,$G13,x,R_cl,D_cl_arr Pin,Decay_cl,vel_cl_arr Pin,nsum),0)</f>
        <v>0</v>
      </c>
      <c r="M13" s="74">
        <f>IF(NOT(Solution_type="a"),Get_1laysol_inf(Conc_def_arr Pin,thick_cl,$G13,x,R_cl,D_cl_arr Pin,Decay_cl,vel_cl_arr Pin,nsum),0)</f>
        <v>0</v>
      </c>
      <c r="N13" s="75">
        <f>IF(NOT(Solution_type="a"),(n)*GetJ_1laysol_inf(Conc_def_arr Pin/1000,thick_cl,$G13,x,R_cl,D_cl_arr Pin,Decay_cl,vel_cl_arr Pin,nsum),0)</f>
        <v>0</v>
      </c>
      <c r="P13" s="75">
        <f>IF(NOT(Solution_type="a"),n*GetJ_1laysol_L(Conc_def_arr Hole/1000,thick_cl,$G13,x,R_cl,D_cl_arr Hole,Decay_cl,vel_cl_arr Hole,nsum),0)</f>
        <v>0</v>
      </c>
      <c r="Q13" s="74">
        <f>IF(NOT(Solution_type="a"),Get_1laysol_inf(Conc_def_arr Hole,thick_cl,$G13,x,R_cl,D_cl_arr Hole,Decay_cl,vel_cl_arr Hole,nsum),0)</f>
        <v>0</v>
      </c>
      <c r="R13" s="75">
        <f>IF(NOT(Solution_type="a"),(n)*GetJ_1laysol_inf(Conc_def_arr Hole/1000,thick_cl,$G13,x,R_cl,D_cl_arr Hole,Decay_cl,vel_cl_arr Hole,nsum),0)</f>
        <v>0</v>
      </c>
      <c r="T13" s="75">
        <f>IF(NOT(Solution_type="a"),n*GetJ_1laysol_L(Conc_def_arr Tear/1000,thick_cl,$G13,x,R_cl,D_cl_arr Tear,Decay_cl,vel_cl_arr Tear,nsum),0)</f>
        <v>0</v>
      </c>
      <c r="U13" s="74">
        <f>IF(NOT(Solution_type="a"),Get_1laysol_inf(Conc_def_arr Tear,thick_cl,$G13,x,R_cl,D_cl_arr Tear,Decay_cl,vel_cl_arr Tear,nsum),0)</f>
        <v>0</v>
      </c>
      <c r="V13" s="75">
        <f>IF(NOT(Solution_type="a"),(n)*GetJ_1laysol_inf(Conc_def_arr Tear/1000,thick_cl,$G13,x,R_cl,D_cl_arr Tear,Decay_cl,vel_cl_arr Tear,nsum),0)</f>
        <v>0</v>
      </c>
    </row>
    <row r="14" spans="1:22" ht="11.25">
      <c r="A14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4.29926078960053E-06</v>
      </c>
      <c r="B14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6.994483052621813E-08</v>
      </c>
      <c r="C14" s="127"/>
      <c r="D14" s="127"/>
      <c r="F14" s="71">
        <f>F13*tscale</f>
        <v>1.1481536214968828</v>
      </c>
      <c r="G14" s="71">
        <f t="shared" si="0"/>
        <v>36208172.6075257</v>
      </c>
      <c r="H14" s="75">
        <f>IF(Solution_type="a",n*GetJ_1laysol_L(Conc_def/1000,thick_cl,$G14,x,R_cl,D_cl,Decay_cl,vel_cl,nsum),0)</f>
        <v>1.3273406178450451E-17</v>
      </c>
      <c r="I14" s="74">
        <f>IF(Solution_type="a",Get_1laysol_inf(Conc_def,thick_cl,$G14,x,R_cl,D_cl,Decay_cl,vel_cl,nsum),0)</f>
        <v>4.29926078960053E-06</v>
      </c>
      <c r="J14" s="75">
        <f>IF(Solution_type="a",(n)*GetJ_1laysol_inf(Conc_def/1000,thick_cl,$G14,x,R_cl,D_cl,Decay_cl,vel_cl,nsum),0)</f>
        <v>6.635628275483656E-18</v>
      </c>
      <c r="L14" s="75">
        <f>IF(NOT(Solution_type="a"),n*GetJ_1laysol_L(Conc_def_arr Pin/1000,thick_cl,$G14,x,R_cl,D_cl_arr Pin,Decay_cl,vel_cl_arr Pin,nsum),0)</f>
        <v>0</v>
      </c>
      <c r="M14" s="74">
        <f>IF(NOT(Solution_type="a"),Get_1laysol_inf(Conc_def_arr Pin,thick_cl,$G14,x,R_cl,D_cl_arr Pin,Decay_cl,vel_cl_arr Pin,nsum),0)</f>
        <v>0</v>
      </c>
      <c r="N14" s="75">
        <f>IF(NOT(Solution_type="a"),(n)*GetJ_1laysol_inf(Conc_def_arr Pin/1000,thick_cl,$G14,x,R_cl,D_cl_arr Pin,Decay_cl,vel_cl_arr Pin,nsum),0)</f>
        <v>0</v>
      </c>
      <c r="P14" s="75">
        <f>IF(NOT(Solution_type="a"),n*GetJ_1laysol_L(Conc_def_arr Hole/1000,thick_cl,$G14,x,R_cl,D_cl_arr Hole,Decay_cl,vel_cl_arr Hole,nsum),0)</f>
        <v>0</v>
      </c>
      <c r="Q14" s="74">
        <f>IF(NOT(Solution_type="a"),Get_1laysol_inf(Conc_def_arr Hole,thick_cl,$G14,x,R_cl,D_cl_arr Hole,Decay_cl,vel_cl_arr Hole,nsum),0)</f>
        <v>0</v>
      </c>
      <c r="R14" s="75">
        <f>IF(NOT(Solution_type="a"),(n)*GetJ_1laysol_inf(Conc_def_arr Hole/1000,thick_cl,$G14,x,R_cl,D_cl_arr Hole,Decay_cl,vel_cl_arr Hole,nsum),0)</f>
        <v>0</v>
      </c>
      <c r="T14" s="75">
        <f>IF(NOT(Solution_type="a"),n*GetJ_1laysol_L(Conc_def_arr Tear/1000,thick_cl,$G14,x,R_cl,D_cl_arr Tear,Decay_cl,vel_cl_arr Tear,nsum),0)</f>
        <v>0</v>
      </c>
      <c r="U14" s="74">
        <f>IF(NOT(Solution_type="a"),Get_1laysol_inf(Conc_def_arr Tear,thick_cl,$G14,x,R_cl,D_cl_arr Tear,Decay_cl,vel_cl_arr Tear,nsum),0)</f>
        <v>0</v>
      </c>
      <c r="V14" s="75">
        <f>IF(NOT(Solution_type="a"),(n)*GetJ_1laysol_inf(Conc_def_arr Tear/1000,thick_cl,$G14,x,R_cl,D_cl_arr Tear,Decay_cl,vel_cl_arr Tear,nsum),0)</f>
        <v>0</v>
      </c>
    </row>
    <row r="15" spans="1:22" ht="11.25">
      <c r="A15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6.008684291226461E-06</v>
      </c>
      <c r="B15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2.303081884415999E-08</v>
      </c>
      <c r="C15" s="127"/>
      <c r="D15" s="127"/>
      <c r="F15" s="71">
        <f aca="true" t="shared" si="2" ref="F15:F62">F14*tscale</f>
        <v>1.3182567385564072</v>
      </c>
      <c r="G15" s="71">
        <f t="shared" si="0"/>
        <v>41572544.50711486</v>
      </c>
      <c r="H15" s="75">
        <f aca="true" t="shared" si="3" ref="H15:H44">IF(Solution_type="a",n*GetJ_1laysol_L(Conc_def/1000,thick_cl,$G15,x,R_cl,D_cl,Decay_cl,vel_cl,nsum),0)</f>
        <v>4.372846997213636E-18</v>
      </c>
      <c r="I15" s="74">
        <f aca="true" t="shared" si="4" ref="I15:I44">IF(Solution_type="a",Get_1laysol_inf(Conc_def,thick_cl,$G15,x,R_cl,D_cl,Decay_cl,vel_cl,nsum),0)</f>
        <v>6.008684291226461E-06</v>
      </c>
      <c r="J15" s="75">
        <f t="shared" si="1"/>
        <v>2.184921338433515E-18</v>
      </c>
      <c r="L15" s="75">
        <f>IF(NOT(Solution_type="a"),n*GetJ_1laysol_L(Conc_def_arr Pin/1000,thick_cl,$G15,x,R_cl,D_cl_arr Pin,Decay_cl,vel_cl_arr Pin,nsum),0)</f>
        <v>0</v>
      </c>
      <c r="M15" s="74">
        <f>IF(NOT(Solution_type="a"),Get_1laysol_inf(Conc_def_arr Pin,thick_cl,$G15,x,R_cl,D_cl_arr Pin,Decay_cl,vel_cl_arr Pin,nsum),0)</f>
        <v>0</v>
      </c>
      <c r="N15" s="75">
        <f>IF(NOT(Solution_type="a"),(n)*GetJ_1laysol_inf(Conc_def_arr Pin/1000,thick_cl,$G15,x,R_cl,D_cl_arr Pin,Decay_cl,vel_cl_arr Pin,nsum),0)</f>
        <v>0</v>
      </c>
      <c r="P15" s="75">
        <f>IF(NOT(Solution_type="a"),n*GetJ_1laysol_L(Conc_def_arr Hole/1000,thick_cl,$G15,x,R_cl,D_cl_arr Hole,Decay_cl,vel_cl_arr Hole,nsum),0)</f>
        <v>0</v>
      </c>
      <c r="Q15" s="74">
        <f>IF(NOT(Solution_type="a"),Get_1laysol_inf(Conc_def_arr Hole,thick_cl,$G15,x,R_cl,D_cl_arr Hole,Decay_cl,vel_cl_arr Hole,nsum),0)</f>
        <v>0</v>
      </c>
      <c r="R15" s="75">
        <f>IF(NOT(Solution_type="a"),(n)*GetJ_1laysol_inf(Conc_def_arr Hole/1000,thick_cl,$G15,x,R_cl,D_cl_arr Hole,Decay_cl,vel_cl_arr Hole,nsum),0)</f>
        <v>0</v>
      </c>
      <c r="T15" s="75">
        <f>IF(NOT(Solution_type="a"),n*GetJ_1laysol_L(Conc_def_arr Tear/1000,thick_cl,$G15,x,R_cl,D_cl_arr Tear,Decay_cl,vel_cl_arr Tear,nsum),0)</f>
        <v>0</v>
      </c>
      <c r="U15" s="74">
        <f>IF(NOT(Solution_type="a"),Get_1laysol_inf(Conc_def_arr Tear,thick_cl,$G15,x,R_cl,D_cl_arr Tear,Decay_cl,vel_cl_arr Tear,nsum),0)</f>
        <v>0</v>
      </c>
      <c r="V15" s="75">
        <f>IF(NOT(Solution_type="a"),(n)*GetJ_1laysol_inf(Conc_def_arr Tear/1000,thick_cl,$G15,x,R_cl,D_cl_arr Tear,Decay_cl,vel_cl_arr Tear,nsum),0)</f>
        <v>0</v>
      </c>
    </row>
    <row r="16" spans="1:22" ht="11.25">
      <c r="A16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2.585479569464334E-06</v>
      </c>
      <c r="B16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-1.7733017819064827E-07</v>
      </c>
      <c r="C16" s="127"/>
      <c r="D16" s="127"/>
      <c r="F16" s="71">
        <f t="shared" si="2"/>
        <v>1.5135612484362084</v>
      </c>
      <c r="G16" s="71">
        <f t="shared" si="0"/>
        <v>47731667.53068427</v>
      </c>
      <c r="H16" s="75">
        <f t="shared" si="3"/>
        <v>-3.364514375943114E-17</v>
      </c>
      <c r="I16" s="74">
        <f t="shared" si="4"/>
        <v>2.585479569464334E-06</v>
      </c>
      <c r="J16" s="75">
        <f t="shared" si="1"/>
        <v>-1.682321817989605E-17</v>
      </c>
      <c r="L16" s="75">
        <f>IF(NOT(Solution_type="a"),n*GetJ_1laysol_L(Conc_def_arr Pin/1000,thick_cl,$G16,x,R_cl,D_cl_arr Pin,Decay_cl,vel_cl_arr Pin,nsum),0)</f>
        <v>0</v>
      </c>
      <c r="M16" s="74">
        <f>IF(NOT(Solution_type="a"),Get_1laysol_inf(Conc_def_arr Pin,thick_cl,$G16,x,R_cl,D_cl_arr Pin,Decay_cl,vel_cl_arr Pin,nsum),0)</f>
        <v>0</v>
      </c>
      <c r="N16" s="75">
        <f>IF(NOT(Solution_type="a"),(n)*GetJ_1laysol_inf(Conc_def_arr Pin/1000,thick_cl,$G16,x,R_cl,D_cl_arr Pin,Decay_cl,vel_cl_arr Pin,nsum),0)</f>
        <v>0</v>
      </c>
      <c r="P16" s="75">
        <f>IF(NOT(Solution_type="a"),n*GetJ_1laysol_L(Conc_def_arr Hole/1000,thick_cl,$G16,x,R_cl,D_cl_arr Hole,Decay_cl,vel_cl_arr Hole,nsum),0)</f>
        <v>0</v>
      </c>
      <c r="Q16" s="74">
        <f>IF(NOT(Solution_type="a"),Get_1laysol_inf(Conc_def_arr Hole,thick_cl,$G16,x,R_cl,D_cl_arr Hole,Decay_cl,vel_cl_arr Hole,nsum),0)</f>
        <v>0</v>
      </c>
      <c r="R16" s="75">
        <f>IF(NOT(Solution_type="a"),(n)*GetJ_1laysol_inf(Conc_def_arr Hole/1000,thick_cl,$G16,x,R_cl,D_cl_arr Hole,Decay_cl,vel_cl_arr Hole,nsum),0)</f>
        <v>0</v>
      </c>
      <c r="T16" s="75">
        <f>IF(NOT(Solution_type="a"),n*GetJ_1laysol_L(Conc_def_arr Tear/1000,thick_cl,$G16,x,R_cl,D_cl_arr Tear,Decay_cl,vel_cl_arr Tear,nsum),0)</f>
        <v>0</v>
      </c>
      <c r="U16" s="74">
        <f>IF(NOT(Solution_type="a"),Get_1laysol_inf(Conc_def_arr Tear,thick_cl,$G16,x,R_cl,D_cl_arr Tear,Decay_cl,vel_cl_arr Tear,nsum),0)</f>
        <v>0</v>
      </c>
      <c r="V16" s="75">
        <f>IF(NOT(Solution_type="a"),(n)*GetJ_1laysol_inf(Conc_def_arr Tear/1000,thick_cl,$G16,x,R_cl,D_cl_arr Tear,Decay_cl,vel_cl_arr Tear,nsum),0)</f>
        <v>0</v>
      </c>
    </row>
    <row r="17" spans="1:22" ht="11.25">
      <c r="A17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-1.2824950879531674E-05</v>
      </c>
      <c r="B17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-5.595809655271138E-07</v>
      </c>
      <c r="C17" s="127"/>
      <c r="D17" s="127"/>
      <c r="F17" s="71">
        <f t="shared" si="2"/>
        <v>1.7378008287493758</v>
      </c>
      <c r="G17" s="71">
        <f t="shared" si="0"/>
        <v>54803286.93544031</v>
      </c>
      <c r="H17" s="75">
        <f t="shared" si="3"/>
        <v>-1.0618070087280034E-16</v>
      </c>
      <c r="I17" s="74">
        <f t="shared" si="4"/>
        <v>-1.2824950879531674E-05</v>
      </c>
      <c r="J17" s="75">
        <f t="shared" si="1"/>
        <v>-5.3087143815186116E-17</v>
      </c>
      <c r="L17" s="75">
        <f>IF(NOT(Solution_type="a"),n*GetJ_1laysol_L(Conc_def_arr Pin/1000,thick_cl,$G17,x,R_cl,D_cl_arr Pin,Decay_cl,vel_cl_arr Pin,nsum),0)</f>
        <v>0</v>
      </c>
      <c r="M17" s="74">
        <f>IF(NOT(Solution_type="a"),Get_1laysol_inf(Conc_def_arr Pin,thick_cl,$G17,x,R_cl,D_cl_arr Pin,Decay_cl,vel_cl_arr Pin,nsum),0)</f>
        <v>0</v>
      </c>
      <c r="N17" s="75">
        <f>IF(NOT(Solution_type="a"),(n)*GetJ_1laysol_inf(Conc_def_arr Pin/1000,thick_cl,$G17,x,R_cl,D_cl_arr Pin,Decay_cl,vel_cl_arr Pin,nsum),0)</f>
        <v>0</v>
      </c>
      <c r="P17" s="75">
        <f>IF(NOT(Solution_type="a"),n*GetJ_1laysol_L(Conc_def_arr Hole/1000,thick_cl,$G17,x,R_cl,D_cl_arr Hole,Decay_cl,vel_cl_arr Hole,nsum),0)</f>
        <v>0</v>
      </c>
      <c r="Q17" s="74">
        <f>IF(NOT(Solution_type="a"),Get_1laysol_inf(Conc_def_arr Hole,thick_cl,$G17,x,R_cl,D_cl_arr Hole,Decay_cl,vel_cl_arr Hole,nsum),0)</f>
        <v>0</v>
      </c>
      <c r="R17" s="75">
        <f>IF(NOT(Solution_type="a"),(n)*GetJ_1laysol_inf(Conc_def_arr Hole/1000,thick_cl,$G17,x,R_cl,D_cl_arr Hole,Decay_cl,vel_cl_arr Hole,nsum),0)</f>
        <v>0</v>
      </c>
      <c r="T17" s="75">
        <f>IF(NOT(Solution_type="a"),n*GetJ_1laysol_L(Conc_def_arr Tear/1000,thick_cl,$G17,x,R_cl,D_cl_arr Tear,Decay_cl,vel_cl_arr Tear,nsum),0)</f>
        <v>0</v>
      </c>
      <c r="U17" s="74">
        <f>IF(NOT(Solution_type="a"),Get_1laysol_inf(Conc_def_arr Tear,thick_cl,$G17,x,R_cl,D_cl_arr Tear,Decay_cl,vel_cl_arr Tear,nsum),0)</f>
        <v>0</v>
      </c>
      <c r="V17" s="75">
        <f>IF(NOT(Solution_type="a"),(n)*GetJ_1laysol_inf(Conc_def_arr Tear/1000,thick_cl,$G17,x,R_cl,D_cl_arr Tear,Decay_cl,vel_cl_arr Tear,nsum),0)</f>
        <v>0</v>
      </c>
    </row>
    <row r="18" spans="1:22" ht="11.25">
      <c r="A18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-4.340778607944705E-05</v>
      </c>
      <c r="B18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-9.323863800461037E-07</v>
      </c>
      <c r="C18" s="127"/>
      <c r="D18" s="127"/>
      <c r="F18" s="71">
        <f t="shared" si="2"/>
        <v>1.9952623149688802</v>
      </c>
      <c r="G18" s="71">
        <f t="shared" si="0"/>
        <v>62922592.364858605</v>
      </c>
      <c r="H18" s="75">
        <f t="shared" si="3"/>
        <v>-1.7693169160589806E-16</v>
      </c>
      <c r="I18" s="74">
        <f t="shared" si="4"/>
        <v>-4.340778607944705E-05</v>
      </c>
      <c r="J18" s="75">
        <f t="shared" si="1"/>
        <v>-8.845499203533922E-17</v>
      </c>
      <c r="L18" s="75">
        <f>IF(NOT(Solution_type="a"),n*GetJ_1laysol_L(Conc_def_arr Pin/1000,thick_cl,$G18,x,R_cl,D_cl_arr Pin,Decay_cl,vel_cl_arr Pin,nsum),0)</f>
        <v>0</v>
      </c>
      <c r="M18" s="74">
        <f>IF(NOT(Solution_type="a"),Get_1laysol_inf(Conc_def_arr Pin,thick_cl,$G18,x,R_cl,D_cl_arr Pin,Decay_cl,vel_cl_arr Pin,nsum),0)</f>
        <v>0</v>
      </c>
      <c r="N18" s="75">
        <f>IF(NOT(Solution_type="a"),(n)*GetJ_1laysol_inf(Conc_def_arr Pin/1000,thick_cl,$G18,x,R_cl,D_cl_arr Pin,Decay_cl,vel_cl_arr Pin,nsum),0)</f>
        <v>0</v>
      </c>
      <c r="P18" s="75">
        <f>IF(NOT(Solution_type="a"),n*GetJ_1laysol_L(Conc_def_arr Hole/1000,thick_cl,$G18,x,R_cl,D_cl_arr Hole,Decay_cl,vel_cl_arr Hole,nsum),0)</f>
        <v>0</v>
      </c>
      <c r="Q18" s="74">
        <f>IF(NOT(Solution_type="a"),Get_1laysol_inf(Conc_def_arr Hole,thick_cl,$G18,x,R_cl,D_cl_arr Hole,Decay_cl,vel_cl_arr Hole,nsum),0)</f>
        <v>0</v>
      </c>
      <c r="R18" s="75">
        <f>IF(NOT(Solution_type="a"),(n)*GetJ_1laysol_inf(Conc_def_arr Hole/1000,thick_cl,$G18,x,R_cl,D_cl_arr Hole,Decay_cl,vel_cl_arr Hole,nsum),0)</f>
        <v>0</v>
      </c>
      <c r="T18" s="75">
        <f>IF(NOT(Solution_type="a"),n*GetJ_1laysol_L(Conc_def_arr Tear/1000,thick_cl,$G18,x,R_cl,D_cl_arr Tear,Decay_cl,vel_cl_arr Tear,nsum),0)</f>
        <v>0</v>
      </c>
      <c r="U18" s="74">
        <f>IF(NOT(Solution_type="a"),Get_1laysol_inf(Conc_def_arr Tear,thick_cl,$G18,x,R_cl,D_cl_arr Tear,Decay_cl,vel_cl_arr Tear,nsum),0)</f>
        <v>0</v>
      </c>
      <c r="V18" s="75">
        <f>IF(NOT(Solution_type="a"),(n)*GetJ_1laysol_inf(Conc_def_arr Tear/1000,thick_cl,$G18,x,R_cl,D_cl_arr Tear,Decay_cl,vel_cl_arr Tear,nsum),0)</f>
        <v>0</v>
      </c>
    </row>
    <row r="19" spans="1:22" ht="11.25">
      <c r="A19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-7.704892536362276E-05</v>
      </c>
      <c r="B19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-7.852069066551072E-07</v>
      </c>
      <c r="C19" s="127"/>
      <c r="D19" s="127"/>
      <c r="F19" s="71">
        <f t="shared" si="2"/>
        <v>2.290867652767774</v>
      </c>
      <c r="G19" s="71">
        <f t="shared" si="0"/>
        <v>72244802.29768452</v>
      </c>
      <c r="H19" s="75">
        <f t="shared" si="3"/>
        <v>-1.4902284922439505E-16</v>
      </c>
      <c r="I19" s="74">
        <f t="shared" si="4"/>
        <v>-7.704892536362276E-05</v>
      </c>
      <c r="J19" s="75">
        <f t="shared" si="1"/>
        <v>-7.449215492705556E-17</v>
      </c>
      <c r="L19" s="75">
        <f>IF(NOT(Solution_type="a"),n*GetJ_1laysol_L(Conc_def_arr Pin/1000,thick_cl,$G19,x,R_cl,D_cl_arr Pin,Decay_cl,vel_cl_arr Pin,nsum),0)</f>
        <v>0</v>
      </c>
      <c r="M19" s="74">
        <f>IF(NOT(Solution_type="a"),Get_1laysol_inf(Conc_def_arr Pin,thick_cl,$G19,x,R_cl,D_cl_arr Pin,Decay_cl,vel_cl_arr Pin,nsum),0)</f>
        <v>0</v>
      </c>
      <c r="N19" s="75">
        <f>IF(NOT(Solution_type="a"),(n)*GetJ_1laysol_inf(Conc_def_arr Pin/1000,thick_cl,$G19,x,R_cl,D_cl_arr Pin,Decay_cl,vel_cl_arr Pin,nsum),0)</f>
        <v>0</v>
      </c>
      <c r="P19" s="75">
        <f>IF(NOT(Solution_type="a"),n*GetJ_1laysol_L(Conc_def_arr Hole/1000,thick_cl,$G19,x,R_cl,D_cl_arr Hole,Decay_cl,vel_cl_arr Hole,nsum),0)</f>
        <v>0</v>
      </c>
      <c r="Q19" s="74">
        <f>IF(NOT(Solution_type="a"),Get_1laysol_inf(Conc_def_arr Hole,thick_cl,$G19,x,R_cl,D_cl_arr Hole,Decay_cl,vel_cl_arr Hole,nsum),0)</f>
        <v>0</v>
      </c>
      <c r="R19" s="75">
        <f>IF(NOT(Solution_type="a"),(n)*GetJ_1laysol_inf(Conc_def_arr Hole/1000,thick_cl,$G19,x,R_cl,D_cl_arr Hole,Decay_cl,vel_cl_arr Hole,nsum),0)</f>
        <v>0</v>
      </c>
      <c r="T19" s="75">
        <f>IF(NOT(Solution_type="a"),n*GetJ_1laysol_L(Conc_def_arr Tear/1000,thick_cl,$G19,x,R_cl,D_cl_arr Tear,Decay_cl,vel_cl_arr Tear,nsum),0)</f>
        <v>0</v>
      </c>
      <c r="U19" s="74">
        <f>IF(NOT(Solution_type="a"),Get_1laysol_inf(Conc_def_arr Tear,thick_cl,$G19,x,R_cl,D_cl_arr Tear,Decay_cl,vel_cl_arr Tear,nsum),0)</f>
        <v>0</v>
      </c>
      <c r="V19" s="75">
        <f>IF(NOT(Solution_type="a"),(n)*GetJ_1laysol_inf(Conc_def_arr Tear/1000,thick_cl,$G19,x,R_cl,D_cl_arr Tear,Decay_cl,vel_cl_arr Tear,nsum),0)</f>
        <v>0</v>
      </c>
    </row>
    <row r="20" spans="1:22" ht="11.25">
      <c r="A20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-7.750606452787518E-05</v>
      </c>
      <c r="B20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4.94545638491167E-07</v>
      </c>
      <c r="C20" s="127"/>
      <c r="D20" s="127"/>
      <c r="F20" s="71">
        <f t="shared" si="2"/>
        <v>2.630267991895383</v>
      </c>
      <c r="G20" s="71">
        <f t="shared" si="0"/>
        <v>82948131.3924128</v>
      </c>
      <c r="H20" s="75">
        <f t="shared" si="3"/>
        <v>9.379574986321518E-17</v>
      </c>
      <c r="I20" s="74">
        <f t="shared" si="4"/>
        <v>-7.750606452787518E-05</v>
      </c>
      <c r="J20" s="75">
        <f t="shared" si="1"/>
        <v>4.691727748284448E-17</v>
      </c>
      <c r="L20" s="75">
        <f>IF(NOT(Solution_type="a"),n*GetJ_1laysol_L(Conc_def_arr Pin/1000,thick_cl,$G20,x,R_cl,D_cl_arr Pin,Decay_cl,vel_cl_arr Pin,nsum),0)</f>
        <v>0</v>
      </c>
      <c r="M20" s="74">
        <f>IF(NOT(Solution_type="a"),Get_1laysol_inf(Conc_def_arr Pin,thick_cl,$G20,x,R_cl,D_cl_arr Pin,Decay_cl,vel_cl_arr Pin,nsum),0)</f>
        <v>0</v>
      </c>
      <c r="N20" s="75">
        <f>IF(NOT(Solution_type="a"),(n)*GetJ_1laysol_inf(Conc_def_arr Pin/1000,thick_cl,$G20,x,R_cl,D_cl_arr Pin,Decay_cl,vel_cl_arr Pin,nsum),0)</f>
        <v>0</v>
      </c>
      <c r="P20" s="75">
        <f>IF(NOT(Solution_type="a"),n*GetJ_1laysol_L(Conc_def_arr Hole/1000,thick_cl,$G20,x,R_cl,D_cl_arr Hole,Decay_cl,vel_cl_arr Hole,nsum),0)</f>
        <v>0</v>
      </c>
      <c r="Q20" s="74">
        <f>IF(NOT(Solution_type="a"),Get_1laysol_inf(Conc_def_arr Hole,thick_cl,$G20,x,R_cl,D_cl_arr Hole,Decay_cl,vel_cl_arr Hole,nsum),0)</f>
        <v>0</v>
      </c>
      <c r="R20" s="75">
        <f>IF(NOT(Solution_type="a"),(n)*GetJ_1laysol_inf(Conc_def_arr Hole/1000,thick_cl,$G20,x,R_cl,D_cl_arr Hole,Decay_cl,vel_cl_arr Hole,nsum),0)</f>
        <v>0</v>
      </c>
      <c r="T20" s="75">
        <f>IF(NOT(Solution_type="a"),n*GetJ_1laysol_L(Conc_def_arr Tear/1000,thick_cl,$G20,x,R_cl,D_cl_arr Tear,Decay_cl,vel_cl_arr Tear,nsum),0)</f>
        <v>0</v>
      </c>
      <c r="U20" s="74">
        <f>IF(NOT(Solution_type="a"),Get_1laysol_inf(Conc_def_arr Tear,thick_cl,$G20,x,R_cl,D_cl_arr Tear,Decay_cl,vel_cl_arr Tear,nsum),0)</f>
        <v>0</v>
      </c>
      <c r="V20" s="75">
        <f>IF(NOT(Solution_type="a"),(n)*GetJ_1laysol_inf(Conc_def_arr Tear/1000,thick_cl,$G20,x,R_cl,D_cl_arr Tear,Decay_cl,vel_cl_arr Tear,nsum),0)</f>
        <v>0</v>
      </c>
    </row>
    <row r="21" spans="1:22" ht="11.25">
      <c r="A21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4.774288559969841E-06</v>
      </c>
      <c r="B21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2.975019783185449E-06</v>
      </c>
      <c r="C21" s="127"/>
      <c r="D21" s="127"/>
      <c r="F21" s="71">
        <f t="shared" si="2"/>
        <v>3.019951720402018</v>
      </c>
      <c r="G21" s="71">
        <f t="shared" si="0"/>
        <v>95237197.45459804</v>
      </c>
      <c r="H21" s="75">
        <f t="shared" si="3"/>
        <v>5.644792743318467E-16</v>
      </c>
      <c r="I21" s="74">
        <f t="shared" si="4"/>
        <v>4.774288559969841E-06</v>
      </c>
      <c r="J21" s="75">
        <f t="shared" si="1"/>
        <v>2.822385192001982E-16</v>
      </c>
      <c r="L21" s="75">
        <f>IF(NOT(Solution_type="a"),n*GetJ_1laysol_L(Conc_def_arr Pin/1000,thick_cl,$G21,x,R_cl,D_cl_arr Pin,Decay_cl,vel_cl_arr Pin,nsum),0)</f>
        <v>0</v>
      </c>
      <c r="M21" s="74">
        <f>IF(NOT(Solution_type="a"),Get_1laysol_inf(Conc_def_arr Pin,thick_cl,$G21,x,R_cl,D_cl_arr Pin,Decay_cl,vel_cl_arr Pin,nsum),0)</f>
        <v>0</v>
      </c>
      <c r="N21" s="75">
        <f>IF(NOT(Solution_type="a"),(n)*GetJ_1laysol_inf(Conc_def_arr Pin/1000,thick_cl,$G21,x,R_cl,D_cl_arr Pin,Decay_cl,vel_cl_arr Pin,nsum),0)</f>
        <v>0</v>
      </c>
      <c r="P21" s="75">
        <f>IF(NOT(Solution_type="a"),n*GetJ_1laysol_L(Conc_def_arr Hole/1000,thick_cl,$G21,x,R_cl,D_cl_arr Hole,Decay_cl,vel_cl_arr Hole,nsum),0)</f>
        <v>0</v>
      </c>
      <c r="Q21" s="74">
        <f>IF(NOT(Solution_type="a"),Get_1laysol_inf(Conc_def_arr Hole,thick_cl,$G21,x,R_cl,D_cl_arr Hole,Decay_cl,vel_cl_arr Hole,nsum),0)</f>
        <v>0</v>
      </c>
      <c r="R21" s="75">
        <f>IF(NOT(Solution_type="a"),(n)*GetJ_1laysol_inf(Conc_def_arr Hole/1000,thick_cl,$G21,x,R_cl,D_cl_arr Hole,Decay_cl,vel_cl_arr Hole,nsum),0)</f>
        <v>0</v>
      </c>
      <c r="T21" s="75">
        <f>IF(NOT(Solution_type="a"),n*GetJ_1laysol_L(Conc_def_arr Tear/1000,thick_cl,$G21,x,R_cl,D_cl_arr Tear,Decay_cl,vel_cl_arr Tear,nsum),0)</f>
        <v>0</v>
      </c>
      <c r="U21" s="74">
        <f>IF(NOT(Solution_type="a"),Get_1laysol_inf(Conc_def_arr Tear,thick_cl,$G21,x,R_cl,D_cl_arr Tear,Decay_cl,vel_cl_arr Tear,nsum),0)</f>
        <v>0</v>
      </c>
      <c r="V21" s="75">
        <f>IF(NOT(Solution_type="a"),(n)*GetJ_1laysol_inf(Conc_def_arr Tear/1000,thick_cl,$G21,x,R_cl,D_cl_arr Tear,Decay_cl,vel_cl_arr Tear,nsum),0)</f>
        <v>0</v>
      </c>
    </row>
    <row r="22" spans="1:22" ht="11.25">
      <c r="A22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0.0001926148056178224</v>
      </c>
      <c r="B22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5.562831737605175E-06</v>
      </c>
      <c r="C22" s="127"/>
      <c r="D22" s="127"/>
      <c r="F22" s="71">
        <f t="shared" si="2"/>
        <v>3.4673685045253184</v>
      </c>
      <c r="G22" s="71">
        <f t="shared" si="0"/>
        <v>109346933.15871044</v>
      </c>
      <c r="H22" s="75">
        <f t="shared" si="3"/>
        <v>1.055581647131538E-15</v>
      </c>
      <c r="I22" s="74">
        <f t="shared" si="4"/>
        <v>0.0001926148056178224</v>
      </c>
      <c r="J22" s="75">
        <f t="shared" si="1"/>
        <v>5.277428409233811E-16</v>
      </c>
      <c r="L22" s="75">
        <f>IF(NOT(Solution_type="a"),n*GetJ_1laysol_L(Conc_def_arr Pin/1000,thick_cl,$G22,x,R_cl,D_cl_arr Pin,Decay_cl,vel_cl_arr Pin,nsum),0)</f>
        <v>0</v>
      </c>
      <c r="M22" s="74">
        <f>IF(NOT(Solution_type="a"),Get_1laysol_inf(Conc_def_arr Pin,thick_cl,$G22,x,R_cl,D_cl_arr Pin,Decay_cl,vel_cl_arr Pin,nsum),0)</f>
        <v>0</v>
      </c>
      <c r="N22" s="75">
        <f>IF(NOT(Solution_type="a"),(n)*GetJ_1laysol_inf(Conc_def_arr Pin/1000,thick_cl,$G22,x,R_cl,D_cl_arr Pin,Decay_cl,vel_cl_arr Pin,nsum),0)</f>
        <v>0</v>
      </c>
      <c r="P22" s="75">
        <f>IF(NOT(Solution_type="a"),n*GetJ_1laysol_L(Conc_def_arr Hole/1000,thick_cl,$G22,x,R_cl,D_cl_arr Hole,Decay_cl,vel_cl_arr Hole,nsum),0)</f>
        <v>0</v>
      </c>
      <c r="Q22" s="74">
        <f>IF(NOT(Solution_type="a"),Get_1laysol_inf(Conc_def_arr Hole,thick_cl,$G22,x,R_cl,D_cl_arr Hole,Decay_cl,vel_cl_arr Hole,nsum),0)</f>
        <v>0</v>
      </c>
      <c r="R22" s="75">
        <f>IF(NOT(Solution_type="a"),(n)*GetJ_1laysol_inf(Conc_def_arr Hole/1000,thick_cl,$G22,x,R_cl,D_cl_arr Hole,Decay_cl,vel_cl_arr Hole,nsum),0)</f>
        <v>0</v>
      </c>
      <c r="T22" s="75">
        <f>IF(NOT(Solution_type="a"),n*GetJ_1laysol_L(Conc_def_arr Tear/1000,thick_cl,$G22,x,R_cl,D_cl_arr Tear,Decay_cl,vel_cl_arr Tear,nsum),0)</f>
        <v>0</v>
      </c>
      <c r="U22" s="74">
        <f>IF(NOT(Solution_type="a"),Get_1laysol_inf(Conc_def_arr Tear,thick_cl,$G22,x,R_cl,D_cl_arr Tear,Decay_cl,vel_cl_arr Tear,nsum),0)</f>
        <v>0</v>
      </c>
      <c r="V22" s="75">
        <f>IF(NOT(Solution_type="a"),(n)*GetJ_1laysol_inf(Conc_def_arr Tear/1000,thick_cl,$G22,x,R_cl,D_cl_arr Tear,Decay_cl,vel_cl_arr Tear,nsum),0)</f>
        <v>0</v>
      </c>
    </row>
    <row r="23" spans="1:22" ht="11.25">
      <c r="A2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0.00043972522168525725</v>
      </c>
      <c r="B2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6.628304600023476E-06</v>
      </c>
      <c r="C23" s="127"/>
      <c r="D23" s="127"/>
      <c r="F23" s="71">
        <f t="shared" si="2"/>
        <v>3.981071705534975</v>
      </c>
      <c r="G23" s="71">
        <f t="shared" si="0"/>
        <v>125547077.30575098</v>
      </c>
      <c r="H23" s="75">
        <f t="shared" si="3"/>
        <v>1.2578667303293363E-15</v>
      </c>
      <c r="I23" s="74">
        <f t="shared" si="4"/>
        <v>0.00043972522168525725</v>
      </c>
      <c r="J23" s="75">
        <f t="shared" si="1"/>
        <v>6.288236756245707E-16</v>
      </c>
      <c r="L23" s="75">
        <f>IF(NOT(Solution_type="a"),n*GetJ_1laysol_L(Conc_def_arr Pin/1000,thick_cl,$G23,x,R_cl,D_cl_arr Pin,Decay_cl,vel_cl_arr Pin,nsum),0)</f>
        <v>0</v>
      </c>
      <c r="M23" s="74">
        <f>IF(NOT(Solution_type="a"),Get_1laysol_inf(Conc_def_arr Pin,thick_cl,$G23,x,R_cl,D_cl_arr Pin,Decay_cl,vel_cl_arr Pin,nsum),0)</f>
        <v>0</v>
      </c>
      <c r="N23" s="75">
        <f>IF(NOT(Solution_type="a"),(n)*GetJ_1laysol_inf(Conc_def_arr Pin/1000,thick_cl,$G23,x,R_cl,D_cl_arr Pin,Decay_cl,vel_cl_arr Pin,nsum),0)</f>
        <v>0</v>
      </c>
      <c r="P23" s="75">
        <f>IF(NOT(Solution_type="a"),n*GetJ_1laysol_L(Conc_def_arr Hole/1000,thick_cl,$G23,x,R_cl,D_cl_arr Hole,Decay_cl,vel_cl_arr Hole,nsum),0)</f>
        <v>0</v>
      </c>
      <c r="Q23" s="74">
        <f>IF(NOT(Solution_type="a"),Get_1laysol_inf(Conc_def_arr Hole,thick_cl,$G23,x,R_cl,D_cl_arr Hole,Decay_cl,vel_cl_arr Hole,nsum),0)</f>
        <v>0</v>
      </c>
      <c r="R23" s="75">
        <f>IF(NOT(Solution_type="a"),(n)*GetJ_1laysol_inf(Conc_def_arr Hole/1000,thick_cl,$G23,x,R_cl,D_cl_arr Hole,Decay_cl,vel_cl_arr Hole,nsum),0)</f>
        <v>0</v>
      </c>
      <c r="T23" s="75">
        <f>IF(NOT(Solution_type="a"),n*GetJ_1laysol_L(Conc_def_arr Tear/1000,thick_cl,$G23,x,R_cl,D_cl_arr Tear,Decay_cl,vel_cl_arr Tear,nsum),0)</f>
        <v>0</v>
      </c>
      <c r="U23" s="74">
        <f>IF(NOT(Solution_type="a"),Get_1laysol_inf(Conc_def_arr Tear,thick_cl,$G23,x,R_cl,D_cl_arr Tear,Decay_cl,vel_cl_arr Tear,nsum),0)</f>
        <v>0</v>
      </c>
      <c r="V23" s="75">
        <f>IF(NOT(Solution_type="a"),(n)*GetJ_1laysol_inf(Conc_def_arr Tear/1000,thick_cl,$G23,x,R_cl,D_cl_arr Tear,Decay_cl,vel_cl_arr Tear,nsum),0)</f>
        <v>0</v>
      </c>
    </row>
    <row r="24" spans="1:22" ht="11.25">
      <c r="A24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0.0006691119638723257</v>
      </c>
      <c r="B24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7.280661172078701E-06</v>
      </c>
      <c r="C24" s="127"/>
      <c r="D24" s="127"/>
      <c r="F24" s="71">
        <f t="shared" si="2"/>
        <v>4.570881896148753</v>
      </c>
      <c r="G24" s="71">
        <f t="shared" si="0"/>
        <v>144147331.47694707</v>
      </c>
      <c r="H24" s="75">
        <f t="shared" si="3"/>
        <v>1.3817595584158686E-15</v>
      </c>
      <c r="I24" s="74">
        <f t="shared" si="4"/>
        <v>0.0006691119638723257</v>
      </c>
      <c r="J24" s="75">
        <f t="shared" si="1"/>
        <v>6.907123910973267E-16</v>
      </c>
      <c r="L24" s="75">
        <f>IF(NOT(Solution_type="a"),n*GetJ_1laysol_L(Conc_def_arr Pin/1000,thick_cl,$G24,x,R_cl,D_cl_arr Pin,Decay_cl,vel_cl_arr Pin,nsum),0)</f>
        <v>0</v>
      </c>
      <c r="M24" s="74">
        <f>IF(NOT(Solution_type="a"),Get_1laysol_inf(Conc_def_arr Pin,thick_cl,$G24,x,R_cl,D_cl_arr Pin,Decay_cl,vel_cl_arr Pin,nsum),0)</f>
        <v>0</v>
      </c>
      <c r="N24" s="75">
        <f>IF(NOT(Solution_type="a"),(n)*GetJ_1laysol_inf(Conc_def_arr Pin/1000,thick_cl,$G24,x,R_cl,D_cl_arr Pin,Decay_cl,vel_cl_arr Pin,nsum),0)</f>
        <v>0</v>
      </c>
      <c r="P24" s="75">
        <f>IF(NOT(Solution_type="a"),n*GetJ_1laysol_L(Conc_def_arr Hole/1000,thick_cl,$G24,x,R_cl,D_cl_arr Hole,Decay_cl,vel_cl_arr Hole,nsum),0)</f>
        <v>0</v>
      </c>
      <c r="Q24" s="74">
        <f>IF(NOT(Solution_type="a"),Get_1laysol_inf(Conc_def_arr Hole,thick_cl,$G24,x,R_cl,D_cl_arr Hole,Decay_cl,vel_cl_arr Hole,nsum),0)</f>
        <v>0</v>
      </c>
      <c r="R24" s="75">
        <f>IF(NOT(Solution_type="a"),(n)*GetJ_1laysol_inf(Conc_def_arr Hole/1000,thick_cl,$G24,x,R_cl,D_cl_arr Hole,Decay_cl,vel_cl_arr Hole,nsum),0)</f>
        <v>0</v>
      </c>
      <c r="T24" s="75">
        <f>IF(NOT(Solution_type="a"),n*GetJ_1laysol_L(Conc_def_arr Tear/1000,thick_cl,$G24,x,R_cl,D_cl_arr Tear,Decay_cl,vel_cl_arr Tear,nsum),0)</f>
        <v>0</v>
      </c>
      <c r="U24" s="74">
        <f>IF(NOT(Solution_type="a"),Get_1laysol_inf(Conc_def_arr Tear,thick_cl,$G24,x,R_cl,D_cl_arr Tear,Decay_cl,vel_cl_arr Tear,nsum),0)</f>
        <v>0</v>
      </c>
      <c r="V24" s="75">
        <f>IF(NOT(Solution_type="a"),(n)*GetJ_1laysol_inf(Conc_def_arr Tear/1000,thick_cl,$G24,x,R_cl,D_cl_arr Tear,Decay_cl,vel_cl_arr Tear,nsum),0)</f>
        <v>0</v>
      </c>
    </row>
    <row r="25" spans="1:22" ht="11.25">
      <c r="A25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0.0010081450843784914</v>
      </c>
      <c r="B25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1.7600542858086412E-05</v>
      </c>
      <c r="C25" s="127"/>
      <c r="D25" s="127"/>
      <c r="F25" s="71">
        <f t="shared" si="2"/>
        <v>5.24807460249773</v>
      </c>
      <c r="G25" s="71">
        <f t="shared" si="0"/>
        <v>165503280.6643684</v>
      </c>
      <c r="H25" s="75">
        <f t="shared" si="3"/>
        <v>3.340015971703823E-15</v>
      </c>
      <c r="I25" s="74">
        <f t="shared" si="4"/>
        <v>0.0010081450843784914</v>
      </c>
      <c r="J25" s="75">
        <f t="shared" si="1"/>
        <v>1.6697539900279308E-15</v>
      </c>
      <c r="L25" s="75">
        <f>IF(NOT(Solution_type="a"),n*GetJ_1laysol_L(Conc_def_arr Pin/1000,thick_cl,$G25,x,R_cl,D_cl_arr Pin,Decay_cl,vel_cl_arr Pin,nsum),0)</f>
        <v>0</v>
      </c>
      <c r="M25" s="74">
        <f>IF(NOT(Solution_type="a"),Get_1laysol_inf(Conc_def_arr Pin,thick_cl,$G25,x,R_cl,D_cl_arr Pin,Decay_cl,vel_cl_arr Pin,nsum),0)</f>
        <v>0</v>
      </c>
      <c r="N25" s="75">
        <f>IF(NOT(Solution_type="a"),(n)*GetJ_1laysol_inf(Conc_def_arr Pin/1000,thick_cl,$G25,x,R_cl,D_cl_arr Pin,Decay_cl,vel_cl_arr Pin,nsum),0)</f>
        <v>0</v>
      </c>
      <c r="P25" s="75">
        <f>IF(NOT(Solution_type="a"),n*GetJ_1laysol_L(Conc_def_arr Hole/1000,thick_cl,$G25,x,R_cl,D_cl_arr Hole,Decay_cl,vel_cl_arr Hole,nsum),0)</f>
        <v>0</v>
      </c>
      <c r="Q25" s="74">
        <f>IF(NOT(Solution_type="a"),Get_1laysol_inf(Conc_def_arr Hole,thick_cl,$G25,x,R_cl,D_cl_arr Hole,Decay_cl,vel_cl_arr Hole,nsum),0)</f>
        <v>0</v>
      </c>
      <c r="R25" s="75">
        <f>IF(NOT(Solution_type="a"),(n)*GetJ_1laysol_inf(Conc_def_arr Hole/1000,thick_cl,$G25,x,R_cl,D_cl_arr Hole,Decay_cl,vel_cl_arr Hole,nsum),0)</f>
        <v>0</v>
      </c>
      <c r="T25" s="75">
        <f>IF(NOT(Solution_type="a"),n*GetJ_1laysol_L(Conc_def_arr Tear/1000,thick_cl,$G25,x,R_cl,D_cl_arr Tear,Decay_cl,vel_cl_arr Tear,nsum),0)</f>
        <v>0</v>
      </c>
      <c r="U25" s="74">
        <f>IF(NOT(Solution_type="a"),Get_1laysol_inf(Conc_def_arr Tear,thick_cl,$G25,x,R_cl,D_cl_arr Tear,Decay_cl,vel_cl_arr Tear,nsum),0)</f>
        <v>0</v>
      </c>
      <c r="V25" s="75">
        <f>IF(NOT(Solution_type="a"),(n)*GetJ_1laysol_inf(Conc_def_arr Tear/1000,thick_cl,$G25,x,R_cl,D_cl_arr Tear,Decay_cl,vel_cl_arr Tear,nsum),0)</f>
        <v>0</v>
      </c>
    </row>
    <row r="26" spans="1:22" ht="11.25">
      <c r="A26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0.0022889040147008595</v>
      </c>
      <c r="B26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6.384271515883011E-05</v>
      </c>
      <c r="C26" s="127"/>
      <c r="D26" s="127"/>
      <c r="F26" s="71">
        <f t="shared" si="2"/>
        <v>6.025595860743582</v>
      </c>
      <c r="G26" s="71">
        <f t="shared" si="0"/>
        <v>190023191.0644096</v>
      </c>
      <c r="H26" s="75">
        <f t="shared" si="3"/>
        <v>1.2114605810109428E-14</v>
      </c>
      <c r="I26" s="74">
        <f t="shared" si="4"/>
        <v>0.0022889040147008595</v>
      </c>
      <c r="J26" s="75">
        <f t="shared" si="1"/>
        <v>6.056723888018946E-15</v>
      </c>
      <c r="L26" s="75">
        <f>IF(NOT(Solution_type="a"),n*GetJ_1laysol_L(Conc_def_arr Pin/1000,thick_cl,$G26,x,R_cl,D_cl_arr Pin,Decay_cl,vel_cl_arr Pin,nsum),0)</f>
        <v>0</v>
      </c>
      <c r="M26" s="74">
        <f>IF(NOT(Solution_type="a"),Get_1laysol_inf(Conc_def_arr Pin,thick_cl,$G26,x,R_cl,D_cl_arr Pin,Decay_cl,vel_cl_arr Pin,nsum),0)</f>
        <v>0</v>
      </c>
      <c r="N26" s="75">
        <f>IF(NOT(Solution_type="a"),(n)*GetJ_1laysol_inf(Conc_def_arr Pin/1000,thick_cl,$G26,x,R_cl,D_cl_arr Pin,Decay_cl,vel_cl_arr Pin,nsum),0)</f>
        <v>0</v>
      </c>
      <c r="P26" s="75">
        <f>IF(NOT(Solution_type="a"),n*GetJ_1laysol_L(Conc_def_arr Hole/1000,thick_cl,$G26,x,R_cl,D_cl_arr Hole,Decay_cl,vel_cl_arr Hole,nsum),0)</f>
        <v>0</v>
      </c>
      <c r="Q26" s="74">
        <f>IF(NOT(Solution_type="a"),Get_1laysol_inf(Conc_def_arr Hole,thick_cl,$G26,x,R_cl,D_cl_arr Hole,Decay_cl,vel_cl_arr Hole,nsum),0)</f>
        <v>0</v>
      </c>
      <c r="R26" s="75">
        <f>IF(NOT(Solution_type="a"),(n)*GetJ_1laysol_inf(Conc_def_arr Hole/1000,thick_cl,$G26,x,R_cl,D_cl_arr Hole,Decay_cl,vel_cl_arr Hole,nsum),0)</f>
        <v>0</v>
      </c>
      <c r="T26" s="75">
        <f>IF(NOT(Solution_type="a"),n*GetJ_1laysol_L(Conc_def_arr Tear/1000,thick_cl,$G26,x,R_cl,D_cl_arr Tear,Decay_cl,vel_cl_arr Tear,nsum),0)</f>
        <v>0</v>
      </c>
      <c r="U26" s="74">
        <f>IF(NOT(Solution_type="a"),Get_1laysol_inf(Conc_def_arr Tear,thick_cl,$G26,x,R_cl,D_cl_arr Tear,Decay_cl,vel_cl_arr Tear,nsum),0)</f>
        <v>0</v>
      </c>
      <c r="V26" s="75">
        <f>IF(NOT(Solution_type="a"),(n)*GetJ_1laysol_inf(Conc_def_arr Tear/1000,thick_cl,$G26,x,R_cl,D_cl_arr Tear,Decay_cl,vel_cl_arr Tear,nsum),0)</f>
        <v>0</v>
      </c>
    </row>
    <row r="27" spans="1:22" ht="11.25">
      <c r="A27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0.006734315886387471</v>
      </c>
      <c r="B27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0.00019243491292625495</v>
      </c>
      <c r="C27" s="127"/>
      <c r="D27" s="127"/>
      <c r="F27" s="71">
        <f t="shared" si="2"/>
        <v>6.918309709189371</v>
      </c>
      <c r="G27" s="71">
        <f t="shared" si="0"/>
        <v>218175814.98899603</v>
      </c>
      <c r="H27" s="75">
        <f t="shared" si="3"/>
        <v>3.651578708067639E-14</v>
      </c>
      <c r="I27" s="74">
        <f t="shared" si="4"/>
        <v>0.006734315886387471</v>
      </c>
      <c r="J27" s="75">
        <f t="shared" si="1"/>
        <v>1.825619620202024E-14</v>
      </c>
      <c r="L27" s="75">
        <f>IF(NOT(Solution_type="a"),n*GetJ_1laysol_L(Conc_def_arr Pin/1000,thick_cl,$G27,x,R_cl,D_cl_arr Pin,Decay_cl,vel_cl_arr Pin,nsum),0)</f>
        <v>0</v>
      </c>
      <c r="M27" s="74">
        <f>IF(NOT(Solution_type="a"),Get_1laysol_inf(Conc_def_arr Pin,thick_cl,$G27,x,R_cl,D_cl_arr Pin,Decay_cl,vel_cl_arr Pin,nsum),0)</f>
        <v>0</v>
      </c>
      <c r="N27" s="75">
        <f>IF(NOT(Solution_type="a"),(n)*GetJ_1laysol_inf(Conc_def_arr Pin/1000,thick_cl,$G27,x,R_cl,D_cl_arr Pin,Decay_cl,vel_cl_arr Pin,nsum),0)</f>
        <v>0</v>
      </c>
      <c r="P27" s="75">
        <f>IF(NOT(Solution_type="a"),n*GetJ_1laysol_L(Conc_def_arr Hole/1000,thick_cl,$G27,x,R_cl,D_cl_arr Hole,Decay_cl,vel_cl_arr Hole,nsum),0)</f>
        <v>0</v>
      </c>
      <c r="Q27" s="74">
        <f>IF(NOT(Solution_type="a"),Get_1laysol_inf(Conc_def_arr Hole,thick_cl,$G27,x,R_cl,D_cl_arr Hole,Decay_cl,vel_cl_arr Hole,nsum),0)</f>
        <v>0</v>
      </c>
      <c r="R27" s="75">
        <f>IF(NOT(Solution_type="a"),(n)*GetJ_1laysol_inf(Conc_def_arr Hole/1000,thick_cl,$G27,x,R_cl,D_cl_arr Hole,Decay_cl,vel_cl_arr Hole,nsum),0)</f>
        <v>0</v>
      </c>
      <c r="T27" s="75">
        <f>IF(NOT(Solution_type="a"),n*GetJ_1laysol_L(Conc_def_arr Tear/1000,thick_cl,$G27,x,R_cl,D_cl_arr Tear,Decay_cl,vel_cl_arr Tear,nsum),0)</f>
        <v>0</v>
      </c>
      <c r="U27" s="74">
        <f>IF(NOT(Solution_type="a"),Get_1laysol_inf(Conc_def_arr Tear,thick_cl,$G27,x,R_cl,D_cl_arr Tear,Decay_cl,vel_cl_arr Tear,nsum),0)</f>
        <v>0</v>
      </c>
      <c r="V27" s="75">
        <f>IF(NOT(Solution_type="a"),(n)*GetJ_1laysol_inf(Conc_def_arr Tear/1000,thick_cl,$G27,x,R_cl,D_cl_arr Tear,Decay_cl,vel_cl_arr Tear,nsum),0)</f>
        <v>0</v>
      </c>
    </row>
    <row r="28" spans="1:22" ht="11.25">
      <c r="A28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0.01855622279393029</v>
      </c>
      <c r="B28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0.00046633746022480726</v>
      </c>
      <c r="C28" s="127"/>
      <c r="D28" s="127"/>
      <c r="F28" s="71">
        <f t="shared" si="2"/>
        <v>7.943282347242823</v>
      </c>
      <c r="G28" s="71">
        <f t="shared" si="0"/>
        <v>250499352.10264966</v>
      </c>
      <c r="H28" s="75">
        <f t="shared" si="3"/>
        <v>8.849167026413754E-14</v>
      </c>
      <c r="I28" s="74">
        <f t="shared" si="4"/>
        <v>0.01855622279393029</v>
      </c>
      <c r="J28" s="75">
        <f t="shared" si="1"/>
        <v>4.4241182853749926E-14</v>
      </c>
      <c r="L28" s="75">
        <f>IF(NOT(Solution_type="a"),n*GetJ_1laysol_L(Conc_def_arr Pin/1000,thick_cl,$G28,x,R_cl,D_cl_arr Pin,Decay_cl,vel_cl_arr Pin,nsum),0)</f>
        <v>0</v>
      </c>
      <c r="M28" s="74">
        <f>IF(NOT(Solution_type="a"),Get_1laysol_inf(Conc_def_arr Pin,thick_cl,$G28,x,R_cl,D_cl_arr Pin,Decay_cl,vel_cl_arr Pin,nsum),0)</f>
        <v>0</v>
      </c>
      <c r="N28" s="75">
        <f>IF(NOT(Solution_type="a"),(n)*GetJ_1laysol_inf(Conc_def_arr Pin/1000,thick_cl,$G28,x,R_cl,D_cl_arr Pin,Decay_cl,vel_cl_arr Pin,nsum),0)</f>
        <v>0</v>
      </c>
      <c r="P28" s="75">
        <f>IF(NOT(Solution_type="a"),n*GetJ_1laysol_L(Conc_def_arr Hole/1000,thick_cl,$G28,x,R_cl,D_cl_arr Hole,Decay_cl,vel_cl_arr Hole,nsum),0)</f>
        <v>0</v>
      </c>
      <c r="Q28" s="74">
        <f>IF(NOT(Solution_type="a"),Get_1laysol_inf(Conc_def_arr Hole,thick_cl,$G28,x,R_cl,D_cl_arr Hole,Decay_cl,vel_cl_arr Hole,nsum),0)</f>
        <v>0</v>
      </c>
      <c r="R28" s="75">
        <f>IF(NOT(Solution_type="a"),(n)*GetJ_1laysol_inf(Conc_def_arr Hole/1000,thick_cl,$G28,x,R_cl,D_cl_arr Hole,Decay_cl,vel_cl_arr Hole,nsum),0)</f>
        <v>0</v>
      </c>
      <c r="T28" s="75">
        <f>IF(NOT(Solution_type="a"),n*GetJ_1laysol_L(Conc_def_arr Tear/1000,thick_cl,$G28,x,R_cl,D_cl_arr Tear,Decay_cl,vel_cl_arr Tear,nsum),0)</f>
        <v>0</v>
      </c>
      <c r="U28" s="74">
        <f>IF(NOT(Solution_type="a"),Get_1laysol_inf(Conc_def_arr Tear,thick_cl,$G28,x,R_cl,D_cl_arr Tear,Decay_cl,vel_cl_arr Tear,nsum),0)</f>
        <v>0</v>
      </c>
      <c r="V28" s="75">
        <f>IF(NOT(Solution_type="a"),(n)*GetJ_1laysol_inf(Conc_def_arr Tear/1000,thick_cl,$G28,x,R_cl,D_cl_arr Tear,Decay_cl,vel_cl_arr Tear,nsum),0)</f>
        <v>0</v>
      </c>
    </row>
    <row r="29" spans="1:22" ht="11.25">
      <c r="A29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0.04406954770397071</v>
      </c>
      <c r="B29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0.0009519351443727644</v>
      </c>
      <c r="C29" s="127"/>
      <c r="D29" s="127"/>
      <c r="F29" s="71">
        <f t="shared" si="2"/>
        <v>9.120108393559107</v>
      </c>
      <c r="G29" s="71">
        <f t="shared" si="0"/>
        <v>287611738.29928</v>
      </c>
      <c r="H29" s="75">
        <f t="shared" si="3"/>
        <v>1.8064114457981516E-13</v>
      </c>
      <c r="I29" s="74">
        <f t="shared" si="4"/>
        <v>0.04406954770397071</v>
      </c>
      <c r="J29" s="75">
        <f t="shared" si="1"/>
        <v>9.03095727433178E-14</v>
      </c>
      <c r="L29" s="75">
        <f>IF(NOT(Solution_type="a"),n*GetJ_1laysol_L(Conc_def_arr Pin/1000,thick_cl,$G29,x,R_cl,D_cl_arr Pin,Decay_cl,vel_cl_arr Pin,nsum),0)</f>
        <v>0</v>
      </c>
      <c r="M29" s="74">
        <f>IF(NOT(Solution_type="a"),Get_1laysol_inf(Conc_def_arr Pin,thick_cl,$G29,x,R_cl,D_cl_arr Pin,Decay_cl,vel_cl_arr Pin,nsum),0)</f>
        <v>0</v>
      </c>
      <c r="N29" s="75">
        <f>IF(NOT(Solution_type="a"),(n)*GetJ_1laysol_inf(Conc_def_arr Pin/1000,thick_cl,$G29,x,R_cl,D_cl_arr Pin,Decay_cl,vel_cl_arr Pin,nsum),0)</f>
        <v>0</v>
      </c>
      <c r="P29" s="75">
        <f>IF(NOT(Solution_type="a"),n*GetJ_1laysol_L(Conc_def_arr Hole/1000,thick_cl,$G29,x,R_cl,D_cl_arr Hole,Decay_cl,vel_cl_arr Hole,nsum),0)</f>
        <v>0</v>
      </c>
      <c r="Q29" s="74">
        <f>IF(NOT(Solution_type="a"),Get_1laysol_inf(Conc_def_arr Hole,thick_cl,$G29,x,R_cl,D_cl_arr Hole,Decay_cl,vel_cl_arr Hole,nsum),0)</f>
        <v>0</v>
      </c>
      <c r="R29" s="75">
        <f>IF(NOT(Solution_type="a"),(n)*GetJ_1laysol_inf(Conc_def_arr Hole/1000,thick_cl,$G29,x,R_cl,D_cl_arr Hole,Decay_cl,vel_cl_arr Hole,nsum),0)</f>
        <v>0</v>
      </c>
      <c r="T29" s="75">
        <f>IF(NOT(Solution_type="a"),n*GetJ_1laysol_L(Conc_def_arr Tear/1000,thick_cl,$G29,x,R_cl,D_cl_arr Tear,Decay_cl,vel_cl_arr Tear,nsum),0)</f>
        <v>0</v>
      </c>
      <c r="U29" s="74">
        <f>IF(NOT(Solution_type="a"),Get_1laysol_inf(Conc_def_arr Tear,thick_cl,$G29,x,R_cl,D_cl_arr Tear,Decay_cl,vel_cl_arr Tear,nsum),0)</f>
        <v>0</v>
      </c>
      <c r="V29" s="75">
        <f>IF(NOT(Solution_type="a"),(n)*GetJ_1laysol_inf(Conc_def_arr Tear/1000,thick_cl,$G29,x,R_cl,D_cl_arr Tear,Decay_cl,vel_cl_arr Tear,nsum),0)</f>
        <v>0</v>
      </c>
    </row>
    <row r="30" spans="1:22" ht="11.25">
      <c r="A30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0.09099083736528363</v>
      </c>
      <c r="B30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0.0016991949969626023</v>
      </c>
      <c r="C30" s="127"/>
      <c r="D30" s="127"/>
      <c r="F30" s="71">
        <f t="shared" si="2"/>
        <v>10.471285480509007</v>
      </c>
      <c r="G30" s="71">
        <f t="shared" si="0"/>
        <v>330222458.913332</v>
      </c>
      <c r="H30" s="75">
        <f t="shared" si="3"/>
        <v>3.224487168444985E-13</v>
      </c>
      <c r="I30" s="74">
        <f t="shared" si="4"/>
        <v>0.09099083736528363</v>
      </c>
      <c r="J30" s="75">
        <f t="shared" si="1"/>
        <v>1.6120171115689533E-13</v>
      </c>
      <c r="L30" s="75">
        <f>IF(NOT(Solution_type="a"),n*GetJ_1laysol_L(Conc_def_arr Pin/1000,thick_cl,$G30,x,R_cl,D_cl_arr Pin,Decay_cl,vel_cl_arr Pin,nsum),0)</f>
        <v>0</v>
      </c>
      <c r="M30" s="74">
        <f>IF(NOT(Solution_type="a"),Get_1laysol_inf(Conc_def_arr Pin,thick_cl,$G30,x,R_cl,D_cl_arr Pin,Decay_cl,vel_cl_arr Pin,nsum),0)</f>
        <v>0</v>
      </c>
      <c r="N30" s="75">
        <f>IF(NOT(Solution_type="a"),(n)*GetJ_1laysol_inf(Conc_def_arr Pin/1000,thick_cl,$G30,x,R_cl,D_cl_arr Pin,Decay_cl,vel_cl_arr Pin,nsum),0)</f>
        <v>0</v>
      </c>
      <c r="P30" s="75">
        <f>IF(NOT(Solution_type="a"),n*GetJ_1laysol_L(Conc_def_arr Hole/1000,thick_cl,$G30,x,R_cl,D_cl_arr Hole,Decay_cl,vel_cl_arr Hole,nsum),0)</f>
        <v>0</v>
      </c>
      <c r="Q30" s="74">
        <f>IF(NOT(Solution_type="a"),Get_1laysol_inf(Conc_def_arr Hole,thick_cl,$G30,x,R_cl,D_cl_arr Hole,Decay_cl,vel_cl_arr Hole,nsum),0)</f>
        <v>0</v>
      </c>
      <c r="R30" s="75">
        <f>IF(NOT(Solution_type="a"),(n)*GetJ_1laysol_inf(Conc_def_arr Hole/1000,thick_cl,$G30,x,R_cl,D_cl_arr Hole,Decay_cl,vel_cl_arr Hole,nsum),0)</f>
        <v>0</v>
      </c>
      <c r="T30" s="75">
        <f>IF(NOT(Solution_type="a"),n*GetJ_1laysol_L(Conc_def_arr Tear/1000,thick_cl,$G30,x,R_cl,D_cl_arr Tear,Decay_cl,vel_cl_arr Tear,nsum),0)</f>
        <v>0</v>
      </c>
      <c r="U30" s="74">
        <f>IF(NOT(Solution_type="a"),Get_1laysol_inf(Conc_def_arr Tear,thick_cl,$G30,x,R_cl,D_cl_arr Tear,Decay_cl,vel_cl_arr Tear,nsum),0)</f>
        <v>0</v>
      </c>
      <c r="V30" s="75">
        <f>IF(NOT(Solution_type="a"),(n)*GetJ_1laysol_inf(Conc_def_arr Tear/1000,thick_cl,$G30,x,R_cl,D_cl_arr Tear,Decay_cl,vel_cl_arr Tear,nsum),0)</f>
        <v>0</v>
      </c>
    </row>
    <row r="31" spans="1:22" ht="11.25">
      <c r="A31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0.16686479300916368</v>
      </c>
      <c r="B31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0.0027219110918960485</v>
      </c>
      <c r="C31" s="127"/>
      <c r="D31" s="127"/>
      <c r="F31" s="71">
        <f t="shared" si="2"/>
        <v>12.022644346174143</v>
      </c>
      <c r="G31" s="71">
        <f t="shared" si="0"/>
        <v>379146112.10094774</v>
      </c>
      <c r="H31" s="75">
        <f t="shared" si="3"/>
        <v>5.16535497441656E-13</v>
      </c>
      <c r="I31" s="74">
        <f t="shared" si="4"/>
        <v>0.16686479300916368</v>
      </c>
      <c r="J31" s="75">
        <f t="shared" si="1"/>
        <v>2.582262344315468E-13</v>
      </c>
      <c r="L31" s="75">
        <f>IF(NOT(Solution_type="a"),n*GetJ_1laysol_L(Conc_def_arr Pin/1000,thick_cl,$G31,x,R_cl,D_cl_arr Pin,Decay_cl,vel_cl_arr Pin,nsum),0)</f>
        <v>0</v>
      </c>
      <c r="M31" s="74">
        <f>IF(NOT(Solution_type="a"),Get_1laysol_inf(Conc_def_arr Pin,thick_cl,$G31,x,R_cl,D_cl_arr Pin,Decay_cl,vel_cl_arr Pin,nsum),0)</f>
        <v>0</v>
      </c>
      <c r="N31" s="75">
        <f>IF(NOT(Solution_type="a"),(n)*GetJ_1laysol_inf(Conc_def_arr Pin/1000,thick_cl,$G31,x,R_cl,D_cl_arr Pin,Decay_cl,vel_cl_arr Pin,nsum),0)</f>
        <v>0</v>
      </c>
      <c r="P31" s="75">
        <f>IF(NOT(Solution_type="a"),n*GetJ_1laysol_L(Conc_def_arr Hole/1000,thick_cl,$G31,x,R_cl,D_cl_arr Hole,Decay_cl,vel_cl_arr Hole,nsum),0)</f>
        <v>0</v>
      </c>
      <c r="Q31" s="74">
        <f>IF(NOT(Solution_type="a"),Get_1laysol_inf(Conc_def_arr Hole,thick_cl,$G31,x,R_cl,D_cl_arr Hole,Decay_cl,vel_cl_arr Hole,nsum),0)</f>
        <v>0</v>
      </c>
      <c r="R31" s="75">
        <f>IF(NOT(Solution_type="a"),(n)*GetJ_1laysol_inf(Conc_def_arr Hole/1000,thick_cl,$G31,x,R_cl,D_cl_arr Hole,Decay_cl,vel_cl_arr Hole,nsum),0)</f>
        <v>0</v>
      </c>
      <c r="T31" s="75">
        <f>IF(NOT(Solution_type="a"),n*GetJ_1laysol_L(Conc_def_arr Tear/1000,thick_cl,$G31,x,R_cl,D_cl_arr Tear,Decay_cl,vel_cl_arr Tear,nsum),0)</f>
        <v>0</v>
      </c>
      <c r="U31" s="74">
        <f>IF(NOT(Solution_type="a"),Get_1laysol_inf(Conc_def_arr Tear,thick_cl,$G31,x,R_cl,D_cl_arr Tear,Decay_cl,vel_cl_arr Tear,nsum),0)</f>
        <v>0</v>
      </c>
      <c r="V31" s="75">
        <f>IF(NOT(Solution_type="a"),(n)*GetJ_1laysol_inf(Conc_def_arr Tear/1000,thick_cl,$G31,x,R_cl,D_cl_arr Tear,Decay_cl,vel_cl_arr Tear,nsum),0)</f>
        <v>0</v>
      </c>
    </row>
    <row r="32" spans="1:22" ht="11.25">
      <c r="A32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0.27694947453804014</v>
      </c>
      <c r="B32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0.003986027354696719</v>
      </c>
      <c r="C32" s="127"/>
      <c r="D32" s="127"/>
      <c r="F32" s="71">
        <f t="shared" si="2"/>
        <v>13.803842646028865</v>
      </c>
      <c r="G32" s="71">
        <f t="shared" si="0"/>
        <v>435317981.6851663</v>
      </c>
      <c r="H32" s="75">
        <f t="shared" si="3"/>
        <v>7.564426375907361E-13</v>
      </c>
      <c r="I32" s="74">
        <f t="shared" si="4"/>
        <v>0.27694947453804014</v>
      </c>
      <c r="J32" s="75">
        <f t="shared" si="1"/>
        <v>3.78152261184798E-13</v>
      </c>
      <c r="L32" s="75">
        <f>IF(NOT(Solution_type="a"),n*GetJ_1laysol_L(Conc_def_arr Pin/1000,thick_cl,$G32,x,R_cl,D_cl_arr Pin,Decay_cl,vel_cl_arr Pin,nsum),0)</f>
        <v>0</v>
      </c>
      <c r="M32" s="74">
        <f>IF(NOT(Solution_type="a"),Get_1laysol_inf(Conc_def_arr Pin,thick_cl,$G32,x,R_cl,D_cl_arr Pin,Decay_cl,vel_cl_arr Pin,nsum),0)</f>
        <v>0</v>
      </c>
      <c r="N32" s="75">
        <f>IF(NOT(Solution_type="a"),(n)*GetJ_1laysol_inf(Conc_def_arr Pin/1000,thick_cl,$G32,x,R_cl,D_cl_arr Pin,Decay_cl,vel_cl_arr Pin,nsum),0)</f>
        <v>0</v>
      </c>
      <c r="P32" s="75">
        <f>IF(NOT(Solution_type="a"),n*GetJ_1laysol_L(Conc_def_arr Hole/1000,thick_cl,$G32,x,R_cl,D_cl_arr Hole,Decay_cl,vel_cl_arr Hole,nsum),0)</f>
        <v>0</v>
      </c>
      <c r="Q32" s="74">
        <f>IF(NOT(Solution_type="a"),Get_1laysol_inf(Conc_def_arr Hole,thick_cl,$G32,x,R_cl,D_cl_arr Hole,Decay_cl,vel_cl_arr Hole,nsum),0)</f>
        <v>0</v>
      </c>
      <c r="R32" s="75">
        <f>IF(NOT(Solution_type="a"),(n)*GetJ_1laysol_inf(Conc_def_arr Hole/1000,thick_cl,$G32,x,R_cl,D_cl_arr Hole,Decay_cl,vel_cl_arr Hole,nsum),0)</f>
        <v>0</v>
      </c>
      <c r="T32" s="75">
        <f>IF(NOT(Solution_type="a"),n*GetJ_1laysol_L(Conc_def_arr Tear/1000,thick_cl,$G32,x,R_cl,D_cl_arr Tear,Decay_cl,vel_cl_arr Tear,nsum),0)</f>
        <v>0</v>
      </c>
      <c r="U32" s="74">
        <f>IF(NOT(Solution_type="a"),Get_1laysol_inf(Conc_def_arr Tear,thick_cl,$G32,x,R_cl,D_cl_arr Tear,Decay_cl,vel_cl_arr Tear,nsum),0)</f>
        <v>0</v>
      </c>
      <c r="V32" s="75">
        <f>IF(NOT(Solution_type="a"),(n)*GetJ_1laysol_inf(Conc_def_arr Tear/1000,thick_cl,$G32,x,R_cl,D_cl_arr Tear,Decay_cl,vel_cl_arr Tear,nsum),0)</f>
        <v>0</v>
      </c>
    </row>
    <row r="33" spans="1:22" ht="11.25">
      <c r="A3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0.4222078400677031</v>
      </c>
      <c r="B3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0.005411403473615011</v>
      </c>
      <c r="C33" s="127"/>
      <c r="D33" s="127"/>
      <c r="F33" s="71">
        <f t="shared" si="2"/>
        <v>15.848931924611156</v>
      </c>
      <c r="G33" s="71">
        <f t="shared" si="0"/>
        <v>499811917.17453736</v>
      </c>
      <c r="H33" s="75">
        <f t="shared" si="3"/>
        <v>1.0269652862382878E-12</v>
      </c>
      <c r="I33" s="74">
        <f t="shared" si="4"/>
        <v>0.4222078400677031</v>
      </c>
      <c r="J33" s="75">
        <f t="shared" si="1"/>
        <v>5.133769233469007E-13</v>
      </c>
      <c r="L33" s="75">
        <f>IF(NOT(Solution_type="a"),n*GetJ_1laysol_L(Conc_def_arr Pin/1000,thick_cl,$G33,x,R_cl,D_cl_arr Pin,Decay_cl,vel_cl_arr Pin,nsum),0)</f>
        <v>0</v>
      </c>
      <c r="M33" s="74">
        <f>IF(NOT(Solution_type="a"),Get_1laysol_inf(Conc_def_arr Pin,thick_cl,$G33,x,R_cl,D_cl_arr Pin,Decay_cl,vel_cl_arr Pin,nsum),0)</f>
        <v>0</v>
      </c>
      <c r="N33" s="75">
        <f>IF(NOT(Solution_type="a"),(n)*GetJ_1laysol_inf(Conc_def_arr Pin/1000,thick_cl,$G33,x,R_cl,D_cl_arr Pin,Decay_cl,vel_cl_arr Pin,nsum),0)</f>
        <v>0</v>
      </c>
      <c r="P33" s="75">
        <f>IF(NOT(Solution_type="a"),n*GetJ_1laysol_L(Conc_def_arr Hole/1000,thick_cl,$G33,x,R_cl,D_cl_arr Hole,Decay_cl,vel_cl_arr Hole,nsum),0)</f>
        <v>0</v>
      </c>
      <c r="Q33" s="74">
        <f>IF(NOT(Solution_type="a"),Get_1laysol_inf(Conc_def_arr Hole,thick_cl,$G33,x,R_cl,D_cl_arr Hole,Decay_cl,vel_cl_arr Hole,nsum),0)</f>
        <v>0</v>
      </c>
      <c r="R33" s="75">
        <f>IF(NOT(Solution_type="a"),(n)*GetJ_1laysol_inf(Conc_def_arr Hole/1000,thick_cl,$G33,x,R_cl,D_cl_arr Hole,Decay_cl,vel_cl_arr Hole,nsum),0)</f>
        <v>0</v>
      </c>
      <c r="T33" s="75">
        <f>IF(NOT(Solution_type="a"),n*GetJ_1laysol_L(Conc_def_arr Tear/1000,thick_cl,$G33,x,R_cl,D_cl_arr Tear,Decay_cl,vel_cl_arr Tear,nsum),0)</f>
        <v>0</v>
      </c>
      <c r="U33" s="74">
        <f>IF(NOT(Solution_type="a"),Get_1laysol_inf(Conc_def_arr Tear,thick_cl,$G33,x,R_cl,D_cl_arr Tear,Decay_cl,vel_cl_arr Tear,nsum),0)</f>
        <v>0</v>
      </c>
      <c r="V33" s="75">
        <f>IF(NOT(Solution_type="a"),(n)*GetJ_1laysol_inf(Conc_def_arr Tear/1000,thick_cl,$G33,x,R_cl,D_cl_arr Tear,Decay_cl,vel_cl_arr Tear,nsum),0)</f>
        <v>0</v>
      </c>
    </row>
    <row r="34" spans="1:22" ht="11.25">
      <c r="A34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0.5981327255862923</v>
      </c>
      <c r="B34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0.006887191827841384</v>
      </c>
      <c r="C34" s="127"/>
      <c r="D34" s="127"/>
      <c r="F34" s="71">
        <f t="shared" si="2"/>
        <v>18.19700858609986</v>
      </c>
      <c r="G34" s="71">
        <f t="shared" si="0"/>
        <v>573860862.7712451</v>
      </c>
      <c r="H34" s="75">
        <f t="shared" si="3"/>
        <v>1.3070690942163906E-12</v>
      </c>
      <c r="I34" s="74">
        <f t="shared" si="4"/>
        <v>0.5981327255862923</v>
      </c>
      <c r="J34" s="75">
        <f t="shared" si="1"/>
        <v>6.533841670310967E-13</v>
      </c>
      <c r="L34" s="75">
        <f>IF(NOT(Solution_type="a"),n*GetJ_1laysol_L(Conc_def_arr Pin/1000,thick_cl,$G34,x,R_cl,D_cl_arr Pin,Decay_cl,vel_cl_arr Pin,nsum),0)</f>
        <v>0</v>
      </c>
      <c r="M34" s="74">
        <f>IF(NOT(Solution_type="a"),Get_1laysol_inf(Conc_def_arr Pin,thick_cl,$G34,x,R_cl,D_cl_arr Pin,Decay_cl,vel_cl_arr Pin,nsum),0)</f>
        <v>0</v>
      </c>
      <c r="N34" s="75">
        <f>IF(NOT(Solution_type="a"),(n)*GetJ_1laysol_inf(Conc_def_arr Pin/1000,thick_cl,$G34,x,R_cl,D_cl_arr Pin,Decay_cl,vel_cl_arr Pin,nsum),0)</f>
        <v>0</v>
      </c>
      <c r="P34" s="75">
        <f>IF(NOT(Solution_type="a"),n*GetJ_1laysol_L(Conc_def_arr Hole/1000,thick_cl,$G34,x,R_cl,D_cl_arr Hole,Decay_cl,vel_cl_arr Hole,nsum),0)</f>
        <v>0</v>
      </c>
      <c r="Q34" s="74">
        <f>IF(NOT(Solution_type="a"),Get_1laysol_inf(Conc_def_arr Hole,thick_cl,$G34,x,R_cl,D_cl_arr Hole,Decay_cl,vel_cl_arr Hole,nsum),0)</f>
        <v>0</v>
      </c>
      <c r="R34" s="75">
        <f>IF(NOT(Solution_type="a"),(n)*GetJ_1laysol_inf(Conc_def_arr Hole/1000,thick_cl,$G34,x,R_cl,D_cl_arr Hole,Decay_cl,vel_cl_arr Hole,nsum),0)</f>
        <v>0</v>
      </c>
      <c r="T34" s="75">
        <f>IF(NOT(Solution_type="a"),n*GetJ_1laysol_L(Conc_def_arr Tear/1000,thick_cl,$G34,x,R_cl,D_cl_arr Tear,Decay_cl,vel_cl_arr Tear,nsum),0)</f>
        <v>0</v>
      </c>
      <c r="U34" s="74">
        <f>IF(NOT(Solution_type="a"),Get_1laysol_inf(Conc_def_arr Tear,thick_cl,$G34,x,R_cl,D_cl_arr Tear,Decay_cl,vel_cl_arr Tear,nsum),0)</f>
        <v>0</v>
      </c>
      <c r="V34" s="75">
        <f>IF(NOT(Solution_type="a"),(n)*GetJ_1laysol_inf(Conc_def_arr Tear/1000,thick_cl,$G34,x,R_cl,D_cl_arr Tear,Decay_cl,vel_cl_arr Tear,nsum),0)</f>
        <v>0</v>
      </c>
    </row>
    <row r="35" spans="1:22" ht="11.25">
      <c r="A35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0.7949128428514021</v>
      </c>
      <c r="B35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0.00829576533847421</v>
      </c>
      <c r="C35" s="127"/>
      <c r="D35" s="127"/>
      <c r="F35" s="71">
        <f t="shared" si="2"/>
        <v>20.892961308540425</v>
      </c>
      <c r="G35" s="71">
        <f t="shared" si="0"/>
        <v>658880427.8261309</v>
      </c>
      <c r="H35" s="75">
        <f t="shared" si="3"/>
        <v>1.5744297080844053E-12</v>
      </c>
      <c r="I35" s="74">
        <f t="shared" si="4"/>
        <v>0.7949128428514021</v>
      </c>
      <c r="J35" s="75">
        <f t="shared" si="1"/>
        <v>7.87014774824891E-13</v>
      </c>
      <c r="L35" s="75">
        <f>IF(NOT(Solution_type="a"),n*GetJ_1laysol_L(Conc_def_arr Pin/1000,thick_cl,$G35,x,R_cl,D_cl_arr Pin,Decay_cl,vel_cl_arr Pin,nsum),0)</f>
        <v>0</v>
      </c>
      <c r="M35" s="74">
        <f>IF(NOT(Solution_type="a"),Get_1laysol_inf(Conc_def_arr Pin,thick_cl,$G35,x,R_cl,D_cl_arr Pin,Decay_cl,vel_cl_arr Pin,nsum),0)</f>
        <v>0</v>
      </c>
      <c r="N35" s="75">
        <f>IF(NOT(Solution_type="a"),(n)*GetJ_1laysol_inf(Conc_def_arr Pin/1000,thick_cl,$G35,x,R_cl,D_cl_arr Pin,Decay_cl,vel_cl_arr Pin,nsum),0)</f>
        <v>0</v>
      </c>
      <c r="P35" s="75">
        <f>IF(NOT(Solution_type="a"),n*GetJ_1laysol_L(Conc_def_arr Hole/1000,thick_cl,$G35,x,R_cl,D_cl_arr Hole,Decay_cl,vel_cl_arr Hole,nsum),0)</f>
        <v>0</v>
      </c>
      <c r="Q35" s="74">
        <f>IF(NOT(Solution_type="a"),Get_1laysol_inf(Conc_def_arr Hole,thick_cl,$G35,x,R_cl,D_cl_arr Hole,Decay_cl,vel_cl_arr Hole,nsum),0)</f>
        <v>0</v>
      </c>
      <c r="R35" s="75">
        <f>IF(NOT(Solution_type="a"),(n)*GetJ_1laysol_inf(Conc_def_arr Hole/1000,thick_cl,$G35,x,R_cl,D_cl_arr Hole,Decay_cl,vel_cl_arr Hole,nsum),0)</f>
        <v>0</v>
      </c>
      <c r="T35" s="75">
        <f>IF(NOT(Solution_type="a"),n*GetJ_1laysol_L(Conc_def_arr Tear/1000,thick_cl,$G35,x,R_cl,D_cl_arr Tear,Decay_cl,vel_cl_arr Tear,nsum),0)</f>
        <v>0</v>
      </c>
      <c r="U35" s="74">
        <f>IF(NOT(Solution_type="a"),Get_1laysol_inf(Conc_def_arr Tear,thick_cl,$G35,x,R_cl,D_cl_arr Tear,Decay_cl,vel_cl_arr Tear,nsum),0)</f>
        <v>0</v>
      </c>
      <c r="V35" s="75">
        <f>IF(NOT(Solution_type="a"),(n)*GetJ_1laysol_inf(Conc_def_arr Tear/1000,thick_cl,$G35,x,R_cl,D_cl_arr Tear,Decay_cl,vel_cl_arr Tear,nsum),0)</f>
        <v>0</v>
      </c>
    </row>
    <row r="36" spans="1:22" ht="11.25">
      <c r="A36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0.9990069955547548</v>
      </c>
      <c r="B36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0.009537256997765859</v>
      </c>
      <c r="C36" s="127"/>
      <c r="D36" s="127"/>
      <c r="F36" s="71">
        <f t="shared" si="2"/>
        <v>23.98832919019494</v>
      </c>
      <c r="G36" s="71">
        <f t="shared" si="0"/>
        <v>756495949.3419876</v>
      </c>
      <c r="H36" s="75">
        <f t="shared" si="3"/>
        <v>1.8100898774880766E-12</v>
      </c>
      <c r="I36" s="74">
        <f t="shared" si="4"/>
        <v>0.9990069955547548</v>
      </c>
      <c r="J36" s="75">
        <f t="shared" si="1"/>
        <v>9.047944176690439E-13</v>
      </c>
      <c r="L36" s="75">
        <f>IF(NOT(Solution_type="a"),n*GetJ_1laysol_L(Conc_def_arr Pin/1000,thick_cl,$G36,x,R_cl,D_cl_arr Pin,Decay_cl,vel_cl_arr Pin,nsum),0)</f>
        <v>0</v>
      </c>
      <c r="M36" s="74">
        <f>IF(NOT(Solution_type="a"),Get_1laysol_inf(Conc_def_arr Pin,thick_cl,$G36,x,R_cl,D_cl_arr Pin,Decay_cl,vel_cl_arr Pin,nsum),0)</f>
        <v>0</v>
      </c>
      <c r="N36" s="75">
        <f>IF(NOT(Solution_type="a"),(n)*GetJ_1laysol_inf(Conc_def_arr Pin/1000,thick_cl,$G36,x,R_cl,D_cl_arr Pin,Decay_cl,vel_cl_arr Pin,nsum),0)</f>
        <v>0</v>
      </c>
      <c r="P36" s="75">
        <f>IF(NOT(Solution_type="a"),n*GetJ_1laysol_L(Conc_def_arr Hole/1000,thick_cl,$G36,x,R_cl,D_cl_arr Hole,Decay_cl,vel_cl_arr Hole,nsum),0)</f>
        <v>0</v>
      </c>
      <c r="Q36" s="74">
        <f>IF(NOT(Solution_type="a"),Get_1laysol_inf(Conc_def_arr Hole,thick_cl,$G36,x,R_cl,D_cl_arr Hole,Decay_cl,vel_cl_arr Hole,nsum),0)</f>
        <v>0</v>
      </c>
      <c r="R36" s="75">
        <f>IF(NOT(Solution_type="a"),(n)*GetJ_1laysol_inf(Conc_def_arr Hole/1000,thick_cl,$G36,x,R_cl,D_cl_arr Hole,Decay_cl,vel_cl_arr Hole,nsum),0)</f>
        <v>0</v>
      </c>
      <c r="T36" s="75">
        <f>IF(NOT(Solution_type="a"),n*GetJ_1laysol_L(Conc_def_arr Tear/1000,thick_cl,$G36,x,R_cl,D_cl_arr Tear,Decay_cl,vel_cl_arr Tear,nsum),0)</f>
        <v>0</v>
      </c>
      <c r="U36" s="74">
        <f>IF(NOT(Solution_type="a"),Get_1laysol_inf(Conc_def_arr Tear,thick_cl,$G36,x,R_cl,D_cl_arr Tear,Decay_cl,vel_cl_arr Tear,nsum),0)</f>
        <v>0</v>
      </c>
      <c r="V36" s="75">
        <f>IF(NOT(Solution_type="a"),(n)*GetJ_1laysol_inf(Conc_def_arr Tear/1000,thick_cl,$G36,x,R_cl,D_cl_arr Tear,Decay_cl,vel_cl_arr Tear,nsum),0)</f>
        <v>0</v>
      </c>
    </row>
    <row r="37" spans="1:22" ht="11.25">
      <c r="A37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1.1957112912942496</v>
      </c>
      <c r="B37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0.010547262789454406</v>
      </c>
      <c r="C37" s="127"/>
      <c r="D37" s="127"/>
      <c r="F37" s="71">
        <f t="shared" si="2"/>
        <v>27.542287033381704</v>
      </c>
      <c r="G37" s="71">
        <f t="shared" si="0"/>
        <v>868573563.8847256</v>
      </c>
      <c r="H37" s="75">
        <f t="shared" si="3"/>
        <v>2.0018216576591163E-12</v>
      </c>
      <c r="I37" s="74">
        <f t="shared" si="4"/>
        <v>1.1957112912942496</v>
      </c>
      <c r="J37" s="75">
        <f t="shared" si="1"/>
        <v>1.0006131213432004E-12</v>
      </c>
      <c r="L37" s="75">
        <f>IF(NOT(Solution_type="a"),n*GetJ_1laysol_L(Conc_def_arr Pin/1000,thick_cl,$G37,x,R_cl,D_cl_arr Pin,Decay_cl,vel_cl_arr Pin,nsum),0)</f>
        <v>0</v>
      </c>
      <c r="M37" s="74">
        <f>IF(NOT(Solution_type="a"),Get_1laysol_inf(Conc_def_arr Pin,thick_cl,$G37,x,R_cl,D_cl_arr Pin,Decay_cl,vel_cl_arr Pin,nsum),0)</f>
        <v>0</v>
      </c>
      <c r="N37" s="75">
        <f>IF(NOT(Solution_type="a"),(n)*GetJ_1laysol_inf(Conc_def_arr Pin/1000,thick_cl,$G37,x,R_cl,D_cl_arr Pin,Decay_cl,vel_cl_arr Pin,nsum),0)</f>
        <v>0</v>
      </c>
      <c r="P37" s="75">
        <f>IF(NOT(Solution_type="a"),n*GetJ_1laysol_L(Conc_def_arr Hole/1000,thick_cl,$G37,x,R_cl,D_cl_arr Hole,Decay_cl,vel_cl_arr Hole,nsum),0)</f>
        <v>0</v>
      </c>
      <c r="Q37" s="74">
        <f>IF(NOT(Solution_type="a"),Get_1laysol_inf(Conc_def_arr Hole,thick_cl,$G37,x,R_cl,D_cl_arr Hole,Decay_cl,vel_cl_arr Hole,nsum),0)</f>
        <v>0</v>
      </c>
      <c r="R37" s="75">
        <f>IF(NOT(Solution_type="a"),(n)*GetJ_1laysol_inf(Conc_def_arr Hole/1000,thick_cl,$G37,x,R_cl,D_cl_arr Hole,Decay_cl,vel_cl_arr Hole,nsum),0)</f>
        <v>0</v>
      </c>
      <c r="T37" s="75">
        <f>IF(NOT(Solution_type="a"),n*GetJ_1laysol_L(Conc_def_arr Tear/1000,thick_cl,$G37,x,R_cl,D_cl_arr Tear,Decay_cl,vel_cl_arr Tear,nsum),0)</f>
        <v>0</v>
      </c>
      <c r="U37" s="74">
        <f>IF(NOT(Solution_type="a"),Get_1laysol_inf(Conc_def_arr Tear,thick_cl,$G37,x,R_cl,D_cl_arr Tear,Decay_cl,vel_cl_arr Tear,nsum),0)</f>
        <v>0</v>
      </c>
      <c r="V37" s="75">
        <f>IF(NOT(Solution_type="a"),(n)*GetJ_1laysol_inf(Conc_def_arr Tear/1000,thick_cl,$G37,x,R_cl,D_cl_arr Tear,Decay_cl,vel_cl_arr Tear,nsum),0)</f>
        <v>0</v>
      </c>
    </row>
    <row r="38" spans="1:22" ht="11.25">
      <c r="A38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1.371974115448709</v>
      </c>
      <c r="B38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0.011303484881214198</v>
      </c>
      <c r="C38" s="127"/>
      <c r="D38" s="127"/>
      <c r="F38" s="71">
        <f t="shared" si="2"/>
        <v>31.622776601683842</v>
      </c>
      <c r="G38" s="71">
        <f t="shared" si="0"/>
        <v>997255882.9107016</v>
      </c>
      <c r="H38" s="75">
        <f t="shared" si="3"/>
        <v>2.1453914732139083E-12</v>
      </c>
      <c r="I38" s="74">
        <f t="shared" si="4"/>
        <v>1.371974115448709</v>
      </c>
      <c r="J38" s="75">
        <f t="shared" si="1"/>
        <v>1.0723555025438485E-12</v>
      </c>
      <c r="L38" s="75">
        <f>IF(NOT(Solution_type="a"),n*GetJ_1laysol_L(Conc_def_arr Pin/1000,thick_cl,$G38,x,R_cl,D_cl_arr Pin,Decay_cl,vel_cl_arr Pin,nsum),0)</f>
        <v>0</v>
      </c>
      <c r="M38" s="74">
        <f>IF(NOT(Solution_type="a"),Get_1laysol_inf(Conc_def_arr Pin,thick_cl,$G38,x,R_cl,D_cl_arr Pin,Decay_cl,vel_cl_arr Pin,nsum),0)</f>
        <v>0</v>
      </c>
      <c r="N38" s="75">
        <f>IF(NOT(Solution_type="a"),(n)*GetJ_1laysol_inf(Conc_def_arr Pin/1000,thick_cl,$G38,x,R_cl,D_cl_arr Pin,Decay_cl,vel_cl_arr Pin,nsum),0)</f>
        <v>0</v>
      </c>
      <c r="P38" s="75">
        <f>IF(NOT(Solution_type="a"),n*GetJ_1laysol_L(Conc_def_arr Hole/1000,thick_cl,$G38,x,R_cl,D_cl_arr Hole,Decay_cl,vel_cl_arr Hole,nsum),0)</f>
        <v>0</v>
      </c>
      <c r="Q38" s="74">
        <f>IF(NOT(Solution_type="a"),Get_1laysol_inf(Conc_def_arr Hole,thick_cl,$G38,x,R_cl,D_cl_arr Hole,Decay_cl,vel_cl_arr Hole,nsum),0)</f>
        <v>0</v>
      </c>
      <c r="R38" s="75">
        <f>IF(NOT(Solution_type="a"),(n)*GetJ_1laysol_inf(Conc_def_arr Hole/1000,thick_cl,$G38,x,R_cl,D_cl_arr Hole,Decay_cl,vel_cl_arr Hole,nsum),0)</f>
        <v>0</v>
      </c>
      <c r="T38" s="75">
        <f>IF(NOT(Solution_type="a"),n*GetJ_1laysol_L(Conc_def_arr Tear/1000,thick_cl,$G38,x,R_cl,D_cl_arr Tear,Decay_cl,vel_cl_arr Tear,nsum),0)</f>
        <v>0</v>
      </c>
      <c r="U38" s="74">
        <f>IF(NOT(Solution_type="a"),Get_1laysol_inf(Conc_def_arr Tear,thick_cl,$G38,x,R_cl,D_cl_arr Tear,Decay_cl,vel_cl_arr Tear,nsum),0)</f>
        <v>0</v>
      </c>
      <c r="V38" s="75">
        <f>IF(NOT(Solution_type="a"),(n)*GetJ_1laysol_inf(Conc_def_arr Tear/1000,thick_cl,$G38,x,R_cl,D_cl_arr Tear,Decay_cl,vel_cl_arr Tear,nsum),0)</f>
        <v>0</v>
      </c>
    </row>
    <row r="39" spans="1:22" ht="11.25">
      <c r="A39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1.5186600550460891</v>
      </c>
      <c r="B39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0.011821336214758055</v>
      </c>
      <c r="C39" s="127"/>
      <c r="D39" s="127"/>
      <c r="F39" s="71">
        <f t="shared" si="2"/>
        <v>36.30780547701019</v>
      </c>
      <c r="G39" s="71">
        <f t="shared" si="0"/>
        <v>1145002953.5229933</v>
      </c>
      <c r="H39" s="75">
        <f t="shared" si="3"/>
        <v>2.24372908818402E-12</v>
      </c>
      <c r="I39" s="74">
        <f t="shared" si="4"/>
        <v>1.5186600550460891</v>
      </c>
      <c r="J39" s="75">
        <f t="shared" si="1"/>
        <v>1.1214837787224932E-12</v>
      </c>
      <c r="L39" s="75">
        <f>IF(NOT(Solution_type="a"),n*GetJ_1laysol_L(Conc_def_arr Pin/1000,thick_cl,$G39,x,R_cl,D_cl_arr Pin,Decay_cl,vel_cl_arr Pin,nsum),0)</f>
        <v>0</v>
      </c>
      <c r="M39" s="74">
        <f>IF(NOT(Solution_type="a"),Get_1laysol_inf(Conc_def_arr Pin,thick_cl,$G39,x,R_cl,D_cl_arr Pin,Decay_cl,vel_cl_arr Pin,nsum),0)</f>
        <v>0</v>
      </c>
      <c r="N39" s="75">
        <f>IF(NOT(Solution_type="a"),(n)*GetJ_1laysol_inf(Conc_def_arr Pin/1000,thick_cl,$G39,x,R_cl,D_cl_arr Pin,Decay_cl,vel_cl_arr Pin,nsum),0)</f>
        <v>0</v>
      </c>
      <c r="P39" s="75">
        <f>IF(NOT(Solution_type="a"),n*GetJ_1laysol_L(Conc_def_arr Hole/1000,thick_cl,$G39,x,R_cl,D_cl_arr Hole,Decay_cl,vel_cl_arr Hole,nsum),0)</f>
        <v>0</v>
      </c>
      <c r="Q39" s="74">
        <f>IF(NOT(Solution_type="a"),Get_1laysol_inf(Conc_def_arr Hole,thick_cl,$G39,x,R_cl,D_cl_arr Hole,Decay_cl,vel_cl_arr Hole,nsum),0)</f>
        <v>0</v>
      </c>
      <c r="R39" s="75">
        <f>IF(NOT(Solution_type="a"),(n)*GetJ_1laysol_inf(Conc_def_arr Hole/1000,thick_cl,$G39,x,R_cl,D_cl_arr Hole,Decay_cl,vel_cl_arr Hole,nsum),0)</f>
        <v>0</v>
      </c>
      <c r="T39" s="75">
        <f>IF(NOT(Solution_type="a"),n*GetJ_1laysol_L(Conc_def_arr Tear/1000,thick_cl,$G39,x,R_cl,D_cl_arr Tear,Decay_cl,vel_cl_arr Tear,nsum),0)</f>
        <v>0</v>
      </c>
      <c r="U39" s="74">
        <f>IF(NOT(Solution_type="a"),Get_1laysol_inf(Conc_def_arr Tear,thick_cl,$G39,x,R_cl,D_cl_arr Tear,Decay_cl,vel_cl_arr Tear,nsum),0)</f>
        <v>0</v>
      </c>
      <c r="V39" s="75">
        <f>IF(NOT(Solution_type="a"),(n)*GetJ_1laysol_inf(Conc_def_arr Tear/1000,thick_cl,$G39,x,R_cl,D_cl_arr Tear,Decay_cl,vel_cl_arr Tear,nsum),0)</f>
        <v>0</v>
      </c>
    </row>
    <row r="40" spans="1:22" ht="11.25">
      <c r="A40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1.6316922347243472</v>
      </c>
      <c r="B40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0.012141970450931605</v>
      </c>
      <c r="C40" s="127"/>
      <c r="D40" s="127"/>
      <c r="F40" s="71">
        <f t="shared" si="2"/>
        <v>41.68693834703361</v>
      </c>
      <c r="G40" s="71">
        <f t="shared" si="0"/>
        <v>1314639287.7120519</v>
      </c>
      <c r="H40" s="75">
        <f t="shared" si="3"/>
        <v>2.3046546613726338E-12</v>
      </c>
      <c r="I40" s="74">
        <f t="shared" si="4"/>
        <v>1.6316922347243472</v>
      </c>
      <c r="J40" s="75">
        <f t="shared" si="1"/>
        <v>1.15190217544509E-12</v>
      </c>
      <c r="L40" s="75">
        <f>IF(NOT(Solution_type="a"),n*GetJ_1laysol_L(Conc_def_arr Pin/1000,thick_cl,$G40,x,R_cl,D_cl_arr Pin,Decay_cl,vel_cl_arr Pin,nsum),0)</f>
        <v>0</v>
      </c>
      <c r="M40" s="74">
        <f>IF(NOT(Solution_type="a"),Get_1laysol_inf(Conc_def_arr Pin,thick_cl,$G40,x,R_cl,D_cl_arr Pin,Decay_cl,vel_cl_arr Pin,nsum),0)</f>
        <v>0</v>
      </c>
      <c r="N40" s="75">
        <f>IF(NOT(Solution_type="a"),(n)*GetJ_1laysol_inf(Conc_def_arr Pin/1000,thick_cl,$G40,x,R_cl,D_cl_arr Pin,Decay_cl,vel_cl_arr Pin,nsum),0)</f>
        <v>0</v>
      </c>
      <c r="P40" s="75">
        <f>IF(NOT(Solution_type="a"),n*GetJ_1laysol_L(Conc_def_arr Hole/1000,thick_cl,$G40,x,R_cl,D_cl_arr Hole,Decay_cl,vel_cl_arr Hole,nsum),0)</f>
        <v>0</v>
      </c>
      <c r="Q40" s="74">
        <f>IF(NOT(Solution_type="a"),Get_1laysol_inf(Conc_def_arr Hole,thick_cl,$G40,x,R_cl,D_cl_arr Hole,Decay_cl,vel_cl_arr Hole,nsum),0)</f>
        <v>0</v>
      </c>
      <c r="R40" s="75">
        <f>IF(NOT(Solution_type="a"),(n)*GetJ_1laysol_inf(Conc_def_arr Hole/1000,thick_cl,$G40,x,R_cl,D_cl_arr Hole,Decay_cl,vel_cl_arr Hole,nsum),0)</f>
        <v>0</v>
      </c>
      <c r="T40" s="75">
        <f>IF(NOT(Solution_type="a"),n*GetJ_1laysol_L(Conc_def_arr Tear/1000,thick_cl,$G40,x,R_cl,D_cl_arr Tear,Decay_cl,vel_cl_arr Tear,nsum),0)</f>
        <v>0</v>
      </c>
      <c r="U40" s="74">
        <f>IF(NOT(Solution_type="a"),Get_1laysol_inf(Conc_def_arr Tear,thick_cl,$G40,x,R_cl,D_cl_arr Tear,Decay_cl,vel_cl_arr Tear,nsum),0)</f>
        <v>0</v>
      </c>
      <c r="V40" s="75">
        <f>IF(NOT(Solution_type="a"),(n)*GetJ_1laysol_inf(Conc_def_arr Tear/1000,thick_cl,$G40,x,R_cl,D_cl_arr Tear,Decay_cl,vel_cl_arr Tear,nsum),0)</f>
        <v>0</v>
      </c>
    </row>
    <row r="41" spans="1:22" ht="11.25">
      <c r="A41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1.7119056316798766</v>
      </c>
      <c r="B41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0.012317722917705061</v>
      </c>
      <c r="C41" s="127"/>
      <c r="D41" s="127"/>
      <c r="F41" s="71">
        <f t="shared" si="2"/>
        <v>47.86300923226392</v>
      </c>
      <c r="G41" s="71">
        <f t="shared" si="0"/>
        <v>1509407859.148675</v>
      </c>
      <c r="H41" s="75">
        <f t="shared" si="3"/>
        <v>2.338109704734635E-12</v>
      </c>
      <c r="I41" s="74">
        <f t="shared" si="4"/>
        <v>1.7119056316798766</v>
      </c>
      <c r="J41" s="75">
        <f t="shared" si="1"/>
        <v>1.168575716995395E-12</v>
      </c>
      <c r="L41" s="75">
        <f>IF(NOT(Solution_type="a"),n*GetJ_1laysol_L(Conc_def_arr Pin/1000,thick_cl,$G41,x,R_cl,D_cl_arr Pin,Decay_cl,vel_cl_arr Pin,nsum),0)</f>
        <v>0</v>
      </c>
      <c r="M41" s="74">
        <f>IF(NOT(Solution_type="a"),Get_1laysol_inf(Conc_def_arr Pin,thick_cl,$G41,x,R_cl,D_cl_arr Pin,Decay_cl,vel_cl_arr Pin,nsum),0)</f>
        <v>0</v>
      </c>
      <c r="N41" s="75">
        <f>IF(NOT(Solution_type="a"),(n)*GetJ_1laysol_inf(Conc_def_arr Pin/1000,thick_cl,$G41,x,R_cl,D_cl_arr Pin,Decay_cl,vel_cl_arr Pin,nsum),0)</f>
        <v>0</v>
      </c>
      <c r="P41" s="75">
        <f>IF(NOT(Solution_type="a"),n*GetJ_1laysol_L(Conc_def_arr Hole/1000,thick_cl,$G41,x,R_cl,D_cl_arr Hole,Decay_cl,vel_cl_arr Hole,nsum),0)</f>
        <v>0</v>
      </c>
      <c r="Q41" s="74">
        <f>IF(NOT(Solution_type="a"),Get_1laysol_inf(Conc_def_arr Hole,thick_cl,$G41,x,R_cl,D_cl_arr Hole,Decay_cl,vel_cl_arr Hole,nsum),0)</f>
        <v>0</v>
      </c>
      <c r="R41" s="75">
        <f>IF(NOT(Solution_type="a"),(n)*GetJ_1laysol_inf(Conc_def_arr Hole/1000,thick_cl,$G41,x,R_cl,D_cl_arr Hole,Decay_cl,vel_cl_arr Hole,nsum),0)</f>
        <v>0</v>
      </c>
      <c r="T41" s="75">
        <f>IF(NOT(Solution_type="a"),n*GetJ_1laysol_L(Conc_def_arr Tear/1000,thick_cl,$G41,x,R_cl,D_cl_arr Tear,Decay_cl,vel_cl_arr Tear,nsum),0)</f>
        <v>0</v>
      </c>
      <c r="U41" s="74">
        <f>IF(NOT(Solution_type="a"),Get_1laysol_inf(Conc_def_arr Tear,thick_cl,$G41,x,R_cl,D_cl_arr Tear,Decay_cl,vel_cl_arr Tear,nsum),0)</f>
        <v>0</v>
      </c>
      <c r="V41" s="75">
        <f>IF(NOT(Solution_type="a"),(n)*GetJ_1laysol_inf(Conc_def_arr Tear/1000,thick_cl,$G41,x,R_cl,D_cl_arr Tear,Decay_cl,vel_cl_arr Tear,nsum),0)</f>
        <v>0</v>
      </c>
    </row>
    <row r="42" spans="1:22" ht="11.25">
      <c r="A42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1.7638556739437299</v>
      </c>
      <c r="B42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0.012399441157557785</v>
      </c>
      <c r="C42" s="127"/>
      <c r="D42" s="127"/>
      <c r="F42" s="71">
        <f t="shared" si="2"/>
        <v>54.954087385762556</v>
      </c>
      <c r="G42" s="71">
        <f t="shared" si="0"/>
        <v>1733032099.797408</v>
      </c>
      <c r="H42" s="75">
        <f t="shared" si="3"/>
        <v>2.353745509095711E-12</v>
      </c>
      <c r="I42" s="74">
        <f t="shared" si="4"/>
        <v>1.7638556739437299</v>
      </c>
      <c r="J42" s="75">
        <f t="shared" si="1"/>
        <v>1.1763282822516114E-12</v>
      </c>
      <c r="L42" s="75">
        <f>IF(NOT(Solution_type="a"),n*GetJ_1laysol_L(Conc_def_arr Pin/1000,thick_cl,$G42,x,R_cl,D_cl_arr Pin,Decay_cl,vel_cl_arr Pin,nsum),0)</f>
        <v>0</v>
      </c>
      <c r="M42" s="74">
        <f>IF(NOT(Solution_type="a"),Get_1laysol_inf(Conc_def_arr Pin,thick_cl,$G42,x,R_cl,D_cl_arr Pin,Decay_cl,vel_cl_arr Pin,nsum),0)</f>
        <v>0</v>
      </c>
      <c r="N42" s="75">
        <f>IF(NOT(Solution_type="a"),(n)*GetJ_1laysol_inf(Conc_def_arr Pin/1000,thick_cl,$G42,x,R_cl,D_cl_arr Pin,Decay_cl,vel_cl_arr Pin,nsum),0)</f>
        <v>0</v>
      </c>
      <c r="P42" s="75">
        <f>IF(NOT(Solution_type="a"),n*GetJ_1laysol_L(Conc_def_arr Hole/1000,thick_cl,$G42,x,R_cl,D_cl_arr Hole,Decay_cl,vel_cl_arr Hole,nsum),0)</f>
        <v>0</v>
      </c>
      <c r="Q42" s="74">
        <f>IF(NOT(Solution_type="a"),Get_1laysol_inf(Conc_def_arr Hole,thick_cl,$G42,x,R_cl,D_cl_arr Hole,Decay_cl,vel_cl_arr Hole,nsum),0)</f>
        <v>0</v>
      </c>
      <c r="R42" s="75">
        <f>IF(NOT(Solution_type="a"),(n)*GetJ_1laysol_inf(Conc_def_arr Hole/1000,thick_cl,$G42,x,R_cl,D_cl_arr Hole,Decay_cl,vel_cl_arr Hole,nsum),0)</f>
        <v>0</v>
      </c>
      <c r="T42" s="75">
        <f>IF(NOT(Solution_type="a"),n*GetJ_1laysol_L(Conc_def_arr Tear/1000,thick_cl,$G42,x,R_cl,D_cl_arr Tear,Decay_cl,vel_cl_arr Tear,nsum),0)</f>
        <v>0</v>
      </c>
      <c r="U42" s="74">
        <f>IF(NOT(Solution_type="a"),Get_1laysol_inf(Conc_def_arr Tear,thick_cl,$G42,x,R_cl,D_cl_arr Tear,Decay_cl,vel_cl_arr Tear,nsum),0)</f>
        <v>0</v>
      </c>
      <c r="V42" s="75">
        <f>IF(NOT(Solution_type="a"),(n)*GetJ_1laysol_inf(Conc_def_arr Tear/1000,thick_cl,$G42,x,R_cl,D_cl_arr Tear,Decay_cl,vel_cl_arr Tear,nsum),0)</f>
        <v>0</v>
      </c>
    </row>
    <row r="43" spans="1:22" ht="11.25">
      <c r="A4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1.7940951653350774</v>
      </c>
      <c r="B4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0.012428349800275377</v>
      </c>
      <c r="C43" s="127"/>
      <c r="D43" s="127"/>
      <c r="F43" s="71">
        <f t="shared" si="2"/>
        <v>63.09573444801944</v>
      </c>
      <c r="G43" s="71">
        <f t="shared" si="0"/>
        <v>1989787081.552741</v>
      </c>
      <c r="H43" s="75">
        <f t="shared" si="3"/>
        <v>2.359376007330774E-12</v>
      </c>
      <c r="I43" s="74">
        <f t="shared" si="4"/>
        <v>1.7940951653350774</v>
      </c>
      <c r="J43" s="75">
        <f t="shared" si="1"/>
        <v>1.17907082956468E-12</v>
      </c>
      <c r="L43" s="75">
        <f>IF(NOT(Solution_type="a"),n*GetJ_1laysol_L(Conc_def_arr Pin/1000,thick_cl,$G43,x,R_cl,D_cl_arr Pin,Decay_cl,vel_cl_arr Pin,nsum),0)</f>
        <v>0</v>
      </c>
      <c r="M43" s="74">
        <f>IF(NOT(Solution_type="a"),Get_1laysol_inf(Conc_def_arr Pin,thick_cl,$G43,x,R_cl,D_cl_arr Pin,Decay_cl,vel_cl_arr Pin,nsum),0)</f>
        <v>0</v>
      </c>
      <c r="N43" s="75">
        <f>IF(NOT(Solution_type="a"),(n)*GetJ_1laysol_inf(Conc_def_arr Pin/1000,thick_cl,$G43,x,R_cl,D_cl_arr Pin,Decay_cl,vel_cl_arr Pin,nsum),0)</f>
        <v>0</v>
      </c>
      <c r="P43" s="75">
        <f>IF(NOT(Solution_type="a"),n*GetJ_1laysol_L(Conc_def_arr Hole/1000,thick_cl,$G43,x,R_cl,D_cl_arr Hole,Decay_cl,vel_cl_arr Hole,nsum),0)</f>
        <v>0</v>
      </c>
      <c r="Q43" s="74">
        <f>IF(NOT(Solution_type="a"),Get_1laysol_inf(Conc_def_arr Hole,thick_cl,$G43,x,R_cl,D_cl_arr Hole,Decay_cl,vel_cl_arr Hole,nsum),0)</f>
        <v>0</v>
      </c>
      <c r="R43" s="75">
        <f>IF(NOT(Solution_type="a"),(n)*GetJ_1laysol_inf(Conc_def_arr Hole/1000,thick_cl,$G43,x,R_cl,D_cl_arr Hole,Decay_cl,vel_cl_arr Hole,nsum),0)</f>
        <v>0</v>
      </c>
      <c r="T43" s="75">
        <f>IF(NOT(Solution_type="a"),n*GetJ_1laysol_L(Conc_def_arr Tear/1000,thick_cl,$G43,x,R_cl,D_cl_arr Tear,Decay_cl,vel_cl_arr Tear,nsum),0)</f>
        <v>0</v>
      </c>
      <c r="U43" s="74">
        <f>IF(NOT(Solution_type="a"),Get_1laysol_inf(Conc_def_arr Tear,thick_cl,$G43,x,R_cl,D_cl_arr Tear,Decay_cl,vel_cl_arr Tear,nsum),0)</f>
        <v>0</v>
      </c>
      <c r="V43" s="75">
        <f>IF(NOT(Solution_type="a"),(n)*GetJ_1laysol_inf(Conc_def_arr Tear/1000,thick_cl,$G43,x,R_cl,D_cl_arr Tear,Decay_cl,vel_cl_arr Tear,nsum),0)</f>
        <v>0</v>
      </c>
    </row>
    <row r="44" spans="1:22" ht="11.25">
      <c r="A44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1.809482873788469</v>
      </c>
      <c r="B44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0.012432953844360523</v>
      </c>
      <c r="C44" s="127"/>
      <c r="D44" s="127"/>
      <c r="F44" s="71">
        <f t="shared" si="2"/>
        <v>72.44359600749915</v>
      </c>
      <c r="G44" s="71">
        <f t="shared" si="0"/>
        <v>2284581243.6924934</v>
      </c>
      <c r="H44" s="75">
        <f t="shared" si="3"/>
        <v>2.3603931726402936E-12</v>
      </c>
      <c r="I44" s="74">
        <f t="shared" si="4"/>
        <v>1.809482873788469</v>
      </c>
      <c r="J44" s="75">
        <f t="shared" si="1"/>
        <v>1.1795076127391206E-12</v>
      </c>
      <c r="L44" s="75">
        <f>IF(NOT(Solution_type="a"),n*GetJ_1laysol_L(Conc_def_arr Pin/1000,thick_cl,$G44,x,R_cl,D_cl_arr Pin,Decay_cl,vel_cl_arr Pin,nsum),0)</f>
        <v>0</v>
      </c>
      <c r="M44" s="74">
        <f>IF(NOT(Solution_type="a"),Get_1laysol_inf(Conc_def_arr Pin,thick_cl,$G44,x,R_cl,D_cl_arr Pin,Decay_cl,vel_cl_arr Pin,nsum),0)</f>
        <v>0</v>
      </c>
      <c r="N44" s="75">
        <f>IF(NOT(Solution_type="a"),(n)*GetJ_1laysol_inf(Conc_def_arr Pin/1000,thick_cl,$G44,x,R_cl,D_cl_arr Pin,Decay_cl,vel_cl_arr Pin,nsum),0)</f>
        <v>0</v>
      </c>
      <c r="P44" s="75">
        <f>IF(NOT(Solution_type="a"),n*GetJ_1laysol_L(Conc_def_arr Hole/1000,thick_cl,$G44,x,R_cl,D_cl_arr Hole,Decay_cl,vel_cl_arr Hole,nsum),0)</f>
        <v>0</v>
      </c>
      <c r="Q44" s="74">
        <f>IF(NOT(Solution_type="a"),Get_1laysol_inf(Conc_def_arr Hole,thick_cl,$G44,x,R_cl,D_cl_arr Hole,Decay_cl,vel_cl_arr Hole,nsum),0)</f>
        <v>0</v>
      </c>
      <c r="R44" s="75">
        <f>IF(NOT(Solution_type="a"),(n)*GetJ_1laysol_inf(Conc_def_arr Hole/1000,thick_cl,$G44,x,R_cl,D_cl_arr Hole,Decay_cl,vel_cl_arr Hole,nsum),0)</f>
        <v>0</v>
      </c>
      <c r="T44" s="75">
        <f>IF(NOT(Solution_type="a"),n*GetJ_1laysol_L(Conc_def_arr Tear/1000,thick_cl,$G44,x,R_cl,D_cl_arr Tear,Decay_cl,vel_cl_arr Tear,nsum),0)</f>
        <v>0</v>
      </c>
      <c r="U44" s="74">
        <f>IF(NOT(Solution_type="a"),Get_1laysol_inf(Conc_def_arr Tear,thick_cl,$G44,x,R_cl,D_cl_arr Tear,Decay_cl,vel_cl_arr Tear,nsum),0)</f>
        <v>0</v>
      </c>
      <c r="V44" s="75">
        <f>IF(NOT(Solution_type="a"),(n)*GetJ_1laysol_inf(Conc_def_arr Tear/1000,thick_cl,$G44,x,R_cl,D_cl_arr Tear,Decay_cl,vel_cl_arr Tear,nsum),0)</f>
        <v>0</v>
      </c>
    </row>
    <row r="45" spans="1:22" ht="11.25">
      <c r="A45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1.815941396575266</v>
      </c>
      <c r="B45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0.01242987747830721</v>
      </c>
      <c r="C45" s="127"/>
      <c r="D45" s="127"/>
      <c r="F45" s="71">
        <f t="shared" si="2"/>
        <v>83.17637711026727</v>
      </c>
      <c r="G45" s="71">
        <f t="shared" si="0"/>
        <v>2623050228.549389</v>
      </c>
      <c r="H45" s="75">
        <f aca="true" t="shared" si="5" ref="H45:H63">IF(Solution_type="a",n*GetJ_1laysol_L(Conc_def/1000,thick_cl,$G45,x,R_cl,D_cl,Decay_cl,vel_cl,nsum),0)</f>
        <v>2.3599335878532353E-12</v>
      </c>
      <c r="I45" s="74">
        <f aca="true" t="shared" si="6" ref="I45:I63">IF(Solution_type="a",Get_1laysol_inf(Conc_def,thick_cl,$G45,x,R_cl,D_cl,Decay_cl,vel_cl,nsum),0)</f>
        <v>1.815941396575266</v>
      </c>
      <c r="J45" s="75">
        <f aca="true" t="shared" si="7" ref="J45:J63">IF(Solution_type="a",(n)*GetJ_1laysol_inf(Conc_def/1000,thick_cl,$G45,x,R_cl,D_cl,Decay_cl,vel_cl,nsum),0)</f>
        <v>1.1792157595540387E-12</v>
      </c>
      <c r="L45" s="75">
        <f>IF(NOT(Solution_type="a"),n*GetJ_1laysol_L(Conc_def_arr Pin/1000,thick_cl,$G45,x,R_cl,D_cl_arr Pin,Decay_cl,vel_cl_arr Pin,nsum),0)</f>
        <v>0</v>
      </c>
      <c r="M45" s="74">
        <f>IF(NOT(Solution_type="a"),Get_1laysol_inf(Conc_def_arr Pin,thick_cl,$G45,x,R_cl,D_cl_arr Pin,Decay_cl,vel_cl_arr Pin,nsum),0)</f>
        <v>0</v>
      </c>
      <c r="N45" s="75">
        <f>IF(NOT(Solution_type="a"),(n)*GetJ_1laysol_inf(Conc_def_arr Pin/1000,thick_cl,$G45,x,R_cl,D_cl_arr Pin,Decay_cl,vel_cl_arr Pin,nsum),0)</f>
        <v>0</v>
      </c>
      <c r="P45" s="75">
        <f>IF(NOT(Solution_type="a"),n*GetJ_1laysol_L(Conc_def_arr Hole/1000,thick_cl,$G45,x,R_cl,D_cl_arr Hole,Decay_cl,vel_cl_arr Hole,nsum),0)</f>
        <v>0</v>
      </c>
      <c r="Q45" s="74">
        <f>IF(NOT(Solution_type="a"),Get_1laysol_inf(Conc_def_arr Hole,thick_cl,$G45,x,R_cl,D_cl_arr Hole,Decay_cl,vel_cl_arr Hole,nsum),0)</f>
        <v>0</v>
      </c>
      <c r="R45" s="75">
        <f>IF(NOT(Solution_type="a"),(n)*GetJ_1laysol_inf(Conc_def_arr Hole/1000,thick_cl,$G45,x,R_cl,D_cl_arr Hole,Decay_cl,vel_cl_arr Hole,nsum),0)</f>
        <v>0</v>
      </c>
      <c r="T45" s="75">
        <f>IF(NOT(Solution_type="a"),n*GetJ_1laysol_L(Conc_def_arr Tear/1000,thick_cl,$G45,x,R_cl,D_cl_arr Tear,Decay_cl,vel_cl_arr Tear,nsum),0)</f>
        <v>0</v>
      </c>
      <c r="U45" s="74">
        <f>IF(NOT(Solution_type="a"),Get_1laysol_inf(Conc_def_arr Tear,thick_cl,$G45,x,R_cl,D_cl_arr Tear,Decay_cl,vel_cl_arr Tear,nsum),0)</f>
        <v>0</v>
      </c>
      <c r="V45" s="75">
        <f>IF(NOT(Solution_type="a"),(n)*GetJ_1laysol_inf(Conc_def_arr Tear/1000,thick_cl,$G45,x,R_cl,D_cl_arr Tear,Decay_cl,vel_cl_arr Tear,nsum),0)</f>
        <v>0</v>
      </c>
    </row>
    <row r="46" spans="1:22" ht="11.25">
      <c r="A46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1.8178359995635784</v>
      </c>
      <c r="B46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0.012426841876278277</v>
      </c>
      <c r="C46" s="127"/>
      <c r="D46" s="127"/>
      <c r="F46" s="71">
        <f t="shared" si="2"/>
        <v>95.4992586021438</v>
      </c>
      <c r="G46" s="71">
        <f t="shared" si="0"/>
        <v>3011664619.277207</v>
      </c>
      <c r="H46" s="75">
        <f t="shared" si="5"/>
        <v>2.359450596620077E-12</v>
      </c>
      <c r="I46" s="74">
        <f t="shared" si="6"/>
        <v>1.8178359995635784</v>
      </c>
      <c r="J46" s="75">
        <f t="shared" si="7"/>
        <v>1.1789277736299216E-12</v>
      </c>
      <c r="L46" s="75">
        <f>IF(NOT(Solution_type="a"),n*GetJ_1laysol_L(Conc_def_arr Pin/1000,thick_cl,$G46,x,R_cl,D_cl_arr Pin,Decay_cl,vel_cl_arr Pin,nsum),0)</f>
        <v>0</v>
      </c>
      <c r="M46" s="74">
        <f>IF(NOT(Solution_type="a"),Get_1laysol_inf(Conc_def_arr Pin,thick_cl,$G46,x,R_cl,D_cl_arr Pin,Decay_cl,vel_cl_arr Pin,nsum),0)</f>
        <v>0</v>
      </c>
      <c r="N46" s="75">
        <f>IF(NOT(Solution_type="a"),(n)*GetJ_1laysol_inf(Conc_def_arr Pin/1000,thick_cl,$G46,x,R_cl,D_cl_arr Pin,Decay_cl,vel_cl_arr Pin,nsum),0)</f>
        <v>0</v>
      </c>
      <c r="P46" s="75">
        <f>IF(NOT(Solution_type="a"),n*GetJ_1laysol_L(Conc_def_arr Hole/1000,thick_cl,$G46,x,R_cl,D_cl_arr Hole,Decay_cl,vel_cl_arr Hole,nsum),0)</f>
        <v>0</v>
      </c>
      <c r="Q46" s="74">
        <f>IF(NOT(Solution_type="a"),Get_1laysol_inf(Conc_def_arr Hole,thick_cl,$G46,x,R_cl,D_cl_arr Hole,Decay_cl,vel_cl_arr Hole,nsum),0)</f>
        <v>0</v>
      </c>
      <c r="R46" s="75">
        <f>IF(NOT(Solution_type="a"),(n)*GetJ_1laysol_inf(Conc_def_arr Hole/1000,thick_cl,$G46,x,R_cl,D_cl_arr Hole,Decay_cl,vel_cl_arr Hole,nsum),0)</f>
        <v>0</v>
      </c>
      <c r="T46" s="75">
        <f>IF(NOT(Solution_type="a"),n*GetJ_1laysol_L(Conc_def_arr Tear/1000,thick_cl,$G46,x,R_cl,D_cl_arr Tear,Decay_cl,vel_cl_arr Tear,nsum),0)</f>
        <v>0</v>
      </c>
      <c r="U46" s="74">
        <f>IF(NOT(Solution_type="a"),Get_1laysol_inf(Conc_def_arr Tear,thick_cl,$G46,x,R_cl,D_cl_arr Tear,Decay_cl,vel_cl_arr Tear,nsum),0)</f>
        <v>0</v>
      </c>
      <c r="V46" s="75">
        <f>IF(NOT(Solution_type="a"),(n)*GetJ_1laysol_inf(Conc_def_arr Tear/1000,thick_cl,$G46,x,R_cl,D_cl_arr Tear,Decay_cl,vel_cl_arr Tear,nsum),0)</f>
        <v>0</v>
      </c>
    </row>
    <row r="47" spans="1:22" ht="11.25">
      <c r="A47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1.817914184423876</v>
      </c>
      <c r="B47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0.012426116359118992</v>
      </c>
      <c r="C47" s="127"/>
      <c r="D47" s="127"/>
      <c r="F47" s="71">
        <f t="shared" si="2"/>
        <v>109.64781961431873</v>
      </c>
      <c r="G47" s="71">
        <f t="shared" si="0"/>
        <v>3457853639.357156</v>
      </c>
      <c r="H47" s="75">
        <f t="shared" si="5"/>
        <v>2.3593722850359966E-12</v>
      </c>
      <c r="I47" s="74">
        <f t="shared" si="6"/>
        <v>1.817914184423876</v>
      </c>
      <c r="J47" s="75">
        <f t="shared" si="7"/>
        <v>1.1788589442090726E-12</v>
      </c>
      <c r="L47" s="75">
        <f>IF(NOT(Solution_type="a"),n*GetJ_1laysol_L(Conc_def_arr Pin/1000,thick_cl,$G47,x,R_cl,D_cl_arr Pin,Decay_cl,vel_cl_arr Pin,nsum),0)</f>
        <v>0</v>
      </c>
      <c r="M47" s="74">
        <f>IF(NOT(Solution_type="a"),Get_1laysol_inf(Conc_def_arr Pin,thick_cl,$G47,x,R_cl,D_cl_arr Pin,Decay_cl,vel_cl_arr Pin,nsum),0)</f>
        <v>0</v>
      </c>
      <c r="N47" s="75">
        <f>IF(NOT(Solution_type="a"),(n)*GetJ_1laysol_inf(Conc_def_arr Pin/1000,thick_cl,$G47,x,R_cl,D_cl_arr Pin,Decay_cl,vel_cl_arr Pin,nsum),0)</f>
        <v>0</v>
      </c>
      <c r="P47" s="75">
        <f>IF(NOT(Solution_type="a"),n*GetJ_1laysol_L(Conc_def_arr Hole/1000,thick_cl,$G47,x,R_cl,D_cl_arr Hole,Decay_cl,vel_cl_arr Hole,nsum),0)</f>
        <v>0</v>
      </c>
      <c r="Q47" s="74">
        <f>IF(NOT(Solution_type="a"),Get_1laysol_inf(Conc_def_arr Hole,thick_cl,$G47,x,R_cl,D_cl_arr Hole,Decay_cl,vel_cl_arr Hole,nsum),0)</f>
        <v>0</v>
      </c>
      <c r="R47" s="75">
        <f>IF(NOT(Solution_type="a"),(n)*GetJ_1laysol_inf(Conc_def_arr Hole/1000,thick_cl,$G47,x,R_cl,D_cl_arr Hole,Decay_cl,vel_cl_arr Hole,nsum),0)</f>
        <v>0</v>
      </c>
      <c r="T47" s="75">
        <f>IF(NOT(Solution_type="a"),n*GetJ_1laysol_L(Conc_def_arr Tear/1000,thick_cl,$G47,x,R_cl,D_cl_arr Tear,Decay_cl,vel_cl_arr Tear,nsum),0)</f>
        <v>0</v>
      </c>
      <c r="U47" s="74">
        <f>IF(NOT(Solution_type="a"),Get_1laysol_inf(Conc_def_arr Tear,thick_cl,$G47,x,R_cl,D_cl_arr Tear,Decay_cl,vel_cl_arr Tear,nsum),0)</f>
        <v>0</v>
      </c>
      <c r="V47" s="75">
        <f>IF(NOT(Solution_type="a"),(n)*GetJ_1laysol_inf(Conc_def_arr Tear/1000,thick_cl,$G47,x,R_cl,D_cl_arr Tear,Decay_cl,vel_cl_arr Tear,nsum),0)</f>
        <v>0</v>
      </c>
    </row>
    <row r="48" spans="1:22" ht="11.25">
      <c r="A48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1.81760712791417</v>
      </c>
      <c r="B48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0.012427370777978957</v>
      </c>
      <c r="C48" s="127"/>
      <c r="D48" s="127"/>
      <c r="F48" s="71">
        <f t="shared" si="2"/>
        <v>125.892541179417</v>
      </c>
      <c r="G48" s="71">
        <f t="shared" si="0"/>
        <v>3970147178.634094</v>
      </c>
      <c r="H48" s="75">
        <f t="shared" si="5"/>
        <v>2.3596412777046812E-12</v>
      </c>
      <c r="I48" s="74">
        <f t="shared" si="6"/>
        <v>1.81760712791417</v>
      </c>
      <c r="J48" s="75">
        <f t="shared" si="7"/>
        <v>1.178977950248459E-12</v>
      </c>
      <c r="L48" s="75">
        <f>IF(NOT(Solution_type="a"),n*GetJ_1laysol_L(Conc_def_arr Pin/1000,thick_cl,$G48,x,R_cl,D_cl_arr Pin,Decay_cl,vel_cl_arr Pin,nsum),0)</f>
        <v>0</v>
      </c>
      <c r="M48" s="74">
        <f>IF(NOT(Solution_type="a"),Get_1laysol_inf(Conc_def_arr Pin,thick_cl,$G48,x,R_cl,D_cl_arr Pin,Decay_cl,vel_cl_arr Pin,nsum),0)</f>
        <v>0</v>
      </c>
      <c r="N48" s="75">
        <f>IF(NOT(Solution_type="a"),(n)*GetJ_1laysol_inf(Conc_def_arr Pin/1000,thick_cl,$G48,x,R_cl,D_cl_arr Pin,Decay_cl,vel_cl_arr Pin,nsum),0)</f>
        <v>0</v>
      </c>
      <c r="P48" s="75">
        <f>IF(NOT(Solution_type="a"),n*GetJ_1laysol_L(Conc_def_arr Hole/1000,thick_cl,$G48,x,R_cl,D_cl_arr Hole,Decay_cl,vel_cl_arr Hole,nsum),0)</f>
        <v>0</v>
      </c>
      <c r="Q48" s="74">
        <f>IF(NOT(Solution_type="a"),Get_1laysol_inf(Conc_def_arr Hole,thick_cl,$G48,x,R_cl,D_cl_arr Hole,Decay_cl,vel_cl_arr Hole,nsum),0)</f>
        <v>0</v>
      </c>
      <c r="R48" s="75">
        <f>IF(NOT(Solution_type="a"),(n)*GetJ_1laysol_inf(Conc_def_arr Hole/1000,thick_cl,$G48,x,R_cl,D_cl_arr Hole,Decay_cl,vel_cl_arr Hole,nsum),0)</f>
        <v>0</v>
      </c>
      <c r="T48" s="75">
        <f>IF(NOT(Solution_type="a"),n*GetJ_1laysol_L(Conc_def_arr Tear/1000,thick_cl,$G48,x,R_cl,D_cl_arr Tear,Decay_cl,vel_cl_arr Tear,nsum),0)</f>
        <v>0</v>
      </c>
      <c r="U48" s="74">
        <f>IF(NOT(Solution_type="a"),Get_1laysol_inf(Conc_def_arr Tear,thick_cl,$G48,x,R_cl,D_cl_arr Tear,Decay_cl,vel_cl_arr Tear,nsum),0)</f>
        <v>0</v>
      </c>
      <c r="V48" s="75">
        <f>IF(NOT(Solution_type="a"),(n)*GetJ_1laysol_inf(Conc_def_arr Tear/1000,thick_cl,$G48,x,R_cl,D_cl_arr Tear,Decay_cl,vel_cl_arr Tear,nsum),0)</f>
        <v>0</v>
      </c>
    </row>
    <row r="49" spans="1:22" ht="11.25">
      <c r="A49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1.8174681574299958</v>
      </c>
      <c r="B49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0.01242952155892907</v>
      </c>
      <c r="C49" s="127"/>
      <c r="D49" s="127"/>
      <c r="F49" s="71">
        <f t="shared" si="2"/>
        <v>144.54397707459307</v>
      </c>
      <c r="G49" s="71">
        <f t="shared" si="0"/>
        <v>4558338861.024367</v>
      </c>
      <c r="H49" s="75">
        <f t="shared" si="5"/>
        <v>2.3600610389259682E-12</v>
      </c>
      <c r="I49" s="74">
        <f t="shared" si="6"/>
        <v>1.8174681574299958</v>
      </c>
      <c r="J49" s="75">
        <f t="shared" si="7"/>
        <v>1.179181993674965E-12</v>
      </c>
      <c r="L49" s="75">
        <f>IF(NOT(Solution_type="a"),n*GetJ_1laysol_L(Conc_def_arr Pin/1000,thick_cl,$G49,x,R_cl,D_cl_arr Pin,Decay_cl,vel_cl_arr Pin,nsum),0)</f>
        <v>0</v>
      </c>
      <c r="M49" s="74">
        <f>IF(NOT(Solution_type="a"),Get_1laysol_inf(Conc_def_arr Pin,thick_cl,$G49,x,R_cl,D_cl_arr Pin,Decay_cl,vel_cl_arr Pin,nsum),0)</f>
        <v>0</v>
      </c>
      <c r="N49" s="75">
        <f>IF(NOT(Solution_type="a"),(n)*GetJ_1laysol_inf(Conc_def_arr Pin/1000,thick_cl,$G49,x,R_cl,D_cl_arr Pin,Decay_cl,vel_cl_arr Pin,nsum),0)</f>
        <v>0</v>
      </c>
      <c r="P49" s="75">
        <f>IF(NOT(Solution_type="a"),n*GetJ_1laysol_L(Conc_def_arr Hole/1000,thick_cl,$G49,x,R_cl,D_cl_arr Hole,Decay_cl,vel_cl_arr Hole,nsum),0)</f>
        <v>0</v>
      </c>
      <c r="Q49" s="74">
        <f>IF(NOT(Solution_type="a"),Get_1laysol_inf(Conc_def_arr Hole,thick_cl,$G49,x,R_cl,D_cl_arr Hole,Decay_cl,vel_cl_arr Hole,nsum),0)</f>
        <v>0</v>
      </c>
      <c r="R49" s="75">
        <f>IF(NOT(Solution_type="a"),(n)*GetJ_1laysol_inf(Conc_def_arr Hole/1000,thick_cl,$G49,x,R_cl,D_cl_arr Hole,Decay_cl,vel_cl_arr Hole,nsum),0)</f>
        <v>0</v>
      </c>
      <c r="T49" s="75">
        <f>IF(NOT(Solution_type="a"),n*GetJ_1laysol_L(Conc_def_arr Tear/1000,thick_cl,$G49,x,R_cl,D_cl_arr Tear,Decay_cl,vel_cl_arr Tear,nsum),0)</f>
        <v>0</v>
      </c>
      <c r="U49" s="74">
        <f>IF(NOT(Solution_type="a"),Get_1laysol_inf(Conc_def_arr Tear,thick_cl,$G49,x,R_cl,D_cl_arr Tear,Decay_cl,vel_cl_arr Tear,nsum),0)</f>
        <v>0</v>
      </c>
      <c r="V49" s="75">
        <f>IF(NOT(Solution_type="a"),(n)*GetJ_1laysol_inf(Conc_def_arr Tear/1000,thick_cl,$G49,x,R_cl,D_cl_arr Tear,Decay_cl,vel_cl_arr Tear,nsum),0)</f>
        <v>0</v>
      </c>
    </row>
    <row r="50" spans="1:22" ht="11.25">
      <c r="A50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1.817578753333726</v>
      </c>
      <c r="B50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0.012431643871529915</v>
      </c>
      <c r="C50" s="127"/>
      <c r="D50" s="127"/>
      <c r="F50" s="71">
        <f t="shared" si="2"/>
        <v>165.95869074375645</v>
      </c>
      <c r="G50" s="71">
        <f t="shared" si="0"/>
        <v>5233673271.295103</v>
      </c>
      <c r="H50" s="75">
        <f t="shared" si="5"/>
        <v>2.36046502860271E-12</v>
      </c>
      <c r="I50" s="74">
        <f t="shared" si="6"/>
        <v>1.817578753333726</v>
      </c>
      <c r="J50" s="75">
        <f t="shared" si="7"/>
        <v>1.1793833363245593E-12</v>
      </c>
      <c r="L50" s="75">
        <f>IF(NOT(Solution_type="a"),n*GetJ_1laysol_L(Conc_def_arr Pin/1000,thick_cl,$G50,x,R_cl,D_cl_arr Pin,Decay_cl,vel_cl_arr Pin,nsum),0)</f>
        <v>0</v>
      </c>
      <c r="M50" s="74">
        <f>IF(NOT(Solution_type="a"),Get_1laysol_inf(Conc_def_arr Pin,thick_cl,$G50,x,R_cl,D_cl_arr Pin,Decay_cl,vel_cl_arr Pin,nsum),0)</f>
        <v>0</v>
      </c>
      <c r="N50" s="75">
        <f>IF(NOT(Solution_type="a"),(n)*GetJ_1laysol_inf(Conc_def_arr Pin/1000,thick_cl,$G50,x,R_cl,D_cl_arr Pin,Decay_cl,vel_cl_arr Pin,nsum),0)</f>
        <v>0</v>
      </c>
      <c r="P50" s="75">
        <f>IF(NOT(Solution_type="a"),n*GetJ_1laysol_L(Conc_def_arr Hole/1000,thick_cl,$G50,x,R_cl,D_cl_arr Hole,Decay_cl,vel_cl_arr Hole,nsum),0)</f>
        <v>0</v>
      </c>
      <c r="Q50" s="74">
        <f>IF(NOT(Solution_type="a"),Get_1laysol_inf(Conc_def_arr Hole,thick_cl,$G50,x,R_cl,D_cl_arr Hole,Decay_cl,vel_cl_arr Hole,nsum),0)</f>
        <v>0</v>
      </c>
      <c r="R50" s="75">
        <f>IF(NOT(Solution_type="a"),(n)*GetJ_1laysol_inf(Conc_def_arr Hole/1000,thick_cl,$G50,x,R_cl,D_cl_arr Hole,Decay_cl,vel_cl_arr Hole,nsum),0)</f>
        <v>0</v>
      </c>
      <c r="T50" s="75">
        <f>IF(NOT(Solution_type="a"),n*GetJ_1laysol_L(Conc_def_arr Tear/1000,thick_cl,$G50,x,R_cl,D_cl_arr Tear,Decay_cl,vel_cl_arr Tear,nsum),0)</f>
        <v>0</v>
      </c>
      <c r="U50" s="74">
        <f>IF(NOT(Solution_type="a"),Get_1laysol_inf(Conc_def_arr Tear,thick_cl,$G50,x,R_cl,D_cl_arr Tear,Decay_cl,vel_cl_arr Tear,nsum),0)</f>
        <v>0</v>
      </c>
      <c r="V50" s="75">
        <f>IF(NOT(Solution_type="a"),(n)*GetJ_1laysol_inf(Conc_def_arr Tear/1000,thick_cl,$G50,x,R_cl,D_cl_arr Tear,Decay_cl,vel_cl_arr Tear,nsum),0)</f>
        <v>0</v>
      </c>
    </row>
    <row r="51" spans="1:22" ht="11.25">
      <c r="A51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1.8178379405878566</v>
      </c>
      <c r="B51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0.012433244390955391</v>
      </c>
      <c r="C51" s="127"/>
      <c r="D51" s="127"/>
      <c r="F51" s="71">
        <f t="shared" si="2"/>
        <v>190.54607179632518</v>
      </c>
      <c r="G51" s="71">
        <f t="shared" si="0"/>
        <v>6009060920.168911</v>
      </c>
      <c r="H51" s="75">
        <f t="shared" si="5"/>
        <v>2.3607661553191926E-12</v>
      </c>
      <c r="I51" s="74">
        <f t="shared" si="6"/>
        <v>1.8178379405878566</v>
      </c>
      <c r="J51" s="75">
        <f t="shared" si="7"/>
        <v>1.1795351767375711E-12</v>
      </c>
      <c r="L51" s="75">
        <f>IF(NOT(Solution_type="a"),n*GetJ_1laysol_L(Conc_def_arr Pin/1000,thick_cl,$G51,x,R_cl,D_cl_arr Pin,Decay_cl,vel_cl_arr Pin,nsum),0)</f>
        <v>0</v>
      </c>
      <c r="M51" s="74">
        <f>IF(NOT(Solution_type="a"),Get_1laysol_inf(Conc_def_arr Pin,thick_cl,$G51,x,R_cl,D_cl_arr Pin,Decay_cl,vel_cl_arr Pin,nsum),0)</f>
        <v>0</v>
      </c>
      <c r="N51" s="75">
        <f>IF(NOT(Solution_type="a"),(n)*GetJ_1laysol_inf(Conc_def_arr Pin/1000,thick_cl,$G51,x,R_cl,D_cl_arr Pin,Decay_cl,vel_cl_arr Pin,nsum),0)</f>
        <v>0</v>
      </c>
      <c r="P51" s="75">
        <f>IF(NOT(Solution_type="a"),n*GetJ_1laysol_L(Conc_def_arr Hole/1000,thick_cl,$G51,x,R_cl,D_cl_arr Hole,Decay_cl,vel_cl_arr Hole,nsum),0)</f>
        <v>0</v>
      </c>
      <c r="Q51" s="74">
        <f>IF(NOT(Solution_type="a"),Get_1laysol_inf(Conc_def_arr Hole,thick_cl,$G51,x,R_cl,D_cl_arr Hole,Decay_cl,vel_cl_arr Hole,nsum),0)</f>
        <v>0</v>
      </c>
      <c r="R51" s="75">
        <f>IF(NOT(Solution_type="a"),(n)*GetJ_1laysol_inf(Conc_def_arr Hole/1000,thick_cl,$G51,x,R_cl,D_cl_arr Hole,Decay_cl,vel_cl_arr Hole,nsum),0)</f>
        <v>0</v>
      </c>
      <c r="T51" s="75">
        <f>IF(NOT(Solution_type="a"),n*GetJ_1laysol_L(Conc_def_arr Tear/1000,thick_cl,$G51,x,R_cl,D_cl_arr Tear,Decay_cl,vel_cl_arr Tear,nsum),0)</f>
        <v>0</v>
      </c>
      <c r="U51" s="74">
        <f>IF(NOT(Solution_type="a"),Get_1laysol_inf(Conc_def_arr Tear,thick_cl,$G51,x,R_cl,D_cl_arr Tear,Decay_cl,vel_cl_arr Tear,nsum),0)</f>
        <v>0</v>
      </c>
      <c r="V51" s="75">
        <f>IF(NOT(Solution_type="a"),(n)*GetJ_1laysol_inf(Conc_def_arr Tear/1000,thick_cl,$G51,x,R_cl,D_cl_arr Tear,Decay_cl,vel_cl_arr Tear,nsum),0)</f>
        <v>0</v>
      </c>
    </row>
    <row r="52" spans="1:22" ht="11.25">
      <c r="A52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1.8181238838902176</v>
      </c>
      <c r="B52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0.012434206293223508</v>
      </c>
      <c r="C52" s="127"/>
      <c r="D52" s="127"/>
      <c r="F52" s="71">
        <f t="shared" si="2"/>
        <v>218.7761623949558</v>
      </c>
      <c r="G52" s="71">
        <f t="shared" si="0"/>
        <v>6899325057.287327</v>
      </c>
      <c r="H52" s="75">
        <f t="shared" si="5"/>
        <v>2.3609458632562264E-12</v>
      </c>
      <c r="I52" s="74">
        <f t="shared" si="6"/>
        <v>1.8181238838902176</v>
      </c>
      <c r="J52" s="75">
        <f t="shared" si="7"/>
        <v>1.1796264318859582E-12</v>
      </c>
      <c r="L52" s="75">
        <f>IF(NOT(Solution_type="a"),n*GetJ_1laysol_L(Conc_def_arr Pin/1000,thick_cl,$G52,x,R_cl,D_cl_arr Pin,Decay_cl,vel_cl_arr Pin,nsum),0)</f>
        <v>0</v>
      </c>
      <c r="M52" s="74">
        <f>IF(NOT(Solution_type="a"),Get_1laysol_inf(Conc_def_arr Pin,thick_cl,$G52,x,R_cl,D_cl_arr Pin,Decay_cl,vel_cl_arr Pin,nsum),0)</f>
        <v>0</v>
      </c>
      <c r="N52" s="75">
        <f>IF(NOT(Solution_type="a"),(n)*GetJ_1laysol_inf(Conc_def_arr Pin/1000,thick_cl,$G52,x,R_cl,D_cl_arr Pin,Decay_cl,vel_cl_arr Pin,nsum),0)</f>
        <v>0</v>
      </c>
      <c r="P52" s="75">
        <f>IF(NOT(Solution_type="a"),n*GetJ_1laysol_L(Conc_def_arr Hole/1000,thick_cl,$G52,x,R_cl,D_cl_arr Hole,Decay_cl,vel_cl_arr Hole,nsum),0)</f>
        <v>0</v>
      </c>
      <c r="Q52" s="74">
        <f>IF(NOT(Solution_type="a"),Get_1laysol_inf(Conc_def_arr Hole,thick_cl,$G52,x,R_cl,D_cl_arr Hole,Decay_cl,vel_cl_arr Hole,nsum),0)</f>
        <v>0</v>
      </c>
      <c r="R52" s="75">
        <f>IF(NOT(Solution_type="a"),(n)*GetJ_1laysol_inf(Conc_def_arr Hole/1000,thick_cl,$G52,x,R_cl,D_cl_arr Hole,Decay_cl,vel_cl_arr Hole,nsum),0)</f>
        <v>0</v>
      </c>
      <c r="T52" s="75">
        <f>IF(NOT(Solution_type="a"),n*GetJ_1laysol_L(Conc_def_arr Tear/1000,thick_cl,$G52,x,R_cl,D_cl_arr Tear,Decay_cl,vel_cl_arr Tear,nsum),0)</f>
        <v>0</v>
      </c>
      <c r="U52" s="74">
        <f>IF(NOT(Solution_type="a"),Get_1laysol_inf(Conc_def_arr Tear,thick_cl,$G52,x,R_cl,D_cl_arr Tear,Decay_cl,vel_cl_arr Tear,nsum),0)</f>
        <v>0</v>
      </c>
      <c r="V52" s="75">
        <f>IF(NOT(Solution_type="a"),(n)*GetJ_1laysol_inf(Conc_def_arr Tear/1000,thick_cl,$G52,x,R_cl,D_cl_arr Tear,Decay_cl,vel_cl_arr Tear,nsum),0)</f>
        <v>0</v>
      </c>
    </row>
    <row r="53" spans="1:22" ht="11.25">
      <c r="A5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1.818357726135268</v>
      </c>
      <c r="B5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0.012434631286551203</v>
      </c>
      <c r="C53" s="127"/>
      <c r="D53" s="127"/>
      <c r="F53" s="71">
        <f t="shared" si="2"/>
        <v>251.18864315095865</v>
      </c>
      <c r="G53" s="71">
        <f t="shared" si="0"/>
        <v>7921485050.408631</v>
      </c>
      <c r="H53" s="75">
        <f t="shared" si="5"/>
        <v>2.3610247905860343E-12</v>
      </c>
      <c r="I53" s="74">
        <f t="shared" si="6"/>
        <v>1.818357726135268</v>
      </c>
      <c r="J53" s="75">
        <f t="shared" si="7"/>
        <v>1.1796667507733E-12</v>
      </c>
      <c r="L53" s="75">
        <f>IF(NOT(Solution_type="a"),n*GetJ_1laysol_L(Conc_def_arr Pin/1000,thick_cl,$G53,x,R_cl,D_cl_arr Pin,Decay_cl,vel_cl_arr Pin,nsum),0)</f>
        <v>0</v>
      </c>
      <c r="M53" s="74">
        <f>IF(NOT(Solution_type="a"),Get_1laysol_inf(Conc_def_arr Pin,thick_cl,$G53,x,R_cl,D_cl_arr Pin,Decay_cl,vel_cl_arr Pin,nsum),0)</f>
        <v>0</v>
      </c>
      <c r="N53" s="75">
        <f>IF(NOT(Solution_type="a"),(n)*GetJ_1laysol_inf(Conc_def_arr Pin/1000,thick_cl,$G53,x,R_cl,D_cl_arr Pin,Decay_cl,vel_cl_arr Pin,nsum),0)</f>
        <v>0</v>
      </c>
      <c r="P53" s="75">
        <f>IF(NOT(Solution_type="a"),n*GetJ_1laysol_L(Conc_def_arr Hole/1000,thick_cl,$G53,x,R_cl,D_cl_arr Hole,Decay_cl,vel_cl_arr Hole,nsum),0)</f>
        <v>0</v>
      </c>
      <c r="Q53" s="74">
        <f>IF(NOT(Solution_type="a"),Get_1laysol_inf(Conc_def_arr Hole,thick_cl,$G53,x,R_cl,D_cl_arr Hole,Decay_cl,vel_cl_arr Hole,nsum),0)</f>
        <v>0</v>
      </c>
      <c r="R53" s="75">
        <f>IF(NOT(Solution_type="a"),(n)*GetJ_1laysol_inf(Conc_def_arr Hole/1000,thick_cl,$G53,x,R_cl,D_cl_arr Hole,Decay_cl,vel_cl_arr Hole,nsum),0)</f>
        <v>0</v>
      </c>
      <c r="T53" s="75">
        <f>IF(NOT(Solution_type="a"),n*GetJ_1laysol_L(Conc_def_arr Tear/1000,thick_cl,$G53,x,R_cl,D_cl_arr Tear,Decay_cl,vel_cl_arr Tear,nsum),0)</f>
        <v>0</v>
      </c>
      <c r="U53" s="74">
        <f>IF(NOT(Solution_type="a"),Get_1laysol_inf(Conc_def_arr Tear,thick_cl,$G53,x,R_cl,D_cl_arr Tear,Decay_cl,vel_cl_arr Tear,nsum),0)</f>
        <v>0</v>
      </c>
      <c r="V53" s="75">
        <f>IF(NOT(Solution_type="a"),(n)*GetJ_1laysol_inf(Conc_def_arr Tear/1000,thick_cl,$G53,x,R_cl,D_cl_arr Tear,Decay_cl,vel_cl_arr Tear,nsum),0)</f>
        <v>0</v>
      </c>
    </row>
    <row r="54" spans="1:22" ht="11.25">
      <c r="A54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1.81851073802475</v>
      </c>
      <c r="B54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0.01243469766413259</v>
      </c>
      <c r="C54" s="127"/>
      <c r="D54" s="127"/>
      <c r="F54" s="71">
        <f t="shared" si="2"/>
        <v>288.40315031266135</v>
      </c>
      <c r="G54" s="71">
        <f t="shared" si="0"/>
        <v>9095081748.26009</v>
      </c>
      <c r="H54" s="75">
        <f t="shared" si="5"/>
        <v>2.3610368293497377E-12</v>
      </c>
      <c r="I54" s="74">
        <f t="shared" si="6"/>
        <v>1.81851073802475</v>
      </c>
      <c r="J54" s="75">
        <f t="shared" si="7"/>
        <v>1.1796730479785777E-12</v>
      </c>
      <c r="L54" s="75">
        <f>IF(NOT(Solution_type="a"),n*GetJ_1laysol_L(Conc_def_arr Pin/1000,thick_cl,$G54,x,R_cl,D_cl_arr Pin,Decay_cl,vel_cl_arr Pin,nsum),0)</f>
        <v>0</v>
      </c>
      <c r="M54" s="74">
        <f>IF(NOT(Solution_type="a"),Get_1laysol_inf(Conc_def_arr Pin,thick_cl,$G54,x,R_cl,D_cl_arr Pin,Decay_cl,vel_cl_arr Pin,nsum),0)</f>
        <v>0</v>
      </c>
      <c r="N54" s="75">
        <f>IF(NOT(Solution_type="a"),(n)*GetJ_1laysol_inf(Conc_def_arr Pin/1000,thick_cl,$G54,x,R_cl,D_cl_arr Pin,Decay_cl,vel_cl_arr Pin,nsum),0)</f>
        <v>0</v>
      </c>
      <c r="P54" s="75">
        <f>IF(NOT(Solution_type="a"),n*GetJ_1laysol_L(Conc_def_arr Hole/1000,thick_cl,$G54,x,R_cl,D_cl_arr Hole,Decay_cl,vel_cl_arr Hole,nsum),0)</f>
        <v>0</v>
      </c>
      <c r="Q54" s="74">
        <f>IF(NOT(Solution_type="a"),Get_1laysol_inf(Conc_def_arr Hole,thick_cl,$G54,x,R_cl,D_cl_arr Hole,Decay_cl,vel_cl_arr Hole,nsum),0)</f>
        <v>0</v>
      </c>
      <c r="R54" s="75">
        <f>IF(NOT(Solution_type="a"),(n)*GetJ_1laysol_inf(Conc_def_arr Hole/1000,thick_cl,$G54,x,R_cl,D_cl_arr Hole,Decay_cl,vel_cl_arr Hole,nsum),0)</f>
        <v>0</v>
      </c>
      <c r="T54" s="75">
        <f>IF(NOT(Solution_type="a"),n*GetJ_1laysol_L(Conc_def_arr Tear/1000,thick_cl,$G54,x,R_cl,D_cl_arr Tear,Decay_cl,vel_cl_arr Tear,nsum),0)</f>
        <v>0</v>
      </c>
      <c r="U54" s="74">
        <f>IF(NOT(Solution_type="a"),Get_1laysol_inf(Conc_def_arr Tear,thick_cl,$G54,x,R_cl,D_cl_arr Tear,Decay_cl,vel_cl_arr Tear,nsum),0)</f>
        <v>0</v>
      </c>
      <c r="V54" s="75">
        <f>IF(NOT(Solution_type="a"),(n)*GetJ_1laysol_inf(Conc_def_arr Tear/1000,thick_cl,$G54,x,R_cl,D_cl_arr Tear,Decay_cl,vel_cl_arr Tear,nsum),0)</f>
        <v>0</v>
      </c>
    </row>
    <row r="55" spans="1:22" ht="11.25">
      <c r="A55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1.8185883602014712</v>
      </c>
      <c r="B55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0.012434573257798051</v>
      </c>
      <c r="C55" s="127"/>
      <c r="D55" s="127"/>
      <c r="F55" s="71">
        <f t="shared" si="2"/>
        <v>331.131121482592</v>
      </c>
      <c r="G55" s="71">
        <f t="shared" si="0"/>
        <v>10442551047.07502</v>
      </c>
      <c r="H55" s="75">
        <f t="shared" si="5"/>
        <v>2.361013402025926E-12</v>
      </c>
      <c r="I55" s="74">
        <f t="shared" si="6"/>
        <v>1.8185883602014712</v>
      </c>
      <c r="J55" s="75">
        <f t="shared" si="7"/>
        <v>1.179661245616846E-12</v>
      </c>
      <c r="L55" s="75">
        <f>IF(NOT(Solution_type="a"),n*GetJ_1laysol_L(Conc_def_arr Pin/1000,thick_cl,$G55,x,R_cl,D_cl_arr Pin,Decay_cl,vel_cl_arr Pin,nsum),0)</f>
        <v>0</v>
      </c>
      <c r="M55" s="74">
        <f>IF(NOT(Solution_type="a"),Get_1laysol_inf(Conc_def_arr Pin,thick_cl,$G55,x,R_cl,D_cl_arr Pin,Decay_cl,vel_cl_arr Pin,nsum),0)</f>
        <v>0</v>
      </c>
      <c r="N55" s="75">
        <f>IF(NOT(Solution_type="a"),(n)*GetJ_1laysol_inf(Conc_def_arr Pin/1000,thick_cl,$G55,x,R_cl,D_cl_arr Pin,Decay_cl,vel_cl_arr Pin,nsum),0)</f>
        <v>0</v>
      </c>
      <c r="P55" s="75">
        <f>IF(NOT(Solution_type="a"),n*GetJ_1laysol_L(Conc_def_arr Hole/1000,thick_cl,$G55,x,R_cl,D_cl_arr Hole,Decay_cl,vel_cl_arr Hole,nsum),0)</f>
        <v>0</v>
      </c>
      <c r="Q55" s="74">
        <f>IF(NOT(Solution_type="a"),Get_1laysol_inf(Conc_def_arr Hole,thick_cl,$G55,x,R_cl,D_cl_arr Hole,Decay_cl,vel_cl_arr Hole,nsum),0)</f>
        <v>0</v>
      </c>
      <c r="R55" s="75">
        <f>IF(NOT(Solution_type="a"),(n)*GetJ_1laysol_inf(Conc_def_arr Hole/1000,thick_cl,$G55,x,R_cl,D_cl_arr Hole,Decay_cl,vel_cl_arr Hole,nsum),0)</f>
        <v>0</v>
      </c>
      <c r="T55" s="75">
        <f>IF(NOT(Solution_type="a"),n*GetJ_1laysol_L(Conc_def_arr Tear/1000,thick_cl,$G55,x,R_cl,D_cl_arr Tear,Decay_cl,vel_cl_arr Tear,nsum),0)</f>
        <v>0</v>
      </c>
      <c r="U55" s="74">
        <f>IF(NOT(Solution_type="a"),Get_1laysol_inf(Conc_def_arr Tear,thick_cl,$G55,x,R_cl,D_cl_arr Tear,Decay_cl,vel_cl_arr Tear,nsum),0)</f>
        <v>0</v>
      </c>
      <c r="V55" s="75">
        <f>IF(NOT(Solution_type="a"),(n)*GetJ_1laysol_inf(Conc_def_arr Tear/1000,thick_cl,$G55,x,R_cl,D_cl_arr Tear,Decay_cl,vel_cl_arr Tear,nsum),0)</f>
        <v>0</v>
      </c>
    </row>
    <row r="56" spans="1:22" ht="11.25">
      <c r="A56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1.8186113280623752</v>
      </c>
      <c r="B56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0.012434379544543255</v>
      </c>
      <c r="C56" s="127"/>
      <c r="D56" s="127"/>
      <c r="F56" s="71">
        <f>F55*tscale</f>
        <v>380.18939632056225</v>
      </c>
      <c r="G56" s="71">
        <f t="shared" si="0"/>
        <v>11989652802.365252</v>
      </c>
      <c r="H56" s="75">
        <f t="shared" si="5"/>
        <v>2.3609771156596945E-12</v>
      </c>
      <c r="I56" s="74">
        <f t="shared" si="6"/>
        <v>1.8186113280623752</v>
      </c>
      <c r="J56" s="75">
        <f t="shared" si="7"/>
        <v>1.1796428681450416E-12</v>
      </c>
      <c r="L56" s="75">
        <f>IF(NOT(Solution_type="a"),n*GetJ_1laysol_L(Conc_def_arr Pin/1000,thick_cl,$G56,x,R_cl,D_cl_arr Pin,Decay_cl,vel_cl_arr Pin,nsum),0)</f>
        <v>0</v>
      </c>
      <c r="M56" s="74">
        <f>IF(NOT(Solution_type="a"),Get_1laysol_inf(Conc_def_arr Pin,thick_cl,$G56,x,R_cl,D_cl_arr Pin,Decay_cl,vel_cl_arr Pin,nsum),0)</f>
        <v>0</v>
      </c>
      <c r="N56" s="75">
        <f>IF(NOT(Solution_type="a"),(n)*GetJ_1laysol_inf(Conc_def_arr Pin/1000,thick_cl,$G56,x,R_cl,D_cl_arr Pin,Decay_cl,vel_cl_arr Pin,nsum),0)</f>
        <v>0</v>
      </c>
      <c r="P56" s="75">
        <f>IF(NOT(Solution_type="a"),n*GetJ_1laysol_L(Conc_def_arr Hole/1000,thick_cl,$G56,x,R_cl,D_cl_arr Hole,Decay_cl,vel_cl_arr Hole,nsum),0)</f>
        <v>0</v>
      </c>
      <c r="Q56" s="74">
        <f>IF(NOT(Solution_type="a"),Get_1laysol_inf(Conc_def_arr Hole,thick_cl,$G56,x,R_cl,D_cl_arr Hole,Decay_cl,vel_cl_arr Hole,nsum),0)</f>
        <v>0</v>
      </c>
      <c r="R56" s="75">
        <f>IF(NOT(Solution_type="a"),(n)*GetJ_1laysol_inf(Conc_def_arr Hole/1000,thick_cl,$G56,x,R_cl,D_cl_arr Hole,Decay_cl,vel_cl_arr Hole,nsum),0)</f>
        <v>0</v>
      </c>
      <c r="T56" s="75">
        <f>IF(NOT(Solution_type="a"),n*GetJ_1laysol_L(Conc_def_arr Tear/1000,thick_cl,$G56,x,R_cl,D_cl_arr Tear,Decay_cl,vel_cl_arr Tear,nsum),0)</f>
        <v>0</v>
      </c>
      <c r="U56" s="74">
        <f>IF(NOT(Solution_type="a"),Get_1laysol_inf(Conc_def_arr Tear,thick_cl,$G56,x,R_cl,D_cl_arr Tear,Decay_cl,vel_cl_arr Tear,nsum),0)</f>
        <v>0</v>
      </c>
      <c r="V56" s="75">
        <f>IF(NOT(Solution_type="a"),(n)*GetJ_1laysol_inf(Conc_def_arr Tear/1000,thick_cl,$G56,x,R_cl,D_cl_arr Tear,Decay_cl,vel_cl_arr Tear,nsum),0)</f>
        <v>0</v>
      </c>
    </row>
    <row r="57" spans="1:22" ht="11.25">
      <c r="A57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1.81860229155801</v>
      </c>
      <c r="B57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0.012434188119322391</v>
      </c>
      <c r="C57" s="127"/>
      <c r="D57" s="127"/>
      <c r="F57" s="71">
        <f t="shared" si="2"/>
        <v>436.5158322401672</v>
      </c>
      <c r="G57" s="71">
        <f t="shared" si="0"/>
        <v>13765963285.525913</v>
      </c>
      <c r="H57" s="75">
        <f t="shared" si="5"/>
        <v>2.3609412653218884E-12</v>
      </c>
      <c r="I57" s="74">
        <f t="shared" si="6"/>
        <v>1.81860229155801</v>
      </c>
      <c r="J57" s="75">
        <f t="shared" si="7"/>
        <v>1.17962470773778E-12</v>
      </c>
      <c r="L57" s="75">
        <f>IF(NOT(Solution_type="a"),n*GetJ_1laysol_L(Conc_def_arr Pin/1000,thick_cl,$G57,x,R_cl,D_cl_arr Pin,Decay_cl,vel_cl_arr Pin,nsum),0)</f>
        <v>0</v>
      </c>
      <c r="M57" s="74">
        <f>IF(NOT(Solution_type="a"),Get_1laysol_inf(Conc_def_arr Pin,thick_cl,$G57,x,R_cl,D_cl_arr Pin,Decay_cl,vel_cl_arr Pin,nsum),0)</f>
        <v>0</v>
      </c>
      <c r="N57" s="75">
        <f>IF(NOT(Solution_type="a"),(n)*GetJ_1laysol_inf(Conc_def_arr Pin/1000,thick_cl,$G57,x,R_cl,D_cl_arr Pin,Decay_cl,vel_cl_arr Pin,nsum),0)</f>
        <v>0</v>
      </c>
      <c r="P57" s="75">
        <f>IF(NOT(Solution_type="a"),n*GetJ_1laysol_L(Conc_def_arr Hole/1000,thick_cl,$G57,x,R_cl,D_cl_arr Hole,Decay_cl,vel_cl_arr Hole,nsum),0)</f>
        <v>0</v>
      </c>
      <c r="Q57" s="74">
        <f>IF(NOT(Solution_type="a"),Get_1laysol_inf(Conc_def_arr Hole,thick_cl,$G57,x,R_cl,D_cl_arr Hole,Decay_cl,vel_cl_arr Hole,nsum),0)</f>
        <v>0</v>
      </c>
      <c r="R57" s="75">
        <f>IF(NOT(Solution_type="a"),(n)*GetJ_1laysol_inf(Conc_def_arr Hole/1000,thick_cl,$G57,x,R_cl,D_cl_arr Hole,Decay_cl,vel_cl_arr Hole,nsum),0)</f>
        <v>0</v>
      </c>
      <c r="T57" s="75">
        <f>IF(NOT(Solution_type="a"),n*GetJ_1laysol_L(Conc_def_arr Tear/1000,thick_cl,$G57,x,R_cl,D_cl_arr Tear,Decay_cl,vel_cl_arr Tear,nsum),0)</f>
        <v>0</v>
      </c>
      <c r="U57" s="74">
        <f>IF(NOT(Solution_type="a"),Get_1laysol_inf(Conc_def_arr Tear,thick_cl,$G57,x,R_cl,D_cl_arr Tear,Decay_cl,vel_cl_arr Tear,nsum),0)</f>
        <v>0</v>
      </c>
      <c r="V57" s="75">
        <f>IF(NOT(Solution_type="a"),(n)*GetJ_1laysol_inf(Conc_def_arr Tear/1000,thick_cl,$G57,x,R_cl,D_cl_arr Tear,Decay_cl,vel_cl_arr Tear,nsum),0)</f>
        <v>0</v>
      </c>
    </row>
    <row r="58" spans="1:22" ht="11.25">
      <c r="A58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1.8185791771174202</v>
      </c>
      <c r="B58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0.012434031874998096</v>
      </c>
      <c r="C58" s="127"/>
      <c r="D58" s="127"/>
      <c r="F58" s="71">
        <f t="shared" si="2"/>
        <v>501.1872336272737</v>
      </c>
      <c r="G58" s="71">
        <f t="shared" si="0"/>
        <v>15805440599.669704</v>
      </c>
      <c r="H58" s="75">
        <f t="shared" si="5"/>
        <v>2.360911966951897E-12</v>
      </c>
      <c r="I58" s="74">
        <f t="shared" si="6"/>
        <v>1.8185791771174202</v>
      </c>
      <c r="J58" s="75">
        <f t="shared" si="7"/>
        <v>1.1796098849231648E-12</v>
      </c>
      <c r="L58" s="75">
        <f>IF(NOT(Solution_type="a"),n*GetJ_1laysol_L(Conc_def_arr Pin/1000,thick_cl,$G58,x,R_cl,D_cl_arr Pin,Decay_cl,vel_cl_arr Pin,nsum),0)</f>
        <v>0</v>
      </c>
      <c r="M58" s="74">
        <f>IF(NOT(Solution_type="a"),Get_1laysol_inf(Conc_def_arr Pin,thick_cl,$G58,x,R_cl,D_cl_arr Pin,Decay_cl,vel_cl_arr Pin,nsum),0)</f>
        <v>0</v>
      </c>
      <c r="N58" s="75">
        <f>IF(NOT(Solution_type="a"),(n)*GetJ_1laysol_inf(Conc_def_arr Pin/1000,thick_cl,$G58,x,R_cl,D_cl_arr Pin,Decay_cl,vel_cl_arr Pin,nsum),0)</f>
        <v>0</v>
      </c>
      <c r="P58" s="75">
        <f>IF(NOT(Solution_type="a"),n*GetJ_1laysol_L(Conc_def_arr Hole/1000,thick_cl,$G58,x,R_cl,D_cl_arr Hole,Decay_cl,vel_cl_arr Hole,nsum),0)</f>
        <v>0</v>
      </c>
      <c r="Q58" s="74">
        <f>IF(NOT(Solution_type="a"),Get_1laysol_inf(Conc_def_arr Hole,thick_cl,$G58,x,R_cl,D_cl_arr Hole,Decay_cl,vel_cl_arr Hole,nsum),0)</f>
        <v>0</v>
      </c>
      <c r="R58" s="75">
        <f>IF(NOT(Solution_type="a"),(n)*GetJ_1laysol_inf(Conc_def_arr Hole/1000,thick_cl,$G58,x,R_cl,D_cl_arr Hole,Decay_cl,vel_cl_arr Hole,nsum),0)</f>
        <v>0</v>
      </c>
      <c r="T58" s="75">
        <f>IF(NOT(Solution_type="a"),n*GetJ_1laysol_L(Conc_def_arr Tear/1000,thick_cl,$G58,x,R_cl,D_cl_arr Tear,Decay_cl,vel_cl_arr Tear,nsum),0)</f>
        <v>0</v>
      </c>
      <c r="U58" s="74">
        <f>IF(NOT(Solution_type="a"),Get_1laysol_inf(Conc_def_arr Tear,thick_cl,$G58,x,R_cl,D_cl_arr Tear,Decay_cl,vel_cl_arr Tear,nsum),0)</f>
        <v>0</v>
      </c>
      <c r="V58" s="75">
        <f>IF(NOT(Solution_type="a"),(n)*GetJ_1laysol_inf(Conc_def_arr Tear/1000,thick_cl,$G58,x,R_cl,D_cl_arr Tear,Decay_cl,vel_cl_arr Tear,nsum),0)</f>
        <v>0</v>
      </c>
    </row>
    <row r="59" spans="1:22" ht="11.25">
      <c r="A59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1.818553462095188</v>
      </c>
      <c r="B59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0.012433919148781834</v>
      </c>
      <c r="C59" s="127"/>
      <c r="D59" s="127"/>
      <c r="F59" s="71">
        <f t="shared" si="2"/>
        <v>575.4399373371587</v>
      </c>
      <c r="G59" s="71">
        <f t="shared" si="0"/>
        <v>18147073863.864635</v>
      </c>
      <c r="H59" s="75">
        <f t="shared" si="5"/>
        <v>2.3608907811105646E-12</v>
      </c>
      <c r="I59" s="74">
        <f t="shared" si="6"/>
        <v>1.818553462095188</v>
      </c>
      <c r="J59" s="75">
        <f t="shared" si="7"/>
        <v>1.1795991906479427E-12</v>
      </c>
      <c r="L59" s="75">
        <f>IF(NOT(Solution_type="a"),n*GetJ_1laysol_L(Conc_def_arr Pin/1000,thick_cl,$G59,x,R_cl,D_cl_arr Pin,Decay_cl,vel_cl_arr Pin,nsum),0)</f>
        <v>0</v>
      </c>
      <c r="M59" s="74">
        <f>IF(NOT(Solution_type="a"),Get_1laysol_inf(Conc_def_arr Pin,thick_cl,$G59,x,R_cl,D_cl_arr Pin,Decay_cl,vel_cl_arr Pin,nsum),0)</f>
        <v>0</v>
      </c>
      <c r="N59" s="75">
        <f>IF(NOT(Solution_type="a"),(n)*GetJ_1laysol_inf(Conc_def_arr Pin/1000,thick_cl,$G59,x,R_cl,D_cl_arr Pin,Decay_cl,vel_cl_arr Pin,nsum),0)</f>
        <v>0</v>
      </c>
      <c r="P59" s="75">
        <f>IF(NOT(Solution_type="a"),n*GetJ_1laysol_L(Conc_def_arr Hole/1000,thick_cl,$G59,x,R_cl,D_cl_arr Hole,Decay_cl,vel_cl_arr Hole,nsum),0)</f>
        <v>0</v>
      </c>
      <c r="Q59" s="74">
        <f>IF(NOT(Solution_type="a"),Get_1laysol_inf(Conc_def_arr Hole,thick_cl,$G59,x,R_cl,D_cl_arr Hole,Decay_cl,vel_cl_arr Hole,nsum),0)</f>
        <v>0</v>
      </c>
      <c r="R59" s="75">
        <f>IF(NOT(Solution_type="a"),(n)*GetJ_1laysol_inf(Conc_def_arr Hole/1000,thick_cl,$G59,x,R_cl,D_cl_arr Hole,Decay_cl,vel_cl_arr Hole,nsum),0)</f>
        <v>0</v>
      </c>
      <c r="T59" s="75">
        <f>IF(NOT(Solution_type="a"),n*GetJ_1laysol_L(Conc_def_arr Tear/1000,thick_cl,$G59,x,R_cl,D_cl_arr Tear,Decay_cl,vel_cl_arr Tear,nsum),0)</f>
        <v>0</v>
      </c>
      <c r="U59" s="74">
        <f>IF(NOT(Solution_type="a"),Get_1laysol_inf(Conc_def_arr Tear,thick_cl,$G59,x,R_cl,D_cl_arr Tear,Decay_cl,vel_cl_arr Tear,nsum),0)</f>
        <v>0</v>
      </c>
      <c r="V59" s="75">
        <f>IF(NOT(Solution_type="a"),(n)*GetJ_1laysol_inf(Conc_def_arr Tear/1000,thick_cl,$G59,x,R_cl,D_cl_arr Tear,Decay_cl,vel_cl_arr Tear,nsum),0)</f>
        <v>0</v>
      </c>
    </row>
    <row r="60" spans="1:22" ht="11.25">
      <c r="A60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1.818531079492128</v>
      </c>
      <c r="B60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0.01243384572382835</v>
      </c>
      <c r="C60" s="127"/>
      <c r="D60" s="127"/>
      <c r="F60" s="71">
        <f t="shared" si="2"/>
        <v>660.693448007598</v>
      </c>
      <c r="G60" s="71">
        <f t="shared" si="0"/>
        <v>20835628576.36761</v>
      </c>
      <c r="H60" s="75">
        <f t="shared" si="5"/>
        <v>2.3608769386122948E-12</v>
      </c>
      <c r="I60" s="74">
        <f t="shared" si="6"/>
        <v>1.818531079492128</v>
      </c>
      <c r="J60" s="75">
        <f t="shared" si="7"/>
        <v>1.1795922248622826E-12</v>
      </c>
      <c r="L60" s="75">
        <f>IF(NOT(Solution_type="a"),n*GetJ_1laysol_L(Conc_def_arr Pin/1000,thick_cl,$G60,x,R_cl,D_cl_arr Pin,Decay_cl,vel_cl_arr Pin,nsum),0)</f>
        <v>0</v>
      </c>
      <c r="M60" s="74">
        <f>IF(NOT(Solution_type="a"),Get_1laysol_inf(Conc_def_arr Pin,thick_cl,$G60,x,R_cl,D_cl_arr Pin,Decay_cl,vel_cl_arr Pin,nsum),0)</f>
        <v>0</v>
      </c>
      <c r="N60" s="75">
        <f>IF(NOT(Solution_type="a"),(n)*GetJ_1laysol_inf(Conc_def_arr Pin/1000,thick_cl,$G60,x,R_cl,D_cl_arr Pin,Decay_cl,vel_cl_arr Pin,nsum),0)</f>
        <v>0</v>
      </c>
      <c r="P60" s="75">
        <f>IF(NOT(Solution_type="a"),n*GetJ_1laysol_L(Conc_def_arr Hole/1000,thick_cl,$G60,x,R_cl,D_cl_arr Hole,Decay_cl,vel_cl_arr Hole,nsum),0)</f>
        <v>0</v>
      </c>
      <c r="Q60" s="74">
        <f>IF(NOT(Solution_type="a"),Get_1laysol_inf(Conc_def_arr Hole,thick_cl,$G60,x,R_cl,D_cl_arr Hole,Decay_cl,vel_cl_arr Hole,nsum),0)</f>
        <v>0</v>
      </c>
      <c r="R60" s="75">
        <f>IF(NOT(Solution_type="a"),(n)*GetJ_1laysol_inf(Conc_def_arr Hole/1000,thick_cl,$G60,x,R_cl,D_cl_arr Hole,Decay_cl,vel_cl_arr Hole,nsum),0)</f>
        <v>0</v>
      </c>
      <c r="T60" s="75">
        <f>IF(NOT(Solution_type="a"),n*GetJ_1laysol_L(Conc_def_arr Tear/1000,thick_cl,$G60,x,R_cl,D_cl_arr Tear,Decay_cl,vel_cl_arr Tear,nsum),0)</f>
        <v>0</v>
      </c>
      <c r="U60" s="74">
        <f>IF(NOT(Solution_type="a"),Get_1laysol_inf(Conc_def_arr Tear,thick_cl,$G60,x,R_cl,D_cl_arr Tear,Decay_cl,vel_cl_arr Tear,nsum),0)</f>
        <v>0</v>
      </c>
      <c r="V60" s="75">
        <f>IF(NOT(Solution_type="a"),(n)*GetJ_1laysol_inf(Conc_def_arr Tear/1000,thick_cl,$G60,x,R_cl,D_cl_arr Tear,Decay_cl,vel_cl_arr Tear,nsum),0)</f>
        <v>0</v>
      </c>
    </row>
    <row r="61" spans="1:22" ht="11.25">
      <c r="A61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1.8185141552057675</v>
      </c>
      <c r="B61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0.012433802637232368</v>
      </c>
      <c r="C61" s="127"/>
      <c r="D61" s="127"/>
      <c r="F61" s="71">
        <f t="shared" si="2"/>
        <v>758.5775750291862</v>
      </c>
      <c r="G61" s="71">
        <f t="shared" si="0"/>
        <v>23922502406.12042</v>
      </c>
      <c r="H61" s="75">
        <f t="shared" si="5"/>
        <v>2.360868779465245E-12</v>
      </c>
      <c r="I61" s="74">
        <f t="shared" si="6"/>
        <v>1.8185141552057675</v>
      </c>
      <c r="J61" s="75">
        <f t="shared" si="7"/>
        <v>1.179588137260205E-12</v>
      </c>
      <c r="L61" s="75">
        <f>IF(NOT(Solution_type="a"),n*GetJ_1laysol_L(Conc_def_arr Pin/1000,thick_cl,$G61,x,R_cl,D_cl_arr Pin,Decay_cl,vel_cl_arr Pin,nsum),0)</f>
        <v>0</v>
      </c>
      <c r="M61" s="74">
        <f>IF(NOT(Solution_type="a"),Get_1laysol_inf(Conc_def_arr Pin,thick_cl,$G61,x,R_cl,D_cl_arr Pin,Decay_cl,vel_cl_arr Pin,nsum),0)</f>
        <v>0</v>
      </c>
      <c r="N61" s="75">
        <f>IF(NOT(Solution_type="a"),(n)*GetJ_1laysol_inf(Conc_def_arr Pin/1000,thick_cl,$G61,x,R_cl,D_cl_arr Pin,Decay_cl,vel_cl_arr Pin,nsum),0)</f>
        <v>0</v>
      </c>
      <c r="P61" s="75">
        <f>IF(NOT(Solution_type="a"),n*GetJ_1laysol_L(Conc_def_arr Hole/1000,thick_cl,$G61,x,R_cl,D_cl_arr Hole,Decay_cl,vel_cl_arr Hole,nsum),0)</f>
        <v>0</v>
      </c>
      <c r="Q61" s="74">
        <f>IF(NOT(Solution_type="a"),Get_1laysol_inf(Conc_def_arr Hole,thick_cl,$G61,x,R_cl,D_cl_arr Hole,Decay_cl,vel_cl_arr Hole,nsum),0)</f>
        <v>0</v>
      </c>
      <c r="R61" s="75">
        <f>IF(NOT(Solution_type="a"),(n)*GetJ_1laysol_inf(Conc_def_arr Hole/1000,thick_cl,$G61,x,R_cl,D_cl_arr Hole,Decay_cl,vel_cl_arr Hole,nsum),0)</f>
        <v>0</v>
      </c>
      <c r="T61" s="75">
        <f>IF(NOT(Solution_type="a"),n*GetJ_1laysol_L(Conc_def_arr Tear/1000,thick_cl,$G61,x,R_cl,D_cl_arr Tear,Decay_cl,vel_cl_arr Tear,nsum),0)</f>
        <v>0</v>
      </c>
      <c r="U61" s="74">
        <f>IF(NOT(Solution_type="a"),Get_1laysol_inf(Conc_def_arr Tear,thick_cl,$G61,x,R_cl,D_cl_arr Tear,Decay_cl,vel_cl_arr Tear,nsum),0)</f>
        <v>0</v>
      </c>
      <c r="V61" s="75">
        <f>IF(NOT(Solution_type="a"),(n)*GetJ_1laysol_inf(Conc_def_arr Tear/1000,thick_cl,$G61,x,R_cl,D_cl_arr Tear,Decay_cl,vel_cl_arr Tear,nsum),0)</f>
        <v>0</v>
      </c>
    </row>
    <row r="62" spans="1:22" ht="11.25">
      <c r="A62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1.8185026514056728</v>
      </c>
      <c r="B62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0.012433780521947739</v>
      </c>
      <c r="C62" s="127"/>
      <c r="D62" s="127"/>
      <c r="F62" s="71">
        <f t="shared" si="2"/>
        <v>870.9635899560834</v>
      </c>
      <c r="G62" s="71">
        <f t="shared" si="0"/>
        <v>27466707772.855045</v>
      </c>
      <c r="H62" s="75">
        <f t="shared" si="5"/>
        <v>2.3608645636317506E-12</v>
      </c>
      <c r="I62" s="74">
        <f t="shared" si="6"/>
        <v>1.8185026514056728</v>
      </c>
      <c r="J62" s="75">
        <f t="shared" si="7"/>
        <v>1.1795860391951029E-12</v>
      </c>
      <c r="L62" s="75">
        <f>IF(NOT(Solution_type="a"),n*GetJ_1laysol_L(Conc_def_arr Pin/1000,thick_cl,$G62,x,R_cl,D_cl_arr Pin,Decay_cl,vel_cl_arr Pin,nsum),0)</f>
        <v>0</v>
      </c>
      <c r="M62" s="74">
        <f>IF(NOT(Solution_type="a"),Get_1laysol_inf(Conc_def_arr Pin,thick_cl,$G62,x,R_cl,D_cl_arr Pin,Decay_cl,vel_cl_arr Pin,nsum),0)</f>
        <v>0</v>
      </c>
      <c r="N62" s="75">
        <f>IF(NOT(Solution_type="a"),(n)*GetJ_1laysol_inf(Conc_def_arr Pin/1000,thick_cl,$G62,x,R_cl,D_cl_arr Pin,Decay_cl,vel_cl_arr Pin,nsum),0)</f>
        <v>0</v>
      </c>
      <c r="P62" s="75">
        <f>IF(NOT(Solution_type="a"),n*GetJ_1laysol_L(Conc_def_arr Hole/1000,thick_cl,$G62,x,R_cl,D_cl_arr Hole,Decay_cl,vel_cl_arr Hole,nsum),0)</f>
        <v>0</v>
      </c>
      <c r="Q62" s="74">
        <f>IF(NOT(Solution_type="a"),Get_1laysol_inf(Conc_def_arr Hole,thick_cl,$G62,x,R_cl,D_cl_arr Hole,Decay_cl,vel_cl_arr Hole,nsum),0)</f>
        <v>0</v>
      </c>
      <c r="R62" s="75">
        <f>IF(NOT(Solution_type="a"),(n)*GetJ_1laysol_inf(Conc_def_arr Hole/1000,thick_cl,$G62,x,R_cl,D_cl_arr Hole,Decay_cl,vel_cl_arr Hole,nsum),0)</f>
        <v>0</v>
      </c>
      <c r="T62" s="75">
        <f>IF(NOT(Solution_type="a"),n*GetJ_1laysol_L(Conc_def_arr Tear/1000,thick_cl,$G62,x,R_cl,D_cl_arr Tear,Decay_cl,vel_cl_arr Tear,nsum),0)</f>
        <v>0</v>
      </c>
      <c r="U62" s="74">
        <f>IF(NOT(Solution_type="a"),Get_1laysol_inf(Conc_def_arr Tear,thick_cl,$G62,x,R_cl,D_cl_arr Tear,Decay_cl,vel_cl_arr Tear,nsum),0)</f>
        <v>0</v>
      </c>
      <c r="V62" s="75">
        <f>IF(NOT(Solution_type="a"),(n)*GetJ_1laysol_inf(Conc_def_arr Tear/1000,thick_cl,$G62,x,R_cl,D_cl_arr Tear,Decay_cl,vel_cl_arr Tear,nsum),0)</f>
        <v>0</v>
      </c>
    </row>
    <row r="63" spans="1:22" ht="11.25">
      <c r="A63" s="64">
        <f>IF(OR(CM=1,AND(CM&gt;1,GM_opt="No")),IF(Cont_Class="List I",List_I_C_Darcy,List_II_J_Darcy*Area_Single),IF(Area_Single=0,0,IF(Defect_Choice=1,List_I_C_Pin,IF(Defect_Choice=2,List_I_C_Hole,IF(Defect_Choice=3,List_I_C_Tear,(List_II_J_Pin*Area_CZ_arr Pin+List_II_J_Hole*Area_CZ_arr Hole+List_II_J_Tear*Area_CZ_arr Tear))))))*IF(Cont_Class="List II",1000/aq_Q,1)</f>
        <v>1.8184955750482878</v>
      </c>
      <c r="B63" s="64">
        <f>IF(Cont_Class="List II",IF(OR(CM=1,AND(CM&gt;1,GM_opt="No")),List_II_J_Darcy*Area_Single*s_per_day,(List_II_J_Pin*Area_CZ_arr Pin+List_II_J_Hole*Area_CZ_arr Hole+List_II_J_Tear*Area_CZ_arr Tear)*s_per_day),IF(OR(CM=1,AND(CM&gt;1,GM_opt="No")),List_I_J_Darcy_In*Area_Single*s_per_day,(List_I_J_Pin_In*Area_CZ_arr Pin+List_I_J_Hole_In*Area_CZ_arr Hole+List_I_J_Tear_In*Area_CZ_arr Tear)*s_per_day))</f>
        <v>0.012433771627906879</v>
      </c>
      <c r="C63" s="127"/>
      <c r="D63" s="127"/>
      <c r="F63" s="71">
        <f>F62*tscale</f>
        <v>1000.0000000000033</v>
      </c>
      <c r="G63" s="71">
        <f t="shared" si="0"/>
        <v>31536000000.000107</v>
      </c>
      <c r="H63" s="75">
        <f t="shared" si="5"/>
        <v>2.3608628435350804E-12</v>
      </c>
      <c r="I63" s="74">
        <f t="shared" si="6"/>
        <v>1.8184955750482878</v>
      </c>
      <c r="J63" s="75">
        <f t="shared" si="7"/>
        <v>1.1795851954222525E-12</v>
      </c>
      <c r="L63" s="75">
        <f>IF(NOT(Solution_type="a"),n*GetJ_1laysol_L(Conc_def_arr Pin/1000,thick_cl,$G63,x,R_cl,D_cl_arr Pin,Decay_cl,vel_cl_arr Pin,nsum),0)</f>
        <v>0</v>
      </c>
      <c r="M63" s="74">
        <f>IF(NOT(Solution_type="a"),Get_1laysol_inf(Conc_def_arr Pin,thick_cl,$G63,x,R_cl,D_cl_arr Pin,Decay_cl,vel_cl_arr Pin,nsum),0)</f>
        <v>0</v>
      </c>
      <c r="N63" s="75">
        <f>IF(NOT(Solution_type="a"),(n)*GetJ_1laysol_inf(Conc_def_arr Pin/1000,thick_cl,$G63,x,R_cl,D_cl_arr Pin,Decay_cl,vel_cl_arr Pin,nsum),0)</f>
        <v>0</v>
      </c>
      <c r="P63" s="75">
        <f>IF(NOT(Solution_type="a"),n*GetJ_1laysol_L(Conc_def_arr Hole/1000,thick_cl,$G63,x,R_cl,D_cl_arr Hole,Decay_cl,vel_cl_arr Hole,nsum),0)</f>
        <v>0</v>
      </c>
      <c r="Q63" s="74">
        <f>IF(NOT(Solution_type="a"),Get_1laysol_inf(Conc_def_arr Hole,thick_cl,$G63,x,R_cl,D_cl_arr Hole,Decay_cl,vel_cl_arr Hole,nsum),0)</f>
        <v>0</v>
      </c>
      <c r="R63" s="75">
        <f>IF(NOT(Solution_type="a"),(n)*GetJ_1laysol_inf(Conc_def_arr Hole/1000,thick_cl,$G63,x,R_cl,D_cl_arr Hole,Decay_cl,vel_cl_arr Hole,nsum),0)</f>
        <v>0</v>
      </c>
      <c r="T63" s="75">
        <f>IF(NOT(Solution_type="a"),n*GetJ_1laysol_L(Conc_def_arr Tear/1000,thick_cl,$G63,x,R_cl,D_cl_arr Tear,Decay_cl,vel_cl_arr Tear,nsum),0)</f>
        <v>0</v>
      </c>
      <c r="U63" s="74">
        <f>IF(NOT(Solution_type="a"),Get_1laysol_inf(Conc_def_arr Tear,thick_cl,$G63,x,R_cl,D_cl_arr Tear,Decay_cl,vel_cl_arr Tear,nsum),0)</f>
        <v>0</v>
      </c>
      <c r="V63" s="75">
        <f>IF(NOT(Solution_type="a"),(n)*GetJ_1laysol_inf(Conc_def_arr Tear/1000,thick_cl,$G63,x,R_cl,D_cl_arr Tear,Decay_cl,vel_cl_arr Tear,nsum),0)</f>
        <v>0</v>
      </c>
    </row>
    <row r="65" spans="1:10" ht="11.25">
      <c r="A65" s="63"/>
      <c r="B65" s="63"/>
      <c r="C65" s="63"/>
      <c r="D65" s="63"/>
      <c r="E65" s="63"/>
      <c r="F65" s="63"/>
      <c r="G65" s="63"/>
      <c r="H65" s="63"/>
      <c r="I65" s="63"/>
      <c r="J65" s="63"/>
    </row>
  </sheetData>
  <sheetProtection sheet="1" objects="1" scenarios="1"/>
  <mergeCells count="4">
    <mergeCell ref="H9:K9"/>
    <mergeCell ref="L9:O9"/>
    <mergeCell ref="P9:S9"/>
    <mergeCell ref="T9:W9"/>
  </mergeCells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P65"/>
  <sheetViews>
    <sheetView workbookViewId="0" topLeftCell="A6">
      <selection activeCell="C8" sqref="C8"/>
    </sheetView>
  </sheetViews>
  <sheetFormatPr defaultColWidth="9.140625" defaultRowHeight="12.75"/>
  <cols>
    <col min="1" max="3" width="11.00390625" style="64" bestFit="1" customWidth="1"/>
    <col min="4" max="5" width="11.00390625" style="64" customWidth="1"/>
    <col min="6" max="6" width="11.00390625" style="64" bestFit="1" customWidth="1"/>
    <col min="7" max="7" width="9.140625" style="64" customWidth="1"/>
    <col min="8" max="8" width="11.140625" style="64" customWidth="1"/>
    <col min="9" max="10" width="11.140625" style="64" bestFit="1" customWidth="1"/>
    <col min="11" max="12" width="11.00390625" style="64" bestFit="1" customWidth="1"/>
    <col min="13" max="13" width="9.140625" style="64" customWidth="1"/>
    <col min="14" max="14" width="11.00390625" style="64" bestFit="1" customWidth="1"/>
    <col min="15" max="15" width="9.140625" style="64" customWidth="1"/>
    <col min="16" max="16" width="11.00390625" style="64" bestFit="1" customWidth="1"/>
    <col min="17" max="16384" width="9.140625" style="64" customWidth="1"/>
  </cols>
  <sheetData>
    <row r="2" ht="11.25">
      <c r="A2" s="64" t="s">
        <v>272</v>
      </c>
    </row>
    <row r="3" ht="11.25">
      <c r="A3" s="64" t="s">
        <v>273</v>
      </c>
    </row>
    <row r="5" spans="1:2" ht="12.75">
      <c r="A5" s="28" t="s">
        <v>245</v>
      </c>
      <c r="B5" s="1">
        <f>Area_delam/Area_contact</f>
        <v>1</v>
      </c>
    </row>
    <row r="6" spans="1:2" ht="12.75">
      <c r="A6" s="5" t="s">
        <v>240</v>
      </c>
      <c r="B6" s="5">
        <f>thick_cl</f>
        <v>1</v>
      </c>
    </row>
    <row r="9" spans="10:16" ht="11.25">
      <c r="J9" s="155" t="s">
        <v>276</v>
      </c>
      <c r="K9" s="155"/>
      <c r="L9" s="155"/>
      <c r="M9" s="155"/>
      <c r="N9" s="155"/>
      <c r="O9" s="155"/>
      <c r="P9" s="155"/>
    </row>
    <row r="10" spans="9:12" ht="11.25">
      <c r="I10" s="71"/>
      <c r="J10" s="75"/>
      <c r="K10" s="74"/>
      <c r="L10" s="75"/>
    </row>
    <row r="11" spans="1:12" ht="11.25">
      <c r="A11" s="156" t="s">
        <v>317</v>
      </c>
      <c r="B11" s="156"/>
      <c r="C11" s="156"/>
      <c r="I11" s="71"/>
      <c r="J11" s="75" t="s">
        <v>264</v>
      </c>
      <c r="K11" s="74" t="s">
        <v>52</v>
      </c>
      <c r="L11" s="75" t="s">
        <v>264</v>
      </c>
    </row>
    <row r="12" spans="1:12" ht="12.75" customHeight="1">
      <c r="A12" s="76" t="s">
        <v>270</v>
      </c>
      <c r="B12" s="76" t="s">
        <v>274</v>
      </c>
      <c r="C12" s="76" t="s">
        <v>271</v>
      </c>
      <c r="D12" s="76" t="s">
        <v>319</v>
      </c>
      <c r="E12" s="76" t="s">
        <v>320</v>
      </c>
      <c r="F12" s="76" t="s">
        <v>321</v>
      </c>
      <c r="H12" s="71" t="s">
        <v>58</v>
      </c>
      <c r="I12" s="71" t="s">
        <v>59</v>
      </c>
      <c r="J12" s="75" t="s">
        <v>200</v>
      </c>
      <c r="K12" s="74" t="s">
        <v>199</v>
      </c>
      <c r="L12" s="75" t="s">
        <v>212</v>
      </c>
    </row>
    <row r="13" spans="1:12" ht="11.25">
      <c r="A13" s="64">
        <f>IF(OR(GM_delam="No",Solution_type="a"),0,IF(Cont_Class="List I",List_I_C_Delam,List_II_J_Delam)*IF(Cont_Class="List II",Area_delam*1000/aq_Q,1))</f>
        <v>0</v>
      </c>
      <c r="B13" s="64">
        <f>IF(OR(GM_delam="No",Solution_type="a"),0,IF(Solution_type="b",TwoLay_sol,Single_Lay_Sol))</f>
        <v>0</v>
      </c>
      <c r="C13" s="64">
        <f>IF(OR(GM_delam="No",Solution_type="a"),0,IF(Cont_Class="List I",MAX(A13,B13),(Delam_Out*aq_Q/1000+Contact_Out*aq_Q/1000)*1000/aq_Q))</f>
        <v>0</v>
      </c>
      <c r="D13" s="64">
        <f>IF(OR(GM_delam="No",Solution_type="a"),0,IF(Cont_Class="List II",List_II_J_Delam,List_I_J_Delam_In))*Area_delam*s_per_day</f>
        <v>0</v>
      </c>
      <c r="E13" s="64">
        <f>IF(OR(GM_delam="No",Solution_type="a"),0,IF(Solution_type="b",Two_Lay_Mass,Single_Lay_Mass))</f>
        <v>0</v>
      </c>
      <c r="F13" s="64">
        <f>D13+E13</f>
        <v>0</v>
      </c>
      <c r="H13" s="71">
        <f>tmin</f>
        <v>1</v>
      </c>
      <c r="I13" s="71">
        <f aca="true" t="shared" si="0" ref="I13:I63">H13*365*24*60*60</f>
        <v>31536000</v>
      </c>
      <c r="J13" s="75">
        <f aca="true" t="shared" si="1" ref="J13:J44">IF(OR(GM_delam="No",Solution_type="a"),0,n*GetJ_1laysol_L(Conc_delam/1000,thick_cl,$I13,x,R_cl,Dcl_Delam,Decay_cl,vel_delam,nsum))</f>
        <v>0</v>
      </c>
      <c r="K13" s="74">
        <f aca="true" t="shared" si="2" ref="K13:K44">IF(OR(GM_delam="No",Solution_type="a"),0,Get_1laysol_inf(Conc_delam,thick_cl,$I13,x,R_cl,Dcl_Delam,Decay_cl,vel_delam,nsum))</f>
        <v>0</v>
      </c>
      <c r="L13" s="75">
        <f aca="true" t="shared" si="3" ref="L13:L44">IF(OR(GM_delam="No",Solution_type="a"),0,n*GetJ_1laysol_inf(Conc_delam/1000,thick_cl,$I13,x,R_cl,Dcl_Delam,Decay_cl,vel_delam,nsum))</f>
        <v>0</v>
      </c>
    </row>
    <row r="14" spans="1:12" ht="11.25">
      <c r="A14" s="64">
        <f aca="true" t="shared" si="4" ref="A14:A63">IF(OR(GM_delam="No",Solution_type="a"),0,IF(Cont_Class="List I",List_I_C_Delam,List_II_J_Delam)*IF(Cont_Class="List II",Area_delam*1000/aq_Q,1))</f>
        <v>0</v>
      </c>
      <c r="B14" s="64">
        <f aca="true" t="shared" si="5" ref="B14:B62">IF(OR(GM_delam="No",Solution_type="a"),0,IF(Solution_type="b",TwoLay_sol,Single_Lay_Sol))</f>
        <v>0</v>
      </c>
      <c r="C14" s="64">
        <f aca="true" t="shared" si="6" ref="C14:C62">IF(OR(GM_delam="No",Solution_type="a"),0,IF(Cont_Class="List I",MAX(A14,B14),(Delam_Out*aq_Q/1000+Contact_Out*aq_Q/1000)*1000/aq_Q))</f>
        <v>0</v>
      </c>
      <c r="D14" s="64">
        <f aca="true" t="shared" si="7" ref="D14:D62">IF(OR(GM_delam="No",Solution_type="a"),0,IF(Cont_Class="List II",List_II_J_Delam,List_I_J_Delam_In))*Area_delam*s_per_day</f>
        <v>0</v>
      </c>
      <c r="E14" s="64">
        <f aca="true" t="shared" si="8" ref="E14:E62">IF(OR(GM_delam="No",Solution_type="a"),0,IF(Solution_type="b",Two_Lay_Mass,Single_Lay_Mass))</f>
        <v>0</v>
      </c>
      <c r="F14" s="64">
        <f aca="true" t="shared" si="9" ref="F14:F63">D14+E14</f>
        <v>0</v>
      </c>
      <c r="H14" s="71">
        <f aca="true" t="shared" si="10" ref="H14:H63">H13*tscale</f>
        <v>1.1481536214968828</v>
      </c>
      <c r="I14" s="71">
        <f t="shared" si="0"/>
        <v>36208172.6075257</v>
      </c>
      <c r="J14" s="75">
        <f t="shared" si="1"/>
        <v>0</v>
      </c>
      <c r="K14" s="74">
        <f t="shared" si="2"/>
        <v>0</v>
      </c>
      <c r="L14" s="75">
        <f t="shared" si="3"/>
        <v>0</v>
      </c>
    </row>
    <row r="15" spans="1:12" ht="11.25">
      <c r="A15" s="64">
        <f t="shared" si="4"/>
        <v>0</v>
      </c>
      <c r="B15" s="64">
        <f t="shared" si="5"/>
        <v>0</v>
      </c>
      <c r="C15" s="64">
        <f t="shared" si="6"/>
        <v>0</v>
      </c>
      <c r="D15" s="64">
        <f t="shared" si="7"/>
        <v>0</v>
      </c>
      <c r="E15" s="64">
        <f t="shared" si="8"/>
        <v>0</v>
      </c>
      <c r="F15" s="64">
        <f t="shared" si="9"/>
        <v>0</v>
      </c>
      <c r="H15" s="71">
        <f t="shared" si="10"/>
        <v>1.3182567385564072</v>
      </c>
      <c r="I15" s="71">
        <f t="shared" si="0"/>
        <v>41572544.50711486</v>
      </c>
      <c r="J15" s="75">
        <f t="shared" si="1"/>
        <v>0</v>
      </c>
      <c r="K15" s="74">
        <f t="shared" si="2"/>
        <v>0</v>
      </c>
      <c r="L15" s="75">
        <f t="shared" si="3"/>
        <v>0</v>
      </c>
    </row>
    <row r="16" spans="1:12" ht="11.25">
      <c r="A16" s="64">
        <f t="shared" si="4"/>
        <v>0</v>
      </c>
      <c r="B16" s="64">
        <f t="shared" si="5"/>
        <v>0</v>
      </c>
      <c r="C16" s="64">
        <f t="shared" si="6"/>
        <v>0</v>
      </c>
      <c r="D16" s="64">
        <f t="shared" si="7"/>
        <v>0</v>
      </c>
      <c r="E16" s="64">
        <f t="shared" si="8"/>
        <v>0</v>
      </c>
      <c r="F16" s="64">
        <f t="shared" si="9"/>
        <v>0</v>
      </c>
      <c r="H16" s="71">
        <f t="shared" si="10"/>
        <v>1.5135612484362084</v>
      </c>
      <c r="I16" s="71">
        <f t="shared" si="0"/>
        <v>47731667.53068427</v>
      </c>
      <c r="J16" s="75">
        <f t="shared" si="1"/>
        <v>0</v>
      </c>
      <c r="K16" s="74">
        <f t="shared" si="2"/>
        <v>0</v>
      </c>
      <c r="L16" s="75">
        <f t="shared" si="3"/>
        <v>0</v>
      </c>
    </row>
    <row r="17" spans="1:12" ht="11.25">
      <c r="A17" s="64">
        <f t="shared" si="4"/>
        <v>0</v>
      </c>
      <c r="B17" s="64">
        <f t="shared" si="5"/>
        <v>0</v>
      </c>
      <c r="C17" s="64">
        <f t="shared" si="6"/>
        <v>0</v>
      </c>
      <c r="D17" s="64">
        <f t="shared" si="7"/>
        <v>0</v>
      </c>
      <c r="E17" s="64">
        <f t="shared" si="8"/>
        <v>0</v>
      </c>
      <c r="F17" s="64">
        <f t="shared" si="9"/>
        <v>0</v>
      </c>
      <c r="H17" s="71">
        <f t="shared" si="10"/>
        <v>1.7378008287493758</v>
      </c>
      <c r="I17" s="71">
        <f t="shared" si="0"/>
        <v>54803286.93544031</v>
      </c>
      <c r="J17" s="75">
        <f t="shared" si="1"/>
        <v>0</v>
      </c>
      <c r="K17" s="74">
        <f t="shared" si="2"/>
        <v>0</v>
      </c>
      <c r="L17" s="75">
        <f t="shared" si="3"/>
        <v>0</v>
      </c>
    </row>
    <row r="18" spans="1:12" ht="11.25">
      <c r="A18" s="64">
        <f t="shared" si="4"/>
        <v>0</v>
      </c>
      <c r="B18" s="64">
        <f t="shared" si="5"/>
        <v>0</v>
      </c>
      <c r="C18" s="64">
        <f t="shared" si="6"/>
        <v>0</v>
      </c>
      <c r="D18" s="64">
        <f t="shared" si="7"/>
        <v>0</v>
      </c>
      <c r="E18" s="64">
        <f t="shared" si="8"/>
        <v>0</v>
      </c>
      <c r="F18" s="64">
        <f t="shared" si="9"/>
        <v>0</v>
      </c>
      <c r="H18" s="71">
        <f t="shared" si="10"/>
        <v>1.9952623149688802</v>
      </c>
      <c r="I18" s="71">
        <f t="shared" si="0"/>
        <v>62922592.364858605</v>
      </c>
      <c r="J18" s="75">
        <f t="shared" si="1"/>
        <v>0</v>
      </c>
      <c r="K18" s="74">
        <f t="shared" si="2"/>
        <v>0</v>
      </c>
      <c r="L18" s="75">
        <f t="shared" si="3"/>
        <v>0</v>
      </c>
    </row>
    <row r="19" spans="1:12" ht="11.25">
      <c r="A19" s="64">
        <f t="shared" si="4"/>
        <v>0</v>
      </c>
      <c r="B19" s="64">
        <f t="shared" si="5"/>
        <v>0</v>
      </c>
      <c r="C19" s="64">
        <f t="shared" si="6"/>
        <v>0</v>
      </c>
      <c r="D19" s="64">
        <f t="shared" si="7"/>
        <v>0</v>
      </c>
      <c r="E19" s="64">
        <f t="shared" si="8"/>
        <v>0</v>
      </c>
      <c r="F19" s="64">
        <f t="shared" si="9"/>
        <v>0</v>
      </c>
      <c r="H19" s="71">
        <f t="shared" si="10"/>
        <v>2.290867652767774</v>
      </c>
      <c r="I19" s="71">
        <f t="shared" si="0"/>
        <v>72244802.29768452</v>
      </c>
      <c r="J19" s="75">
        <f t="shared" si="1"/>
        <v>0</v>
      </c>
      <c r="K19" s="74">
        <f t="shared" si="2"/>
        <v>0</v>
      </c>
      <c r="L19" s="75">
        <f t="shared" si="3"/>
        <v>0</v>
      </c>
    </row>
    <row r="20" spans="1:12" ht="11.25">
      <c r="A20" s="64">
        <f>IF(OR(GM_delam="No",Solution_type="a"),0,IF(Cont_Class="List I",List_I_C_Delam,List_II_J_Delam)*IF(Cont_Class="List II",Area_delam*1000/aq_Q,1))</f>
        <v>0</v>
      </c>
      <c r="B20" s="64">
        <f t="shared" si="5"/>
        <v>0</v>
      </c>
      <c r="C20" s="64">
        <f>IF(OR(GM_delam="No",Solution_type="a"),0,IF(Cont_Class="List I",MAX(A20,B20),(Delam_Out*aq_Q/1000+Contact_Out*aq_Q/1000)*1000/aq_Q))</f>
        <v>0</v>
      </c>
      <c r="D20" s="64">
        <f t="shared" si="7"/>
        <v>0</v>
      </c>
      <c r="E20" s="64">
        <f>IF(OR(GM_delam="No",Solution_type="a"),0,IF(Solution_type="b",Two_Lay_Mass,Single_Lay_Mass))</f>
        <v>0</v>
      </c>
      <c r="F20" s="64">
        <f>D20+E20</f>
        <v>0</v>
      </c>
      <c r="H20" s="71">
        <f t="shared" si="10"/>
        <v>2.630267991895383</v>
      </c>
      <c r="I20" s="71">
        <f t="shared" si="0"/>
        <v>82948131.3924128</v>
      </c>
      <c r="J20" s="75">
        <f t="shared" si="1"/>
        <v>0</v>
      </c>
      <c r="K20" s="74">
        <f t="shared" si="2"/>
        <v>0</v>
      </c>
      <c r="L20" s="75">
        <f t="shared" si="3"/>
        <v>0</v>
      </c>
    </row>
    <row r="21" spans="1:12" ht="11.25">
      <c r="A21" s="64">
        <f t="shared" si="4"/>
        <v>0</v>
      </c>
      <c r="B21" s="64">
        <f t="shared" si="5"/>
        <v>0</v>
      </c>
      <c r="C21" s="64">
        <f t="shared" si="6"/>
        <v>0</v>
      </c>
      <c r="D21" s="64">
        <f t="shared" si="7"/>
        <v>0</v>
      </c>
      <c r="E21" s="64">
        <f t="shared" si="8"/>
        <v>0</v>
      </c>
      <c r="F21" s="64">
        <f t="shared" si="9"/>
        <v>0</v>
      </c>
      <c r="H21" s="71">
        <f t="shared" si="10"/>
        <v>3.019951720402018</v>
      </c>
      <c r="I21" s="71">
        <f t="shared" si="0"/>
        <v>95237197.45459804</v>
      </c>
      <c r="J21" s="75">
        <f t="shared" si="1"/>
        <v>0</v>
      </c>
      <c r="K21" s="74">
        <f t="shared" si="2"/>
        <v>0</v>
      </c>
      <c r="L21" s="75">
        <f t="shared" si="3"/>
        <v>0</v>
      </c>
    </row>
    <row r="22" spans="1:12" ht="11.25">
      <c r="A22" s="64">
        <f t="shared" si="4"/>
        <v>0</v>
      </c>
      <c r="B22" s="64">
        <f t="shared" si="5"/>
        <v>0</v>
      </c>
      <c r="C22" s="64">
        <f t="shared" si="6"/>
        <v>0</v>
      </c>
      <c r="D22" s="64">
        <f t="shared" si="7"/>
        <v>0</v>
      </c>
      <c r="E22" s="64">
        <f t="shared" si="8"/>
        <v>0</v>
      </c>
      <c r="F22" s="64">
        <f t="shared" si="9"/>
        <v>0</v>
      </c>
      <c r="H22" s="71">
        <f t="shared" si="10"/>
        <v>3.4673685045253184</v>
      </c>
      <c r="I22" s="71">
        <f t="shared" si="0"/>
        <v>109346933.15871044</v>
      </c>
      <c r="J22" s="75">
        <f t="shared" si="1"/>
        <v>0</v>
      </c>
      <c r="K22" s="74">
        <f t="shared" si="2"/>
        <v>0</v>
      </c>
      <c r="L22" s="75">
        <f t="shared" si="3"/>
        <v>0</v>
      </c>
    </row>
    <row r="23" spans="1:12" ht="11.25">
      <c r="A23" s="64">
        <f t="shared" si="4"/>
        <v>0</v>
      </c>
      <c r="B23" s="64">
        <f t="shared" si="5"/>
        <v>0</v>
      </c>
      <c r="C23" s="64">
        <f t="shared" si="6"/>
        <v>0</v>
      </c>
      <c r="D23" s="64">
        <f t="shared" si="7"/>
        <v>0</v>
      </c>
      <c r="E23" s="64">
        <f t="shared" si="8"/>
        <v>0</v>
      </c>
      <c r="F23" s="64">
        <f t="shared" si="9"/>
        <v>0</v>
      </c>
      <c r="H23" s="71">
        <f t="shared" si="10"/>
        <v>3.981071705534975</v>
      </c>
      <c r="I23" s="71">
        <f t="shared" si="0"/>
        <v>125547077.30575098</v>
      </c>
      <c r="J23" s="75">
        <f t="shared" si="1"/>
        <v>0</v>
      </c>
      <c r="K23" s="74">
        <f t="shared" si="2"/>
        <v>0</v>
      </c>
      <c r="L23" s="75">
        <f t="shared" si="3"/>
        <v>0</v>
      </c>
    </row>
    <row r="24" spans="1:12" ht="11.25">
      <c r="A24" s="64">
        <f t="shared" si="4"/>
        <v>0</v>
      </c>
      <c r="B24" s="64">
        <f t="shared" si="5"/>
        <v>0</v>
      </c>
      <c r="C24" s="64">
        <f t="shared" si="6"/>
        <v>0</v>
      </c>
      <c r="D24" s="64">
        <f t="shared" si="7"/>
        <v>0</v>
      </c>
      <c r="E24" s="64">
        <f t="shared" si="8"/>
        <v>0</v>
      </c>
      <c r="F24" s="64">
        <f t="shared" si="9"/>
        <v>0</v>
      </c>
      <c r="H24" s="71">
        <f t="shared" si="10"/>
        <v>4.570881896148753</v>
      </c>
      <c r="I24" s="71">
        <f t="shared" si="0"/>
        <v>144147331.47694707</v>
      </c>
      <c r="J24" s="75">
        <f t="shared" si="1"/>
        <v>0</v>
      </c>
      <c r="K24" s="74">
        <f t="shared" si="2"/>
        <v>0</v>
      </c>
      <c r="L24" s="75">
        <f t="shared" si="3"/>
        <v>0</v>
      </c>
    </row>
    <row r="25" spans="1:12" ht="11.25">
      <c r="A25" s="64">
        <f t="shared" si="4"/>
        <v>0</v>
      </c>
      <c r="B25" s="64">
        <f t="shared" si="5"/>
        <v>0</v>
      </c>
      <c r="C25" s="64">
        <f t="shared" si="6"/>
        <v>0</v>
      </c>
      <c r="D25" s="64">
        <f t="shared" si="7"/>
        <v>0</v>
      </c>
      <c r="E25" s="64">
        <f t="shared" si="8"/>
        <v>0</v>
      </c>
      <c r="F25" s="64">
        <f t="shared" si="9"/>
        <v>0</v>
      </c>
      <c r="H25" s="71">
        <f t="shared" si="10"/>
        <v>5.24807460249773</v>
      </c>
      <c r="I25" s="71">
        <f t="shared" si="0"/>
        <v>165503280.6643684</v>
      </c>
      <c r="J25" s="75">
        <f t="shared" si="1"/>
        <v>0</v>
      </c>
      <c r="K25" s="74">
        <f t="shared" si="2"/>
        <v>0</v>
      </c>
      <c r="L25" s="75">
        <f t="shared" si="3"/>
        <v>0</v>
      </c>
    </row>
    <row r="26" spans="1:12" ht="11.25">
      <c r="A26" s="64">
        <f t="shared" si="4"/>
        <v>0</v>
      </c>
      <c r="B26" s="64">
        <f t="shared" si="5"/>
        <v>0</v>
      </c>
      <c r="C26" s="64">
        <f t="shared" si="6"/>
        <v>0</v>
      </c>
      <c r="D26" s="64">
        <f t="shared" si="7"/>
        <v>0</v>
      </c>
      <c r="E26" s="64">
        <f t="shared" si="8"/>
        <v>0</v>
      </c>
      <c r="F26" s="64">
        <f t="shared" si="9"/>
        <v>0</v>
      </c>
      <c r="H26" s="71">
        <f t="shared" si="10"/>
        <v>6.025595860743582</v>
      </c>
      <c r="I26" s="71">
        <f t="shared" si="0"/>
        <v>190023191.0644096</v>
      </c>
      <c r="J26" s="75">
        <f t="shared" si="1"/>
        <v>0</v>
      </c>
      <c r="K26" s="74">
        <f t="shared" si="2"/>
        <v>0</v>
      </c>
      <c r="L26" s="75">
        <f t="shared" si="3"/>
        <v>0</v>
      </c>
    </row>
    <row r="27" spans="1:12" ht="11.25">
      <c r="A27" s="64">
        <f>IF(OR(GM_delam="No",Solution_type="a"),0,IF(Cont_Class="List I",List_I_C_Delam,List_II_J_Delam)*IF(Cont_Class="List II",Area_delam*1000/aq_Q,1))</f>
        <v>0</v>
      </c>
      <c r="B27" s="64">
        <f t="shared" si="5"/>
        <v>0</v>
      </c>
      <c r="C27" s="64">
        <f t="shared" si="6"/>
        <v>0</v>
      </c>
      <c r="D27" s="64">
        <f t="shared" si="7"/>
        <v>0</v>
      </c>
      <c r="E27" s="64">
        <f t="shared" si="8"/>
        <v>0</v>
      </c>
      <c r="F27" s="64">
        <f t="shared" si="9"/>
        <v>0</v>
      </c>
      <c r="H27" s="71">
        <f t="shared" si="10"/>
        <v>6.918309709189371</v>
      </c>
      <c r="I27" s="71">
        <f t="shared" si="0"/>
        <v>218175814.98899603</v>
      </c>
      <c r="J27" s="75">
        <f t="shared" si="1"/>
        <v>0</v>
      </c>
      <c r="K27" s="74">
        <f t="shared" si="2"/>
        <v>0</v>
      </c>
      <c r="L27" s="75">
        <f t="shared" si="3"/>
        <v>0</v>
      </c>
    </row>
    <row r="28" spans="1:12" ht="11.25">
      <c r="A28" s="64">
        <f t="shared" si="4"/>
        <v>0</v>
      </c>
      <c r="B28" s="64">
        <f t="shared" si="5"/>
        <v>0</v>
      </c>
      <c r="C28" s="64">
        <f t="shared" si="6"/>
        <v>0</v>
      </c>
      <c r="D28" s="64">
        <f t="shared" si="7"/>
        <v>0</v>
      </c>
      <c r="E28" s="64">
        <f t="shared" si="8"/>
        <v>0</v>
      </c>
      <c r="F28" s="64">
        <f t="shared" si="9"/>
        <v>0</v>
      </c>
      <c r="H28" s="71">
        <f t="shared" si="10"/>
        <v>7.943282347242823</v>
      </c>
      <c r="I28" s="71">
        <f t="shared" si="0"/>
        <v>250499352.10264966</v>
      </c>
      <c r="J28" s="75">
        <f t="shared" si="1"/>
        <v>0</v>
      </c>
      <c r="K28" s="74">
        <f t="shared" si="2"/>
        <v>0</v>
      </c>
      <c r="L28" s="75">
        <f t="shared" si="3"/>
        <v>0</v>
      </c>
    </row>
    <row r="29" spans="1:12" ht="11.25">
      <c r="A29" s="64">
        <f t="shared" si="4"/>
        <v>0</v>
      </c>
      <c r="B29" s="64">
        <f t="shared" si="5"/>
        <v>0</v>
      </c>
      <c r="C29" s="64">
        <f t="shared" si="6"/>
        <v>0</v>
      </c>
      <c r="D29" s="64">
        <f t="shared" si="7"/>
        <v>0</v>
      </c>
      <c r="E29" s="64">
        <f t="shared" si="8"/>
        <v>0</v>
      </c>
      <c r="F29" s="64">
        <f t="shared" si="9"/>
        <v>0</v>
      </c>
      <c r="H29" s="71">
        <f t="shared" si="10"/>
        <v>9.120108393559107</v>
      </c>
      <c r="I29" s="71">
        <f t="shared" si="0"/>
        <v>287611738.29928</v>
      </c>
      <c r="J29" s="75">
        <f t="shared" si="1"/>
        <v>0</v>
      </c>
      <c r="K29" s="74">
        <f t="shared" si="2"/>
        <v>0</v>
      </c>
      <c r="L29" s="75">
        <f t="shared" si="3"/>
        <v>0</v>
      </c>
    </row>
    <row r="30" spans="1:12" ht="11.25">
      <c r="A30" s="64">
        <f t="shared" si="4"/>
        <v>0</v>
      </c>
      <c r="B30" s="64">
        <f t="shared" si="5"/>
        <v>0</v>
      </c>
      <c r="C30" s="64">
        <f t="shared" si="6"/>
        <v>0</v>
      </c>
      <c r="D30" s="64">
        <f t="shared" si="7"/>
        <v>0</v>
      </c>
      <c r="E30" s="64">
        <f t="shared" si="8"/>
        <v>0</v>
      </c>
      <c r="F30" s="64">
        <f t="shared" si="9"/>
        <v>0</v>
      </c>
      <c r="H30" s="71">
        <f t="shared" si="10"/>
        <v>10.471285480509007</v>
      </c>
      <c r="I30" s="71">
        <f t="shared" si="0"/>
        <v>330222458.913332</v>
      </c>
      <c r="J30" s="75">
        <f t="shared" si="1"/>
        <v>0</v>
      </c>
      <c r="K30" s="74">
        <f t="shared" si="2"/>
        <v>0</v>
      </c>
      <c r="L30" s="75">
        <f t="shared" si="3"/>
        <v>0</v>
      </c>
    </row>
    <row r="31" spans="1:12" ht="11.25">
      <c r="A31" s="64">
        <f t="shared" si="4"/>
        <v>0</v>
      </c>
      <c r="B31" s="64">
        <f t="shared" si="5"/>
        <v>0</v>
      </c>
      <c r="C31" s="64">
        <f t="shared" si="6"/>
        <v>0</v>
      </c>
      <c r="D31" s="64">
        <f t="shared" si="7"/>
        <v>0</v>
      </c>
      <c r="E31" s="64">
        <f t="shared" si="8"/>
        <v>0</v>
      </c>
      <c r="F31" s="64">
        <f t="shared" si="9"/>
        <v>0</v>
      </c>
      <c r="H31" s="71">
        <f t="shared" si="10"/>
        <v>12.022644346174143</v>
      </c>
      <c r="I31" s="71">
        <f t="shared" si="0"/>
        <v>379146112.10094774</v>
      </c>
      <c r="J31" s="75">
        <f t="shared" si="1"/>
        <v>0</v>
      </c>
      <c r="K31" s="74">
        <f t="shared" si="2"/>
        <v>0</v>
      </c>
      <c r="L31" s="75">
        <f t="shared" si="3"/>
        <v>0</v>
      </c>
    </row>
    <row r="32" spans="1:12" ht="11.25">
      <c r="A32" s="64">
        <f t="shared" si="4"/>
        <v>0</v>
      </c>
      <c r="B32" s="64">
        <f t="shared" si="5"/>
        <v>0</v>
      </c>
      <c r="C32" s="64">
        <f t="shared" si="6"/>
        <v>0</v>
      </c>
      <c r="D32" s="64">
        <f t="shared" si="7"/>
        <v>0</v>
      </c>
      <c r="E32" s="64">
        <f t="shared" si="8"/>
        <v>0</v>
      </c>
      <c r="F32" s="64">
        <f t="shared" si="9"/>
        <v>0</v>
      </c>
      <c r="H32" s="71">
        <f t="shared" si="10"/>
        <v>13.803842646028865</v>
      </c>
      <c r="I32" s="71">
        <f t="shared" si="0"/>
        <v>435317981.6851663</v>
      </c>
      <c r="J32" s="75">
        <f t="shared" si="1"/>
        <v>0</v>
      </c>
      <c r="K32" s="74">
        <f t="shared" si="2"/>
        <v>0</v>
      </c>
      <c r="L32" s="75">
        <f t="shared" si="3"/>
        <v>0</v>
      </c>
    </row>
    <row r="33" spans="1:12" ht="11.25">
      <c r="A33" s="64">
        <f t="shared" si="4"/>
        <v>0</v>
      </c>
      <c r="B33" s="64">
        <f t="shared" si="5"/>
        <v>0</v>
      </c>
      <c r="C33" s="64">
        <f t="shared" si="6"/>
        <v>0</v>
      </c>
      <c r="D33" s="64">
        <f t="shared" si="7"/>
        <v>0</v>
      </c>
      <c r="E33" s="64">
        <f t="shared" si="8"/>
        <v>0</v>
      </c>
      <c r="F33" s="64">
        <f t="shared" si="9"/>
        <v>0</v>
      </c>
      <c r="H33" s="71">
        <f t="shared" si="10"/>
        <v>15.848931924611156</v>
      </c>
      <c r="I33" s="71">
        <f t="shared" si="0"/>
        <v>499811917.17453736</v>
      </c>
      <c r="J33" s="75">
        <f t="shared" si="1"/>
        <v>0</v>
      </c>
      <c r="K33" s="74">
        <f t="shared" si="2"/>
        <v>0</v>
      </c>
      <c r="L33" s="75">
        <f t="shared" si="3"/>
        <v>0</v>
      </c>
    </row>
    <row r="34" spans="1:12" ht="11.25">
      <c r="A34" s="64">
        <f t="shared" si="4"/>
        <v>0</v>
      </c>
      <c r="B34" s="64">
        <f t="shared" si="5"/>
        <v>0</v>
      </c>
      <c r="C34" s="64">
        <f t="shared" si="6"/>
        <v>0</v>
      </c>
      <c r="D34" s="64">
        <f t="shared" si="7"/>
        <v>0</v>
      </c>
      <c r="E34" s="64">
        <f t="shared" si="8"/>
        <v>0</v>
      </c>
      <c r="F34" s="64">
        <f t="shared" si="9"/>
        <v>0</v>
      </c>
      <c r="H34" s="71">
        <f t="shared" si="10"/>
        <v>18.19700858609986</v>
      </c>
      <c r="I34" s="71">
        <f t="shared" si="0"/>
        <v>573860862.7712451</v>
      </c>
      <c r="J34" s="75">
        <f t="shared" si="1"/>
        <v>0</v>
      </c>
      <c r="K34" s="74">
        <f t="shared" si="2"/>
        <v>0</v>
      </c>
      <c r="L34" s="75">
        <f t="shared" si="3"/>
        <v>0</v>
      </c>
    </row>
    <row r="35" spans="1:12" ht="11.25">
      <c r="A35" s="64">
        <f t="shared" si="4"/>
        <v>0</v>
      </c>
      <c r="B35" s="64">
        <f t="shared" si="5"/>
        <v>0</v>
      </c>
      <c r="C35" s="64">
        <f t="shared" si="6"/>
        <v>0</v>
      </c>
      <c r="D35" s="64">
        <f t="shared" si="7"/>
        <v>0</v>
      </c>
      <c r="E35" s="64">
        <f t="shared" si="8"/>
        <v>0</v>
      </c>
      <c r="F35" s="64">
        <f t="shared" si="9"/>
        <v>0</v>
      </c>
      <c r="H35" s="71">
        <f t="shared" si="10"/>
        <v>20.892961308540425</v>
      </c>
      <c r="I35" s="71">
        <f t="shared" si="0"/>
        <v>658880427.8261309</v>
      </c>
      <c r="J35" s="75">
        <f t="shared" si="1"/>
        <v>0</v>
      </c>
      <c r="K35" s="74">
        <f t="shared" si="2"/>
        <v>0</v>
      </c>
      <c r="L35" s="75">
        <f t="shared" si="3"/>
        <v>0</v>
      </c>
    </row>
    <row r="36" spans="1:12" ht="11.25">
      <c r="A36" s="64">
        <f t="shared" si="4"/>
        <v>0</v>
      </c>
      <c r="B36" s="64">
        <f t="shared" si="5"/>
        <v>0</v>
      </c>
      <c r="C36" s="64">
        <f t="shared" si="6"/>
        <v>0</v>
      </c>
      <c r="D36" s="64">
        <f t="shared" si="7"/>
        <v>0</v>
      </c>
      <c r="E36" s="64">
        <f t="shared" si="8"/>
        <v>0</v>
      </c>
      <c r="F36" s="64">
        <f t="shared" si="9"/>
        <v>0</v>
      </c>
      <c r="H36" s="71">
        <f t="shared" si="10"/>
        <v>23.98832919019494</v>
      </c>
      <c r="I36" s="71">
        <f t="shared" si="0"/>
        <v>756495949.3419876</v>
      </c>
      <c r="J36" s="75">
        <f t="shared" si="1"/>
        <v>0</v>
      </c>
      <c r="K36" s="74">
        <f t="shared" si="2"/>
        <v>0</v>
      </c>
      <c r="L36" s="75">
        <f t="shared" si="3"/>
        <v>0</v>
      </c>
    </row>
    <row r="37" spans="1:12" ht="11.25">
      <c r="A37" s="64">
        <f t="shared" si="4"/>
        <v>0</v>
      </c>
      <c r="B37" s="64">
        <f t="shared" si="5"/>
        <v>0</v>
      </c>
      <c r="C37" s="64">
        <f t="shared" si="6"/>
        <v>0</v>
      </c>
      <c r="D37" s="64">
        <f t="shared" si="7"/>
        <v>0</v>
      </c>
      <c r="E37" s="64">
        <f t="shared" si="8"/>
        <v>0</v>
      </c>
      <c r="F37" s="64">
        <f t="shared" si="9"/>
        <v>0</v>
      </c>
      <c r="H37" s="71">
        <f t="shared" si="10"/>
        <v>27.542287033381704</v>
      </c>
      <c r="I37" s="71">
        <f t="shared" si="0"/>
        <v>868573563.8847256</v>
      </c>
      <c r="J37" s="75">
        <f t="shared" si="1"/>
        <v>0</v>
      </c>
      <c r="K37" s="74">
        <f t="shared" si="2"/>
        <v>0</v>
      </c>
      <c r="L37" s="75">
        <f t="shared" si="3"/>
        <v>0</v>
      </c>
    </row>
    <row r="38" spans="1:12" ht="11.25">
      <c r="A38" s="64">
        <f t="shared" si="4"/>
        <v>0</v>
      </c>
      <c r="B38" s="64">
        <f t="shared" si="5"/>
        <v>0</v>
      </c>
      <c r="C38" s="64">
        <f t="shared" si="6"/>
        <v>0</v>
      </c>
      <c r="D38" s="64">
        <f t="shared" si="7"/>
        <v>0</v>
      </c>
      <c r="E38" s="64">
        <f t="shared" si="8"/>
        <v>0</v>
      </c>
      <c r="F38" s="64">
        <f t="shared" si="9"/>
        <v>0</v>
      </c>
      <c r="H38" s="71">
        <f t="shared" si="10"/>
        <v>31.622776601683842</v>
      </c>
      <c r="I38" s="71">
        <f t="shared" si="0"/>
        <v>997255882.9107016</v>
      </c>
      <c r="J38" s="75">
        <f t="shared" si="1"/>
        <v>0</v>
      </c>
      <c r="K38" s="74">
        <f t="shared" si="2"/>
        <v>0</v>
      </c>
      <c r="L38" s="75">
        <f t="shared" si="3"/>
        <v>0</v>
      </c>
    </row>
    <row r="39" spans="1:12" ht="11.25">
      <c r="A39" s="64">
        <f t="shared" si="4"/>
        <v>0</v>
      </c>
      <c r="B39" s="64">
        <f t="shared" si="5"/>
        <v>0</v>
      </c>
      <c r="C39" s="64">
        <f t="shared" si="6"/>
        <v>0</v>
      </c>
      <c r="D39" s="64">
        <f t="shared" si="7"/>
        <v>0</v>
      </c>
      <c r="E39" s="64">
        <f t="shared" si="8"/>
        <v>0</v>
      </c>
      <c r="F39" s="64">
        <f t="shared" si="9"/>
        <v>0</v>
      </c>
      <c r="H39" s="71">
        <f t="shared" si="10"/>
        <v>36.30780547701019</v>
      </c>
      <c r="I39" s="71">
        <f t="shared" si="0"/>
        <v>1145002953.5229933</v>
      </c>
      <c r="J39" s="75">
        <f t="shared" si="1"/>
        <v>0</v>
      </c>
      <c r="K39" s="74">
        <f t="shared" si="2"/>
        <v>0</v>
      </c>
      <c r="L39" s="75">
        <f t="shared" si="3"/>
        <v>0</v>
      </c>
    </row>
    <row r="40" spans="1:12" ht="11.25">
      <c r="A40" s="64">
        <f t="shared" si="4"/>
        <v>0</v>
      </c>
      <c r="B40" s="64">
        <f t="shared" si="5"/>
        <v>0</v>
      </c>
      <c r="C40" s="64">
        <f t="shared" si="6"/>
        <v>0</v>
      </c>
      <c r="D40" s="64">
        <f t="shared" si="7"/>
        <v>0</v>
      </c>
      <c r="E40" s="64">
        <f t="shared" si="8"/>
        <v>0</v>
      </c>
      <c r="F40" s="64">
        <f t="shared" si="9"/>
        <v>0</v>
      </c>
      <c r="H40" s="71">
        <f t="shared" si="10"/>
        <v>41.68693834703361</v>
      </c>
      <c r="I40" s="71">
        <f t="shared" si="0"/>
        <v>1314639287.7120519</v>
      </c>
      <c r="J40" s="75">
        <f t="shared" si="1"/>
        <v>0</v>
      </c>
      <c r="K40" s="74">
        <f t="shared" si="2"/>
        <v>0</v>
      </c>
      <c r="L40" s="75">
        <f t="shared" si="3"/>
        <v>0</v>
      </c>
    </row>
    <row r="41" spans="1:12" ht="11.25">
      <c r="A41" s="64">
        <f t="shared" si="4"/>
        <v>0</v>
      </c>
      <c r="B41" s="64">
        <f t="shared" si="5"/>
        <v>0</v>
      </c>
      <c r="C41" s="64">
        <f t="shared" si="6"/>
        <v>0</v>
      </c>
      <c r="D41" s="64">
        <f t="shared" si="7"/>
        <v>0</v>
      </c>
      <c r="E41" s="64">
        <f t="shared" si="8"/>
        <v>0</v>
      </c>
      <c r="F41" s="64">
        <f t="shared" si="9"/>
        <v>0</v>
      </c>
      <c r="H41" s="71">
        <f t="shared" si="10"/>
        <v>47.86300923226392</v>
      </c>
      <c r="I41" s="71">
        <f t="shared" si="0"/>
        <v>1509407859.148675</v>
      </c>
      <c r="J41" s="75">
        <f t="shared" si="1"/>
        <v>0</v>
      </c>
      <c r="K41" s="74">
        <f t="shared" si="2"/>
        <v>0</v>
      </c>
      <c r="L41" s="75">
        <f t="shared" si="3"/>
        <v>0</v>
      </c>
    </row>
    <row r="42" spans="1:12" ht="11.25">
      <c r="A42" s="64">
        <f t="shared" si="4"/>
        <v>0</v>
      </c>
      <c r="B42" s="64">
        <f t="shared" si="5"/>
        <v>0</v>
      </c>
      <c r="C42" s="64">
        <f t="shared" si="6"/>
        <v>0</v>
      </c>
      <c r="D42" s="64">
        <f t="shared" si="7"/>
        <v>0</v>
      </c>
      <c r="E42" s="64">
        <f t="shared" si="8"/>
        <v>0</v>
      </c>
      <c r="F42" s="64">
        <f t="shared" si="9"/>
        <v>0</v>
      </c>
      <c r="H42" s="71">
        <f t="shared" si="10"/>
        <v>54.954087385762556</v>
      </c>
      <c r="I42" s="71">
        <f t="shared" si="0"/>
        <v>1733032099.797408</v>
      </c>
      <c r="J42" s="75">
        <f t="shared" si="1"/>
        <v>0</v>
      </c>
      <c r="K42" s="74">
        <f t="shared" si="2"/>
        <v>0</v>
      </c>
      <c r="L42" s="75">
        <f t="shared" si="3"/>
        <v>0</v>
      </c>
    </row>
    <row r="43" spans="1:12" ht="11.25">
      <c r="A43" s="64">
        <f t="shared" si="4"/>
        <v>0</v>
      </c>
      <c r="B43" s="64">
        <f t="shared" si="5"/>
        <v>0</v>
      </c>
      <c r="C43" s="64">
        <f t="shared" si="6"/>
        <v>0</v>
      </c>
      <c r="D43" s="64">
        <f t="shared" si="7"/>
        <v>0</v>
      </c>
      <c r="E43" s="64">
        <f t="shared" si="8"/>
        <v>0</v>
      </c>
      <c r="F43" s="64">
        <f t="shared" si="9"/>
        <v>0</v>
      </c>
      <c r="H43" s="71">
        <f t="shared" si="10"/>
        <v>63.09573444801944</v>
      </c>
      <c r="I43" s="71">
        <f t="shared" si="0"/>
        <v>1989787081.552741</v>
      </c>
      <c r="J43" s="75">
        <f t="shared" si="1"/>
        <v>0</v>
      </c>
      <c r="K43" s="74">
        <f t="shared" si="2"/>
        <v>0</v>
      </c>
      <c r="L43" s="75">
        <f t="shared" si="3"/>
        <v>0</v>
      </c>
    </row>
    <row r="44" spans="1:12" ht="11.25">
      <c r="A44" s="64">
        <f t="shared" si="4"/>
        <v>0</v>
      </c>
      <c r="B44" s="64">
        <f t="shared" si="5"/>
        <v>0</v>
      </c>
      <c r="C44" s="64">
        <f t="shared" si="6"/>
        <v>0</v>
      </c>
      <c r="D44" s="64">
        <f t="shared" si="7"/>
        <v>0</v>
      </c>
      <c r="E44" s="64">
        <f t="shared" si="8"/>
        <v>0</v>
      </c>
      <c r="F44" s="64">
        <f t="shared" si="9"/>
        <v>0</v>
      </c>
      <c r="H44" s="71">
        <f t="shared" si="10"/>
        <v>72.44359600749915</v>
      </c>
      <c r="I44" s="71">
        <f t="shared" si="0"/>
        <v>2284581243.6924934</v>
      </c>
      <c r="J44" s="75">
        <f t="shared" si="1"/>
        <v>0</v>
      </c>
      <c r="K44" s="74">
        <f t="shared" si="2"/>
        <v>0</v>
      </c>
      <c r="L44" s="75">
        <f t="shared" si="3"/>
        <v>0</v>
      </c>
    </row>
    <row r="45" spans="1:12" ht="11.25">
      <c r="A45" s="64">
        <f t="shared" si="4"/>
        <v>0</v>
      </c>
      <c r="B45" s="64">
        <f t="shared" si="5"/>
        <v>0</v>
      </c>
      <c r="C45" s="64">
        <f t="shared" si="6"/>
        <v>0</v>
      </c>
      <c r="D45" s="64">
        <f t="shared" si="7"/>
        <v>0</v>
      </c>
      <c r="E45" s="64">
        <f t="shared" si="8"/>
        <v>0</v>
      </c>
      <c r="F45" s="64">
        <f t="shared" si="9"/>
        <v>0</v>
      </c>
      <c r="H45" s="71">
        <f t="shared" si="10"/>
        <v>83.17637711026727</v>
      </c>
      <c r="I45" s="71">
        <f t="shared" si="0"/>
        <v>2623050228.549389</v>
      </c>
      <c r="J45" s="75">
        <f aca="true" t="shared" si="11" ref="J45:J63">IF(OR(GM_delam="No",Solution_type="a"),0,n*GetJ_1laysol_L(Conc_delam/1000,thick_cl,$I45,x,R_cl,Dcl_Delam,Decay_cl,vel_delam,nsum))</f>
        <v>0</v>
      </c>
      <c r="K45" s="74">
        <f aca="true" t="shared" si="12" ref="K45:K63">IF(OR(GM_delam="No",Solution_type="a"),0,Get_1laysol_inf(Conc_delam,thick_cl,$I45,x,R_cl,Dcl_Delam,Decay_cl,vel_delam,nsum))</f>
        <v>0</v>
      </c>
      <c r="L45" s="75">
        <f aca="true" t="shared" si="13" ref="L45:L63">IF(OR(GM_delam="No",Solution_type="a"),0,n*GetJ_1laysol_inf(Conc_delam/1000,thick_cl,$I45,x,R_cl,Dcl_Delam,Decay_cl,vel_delam,nsum))</f>
        <v>0</v>
      </c>
    </row>
    <row r="46" spans="1:12" ht="11.25">
      <c r="A46" s="64">
        <f t="shared" si="4"/>
        <v>0</v>
      </c>
      <c r="B46" s="64">
        <f t="shared" si="5"/>
        <v>0</v>
      </c>
      <c r="C46" s="64">
        <f t="shared" si="6"/>
        <v>0</v>
      </c>
      <c r="D46" s="64">
        <f t="shared" si="7"/>
        <v>0</v>
      </c>
      <c r="E46" s="64">
        <f t="shared" si="8"/>
        <v>0</v>
      </c>
      <c r="F46" s="64">
        <f t="shared" si="9"/>
        <v>0</v>
      </c>
      <c r="H46" s="71">
        <f t="shared" si="10"/>
        <v>95.4992586021438</v>
      </c>
      <c r="I46" s="71">
        <f t="shared" si="0"/>
        <v>3011664619.277207</v>
      </c>
      <c r="J46" s="75">
        <f t="shared" si="11"/>
        <v>0</v>
      </c>
      <c r="K46" s="74">
        <f t="shared" si="12"/>
        <v>0</v>
      </c>
      <c r="L46" s="75">
        <f t="shared" si="13"/>
        <v>0</v>
      </c>
    </row>
    <row r="47" spans="1:12" ht="11.25">
      <c r="A47" s="64">
        <f t="shared" si="4"/>
        <v>0</v>
      </c>
      <c r="B47" s="64">
        <f t="shared" si="5"/>
        <v>0</v>
      </c>
      <c r="C47" s="64">
        <f t="shared" si="6"/>
        <v>0</v>
      </c>
      <c r="D47" s="64">
        <f t="shared" si="7"/>
        <v>0</v>
      </c>
      <c r="E47" s="64">
        <f t="shared" si="8"/>
        <v>0</v>
      </c>
      <c r="F47" s="64">
        <f t="shared" si="9"/>
        <v>0</v>
      </c>
      <c r="H47" s="71">
        <f t="shared" si="10"/>
        <v>109.64781961431873</v>
      </c>
      <c r="I47" s="71">
        <f t="shared" si="0"/>
        <v>3457853639.357156</v>
      </c>
      <c r="J47" s="75">
        <f t="shared" si="11"/>
        <v>0</v>
      </c>
      <c r="K47" s="74">
        <f t="shared" si="12"/>
        <v>0</v>
      </c>
      <c r="L47" s="75">
        <f t="shared" si="13"/>
        <v>0</v>
      </c>
    </row>
    <row r="48" spans="1:12" ht="11.25">
      <c r="A48" s="64">
        <f t="shared" si="4"/>
        <v>0</v>
      </c>
      <c r="B48" s="64">
        <f t="shared" si="5"/>
        <v>0</v>
      </c>
      <c r="C48" s="64">
        <f t="shared" si="6"/>
        <v>0</v>
      </c>
      <c r="D48" s="64">
        <f t="shared" si="7"/>
        <v>0</v>
      </c>
      <c r="E48" s="64">
        <f t="shared" si="8"/>
        <v>0</v>
      </c>
      <c r="F48" s="64">
        <f t="shared" si="9"/>
        <v>0</v>
      </c>
      <c r="H48" s="71">
        <f t="shared" si="10"/>
        <v>125.892541179417</v>
      </c>
      <c r="I48" s="71">
        <f t="shared" si="0"/>
        <v>3970147178.634094</v>
      </c>
      <c r="J48" s="75">
        <f t="shared" si="11"/>
        <v>0</v>
      </c>
      <c r="K48" s="74">
        <f t="shared" si="12"/>
        <v>0</v>
      </c>
      <c r="L48" s="75">
        <f t="shared" si="13"/>
        <v>0</v>
      </c>
    </row>
    <row r="49" spans="1:12" ht="11.25">
      <c r="A49" s="64">
        <f t="shared" si="4"/>
        <v>0</v>
      </c>
      <c r="B49" s="64">
        <f t="shared" si="5"/>
        <v>0</v>
      </c>
      <c r="C49" s="64">
        <f t="shared" si="6"/>
        <v>0</v>
      </c>
      <c r="D49" s="64">
        <f t="shared" si="7"/>
        <v>0</v>
      </c>
      <c r="E49" s="64">
        <f t="shared" si="8"/>
        <v>0</v>
      </c>
      <c r="F49" s="64">
        <f t="shared" si="9"/>
        <v>0</v>
      </c>
      <c r="H49" s="71">
        <f t="shared" si="10"/>
        <v>144.54397707459307</v>
      </c>
      <c r="I49" s="71">
        <f t="shared" si="0"/>
        <v>4558338861.024367</v>
      </c>
      <c r="J49" s="75">
        <f t="shared" si="11"/>
        <v>0</v>
      </c>
      <c r="K49" s="74">
        <f t="shared" si="12"/>
        <v>0</v>
      </c>
      <c r="L49" s="75">
        <f t="shared" si="13"/>
        <v>0</v>
      </c>
    </row>
    <row r="50" spans="1:12" ht="11.25">
      <c r="A50" s="64">
        <f t="shared" si="4"/>
        <v>0</v>
      </c>
      <c r="B50" s="64">
        <f t="shared" si="5"/>
        <v>0</v>
      </c>
      <c r="C50" s="64">
        <f t="shared" si="6"/>
        <v>0</v>
      </c>
      <c r="D50" s="64">
        <f t="shared" si="7"/>
        <v>0</v>
      </c>
      <c r="E50" s="64">
        <f t="shared" si="8"/>
        <v>0</v>
      </c>
      <c r="F50" s="64">
        <f t="shared" si="9"/>
        <v>0</v>
      </c>
      <c r="H50" s="71">
        <f t="shared" si="10"/>
        <v>165.95869074375645</v>
      </c>
      <c r="I50" s="71">
        <f t="shared" si="0"/>
        <v>5233673271.295103</v>
      </c>
      <c r="J50" s="75">
        <f t="shared" si="11"/>
        <v>0</v>
      </c>
      <c r="K50" s="74">
        <f t="shared" si="12"/>
        <v>0</v>
      </c>
      <c r="L50" s="75">
        <f t="shared" si="13"/>
        <v>0</v>
      </c>
    </row>
    <row r="51" spans="1:12" ht="11.25">
      <c r="A51" s="64">
        <f t="shared" si="4"/>
        <v>0</v>
      </c>
      <c r="B51" s="64">
        <f t="shared" si="5"/>
        <v>0</v>
      </c>
      <c r="C51" s="64">
        <f t="shared" si="6"/>
        <v>0</v>
      </c>
      <c r="D51" s="64">
        <f t="shared" si="7"/>
        <v>0</v>
      </c>
      <c r="E51" s="64">
        <f t="shared" si="8"/>
        <v>0</v>
      </c>
      <c r="F51" s="64">
        <f t="shared" si="9"/>
        <v>0</v>
      </c>
      <c r="H51" s="71">
        <f t="shared" si="10"/>
        <v>190.54607179632518</v>
      </c>
      <c r="I51" s="71">
        <f t="shared" si="0"/>
        <v>6009060920.168911</v>
      </c>
      <c r="J51" s="75">
        <f t="shared" si="11"/>
        <v>0</v>
      </c>
      <c r="K51" s="74">
        <f t="shared" si="12"/>
        <v>0</v>
      </c>
      <c r="L51" s="75">
        <f t="shared" si="13"/>
        <v>0</v>
      </c>
    </row>
    <row r="52" spans="1:12" ht="11.25">
      <c r="A52" s="64">
        <f t="shared" si="4"/>
        <v>0</v>
      </c>
      <c r="B52" s="64">
        <f t="shared" si="5"/>
        <v>0</v>
      </c>
      <c r="C52" s="64">
        <f t="shared" si="6"/>
        <v>0</v>
      </c>
      <c r="D52" s="64">
        <f t="shared" si="7"/>
        <v>0</v>
      </c>
      <c r="E52" s="64">
        <f t="shared" si="8"/>
        <v>0</v>
      </c>
      <c r="F52" s="64">
        <f t="shared" si="9"/>
        <v>0</v>
      </c>
      <c r="H52" s="71">
        <f t="shared" si="10"/>
        <v>218.7761623949558</v>
      </c>
      <c r="I52" s="71">
        <f t="shared" si="0"/>
        <v>6899325057.287327</v>
      </c>
      <c r="J52" s="75">
        <f t="shared" si="11"/>
        <v>0</v>
      </c>
      <c r="K52" s="74">
        <f t="shared" si="12"/>
        <v>0</v>
      </c>
      <c r="L52" s="75">
        <f t="shared" si="13"/>
        <v>0</v>
      </c>
    </row>
    <row r="53" spans="1:12" ht="11.25">
      <c r="A53" s="64">
        <f t="shared" si="4"/>
        <v>0</v>
      </c>
      <c r="B53" s="64">
        <f t="shared" si="5"/>
        <v>0</v>
      </c>
      <c r="C53" s="64">
        <f t="shared" si="6"/>
        <v>0</v>
      </c>
      <c r="D53" s="64">
        <f t="shared" si="7"/>
        <v>0</v>
      </c>
      <c r="E53" s="64">
        <f t="shared" si="8"/>
        <v>0</v>
      </c>
      <c r="F53" s="64">
        <f t="shared" si="9"/>
        <v>0</v>
      </c>
      <c r="H53" s="71">
        <f t="shared" si="10"/>
        <v>251.18864315095865</v>
      </c>
      <c r="I53" s="71">
        <f t="shared" si="0"/>
        <v>7921485050.408631</v>
      </c>
      <c r="J53" s="75">
        <f t="shared" si="11"/>
        <v>0</v>
      </c>
      <c r="K53" s="74">
        <f t="shared" si="12"/>
        <v>0</v>
      </c>
      <c r="L53" s="75">
        <f t="shared" si="13"/>
        <v>0</v>
      </c>
    </row>
    <row r="54" spans="1:12" ht="11.25">
      <c r="A54" s="64">
        <f t="shared" si="4"/>
        <v>0</v>
      </c>
      <c r="B54" s="64">
        <f t="shared" si="5"/>
        <v>0</v>
      </c>
      <c r="C54" s="64">
        <f t="shared" si="6"/>
        <v>0</v>
      </c>
      <c r="D54" s="64">
        <f t="shared" si="7"/>
        <v>0</v>
      </c>
      <c r="E54" s="64">
        <f t="shared" si="8"/>
        <v>0</v>
      </c>
      <c r="F54" s="64">
        <f t="shared" si="9"/>
        <v>0</v>
      </c>
      <c r="H54" s="71">
        <f t="shared" si="10"/>
        <v>288.40315031266135</v>
      </c>
      <c r="I54" s="71">
        <f t="shared" si="0"/>
        <v>9095081748.26009</v>
      </c>
      <c r="J54" s="75">
        <f t="shared" si="11"/>
        <v>0</v>
      </c>
      <c r="K54" s="74">
        <f t="shared" si="12"/>
        <v>0</v>
      </c>
      <c r="L54" s="75">
        <f t="shared" si="13"/>
        <v>0</v>
      </c>
    </row>
    <row r="55" spans="1:12" ht="11.25">
      <c r="A55" s="64">
        <f t="shared" si="4"/>
        <v>0</v>
      </c>
      <c r="B55" s="64">
        <f t="shared" si="5"/>
        <v>0</v>
      </c>
      <c r="C55" s="64">
        <f t="shared" si="6"/>
        <v>0</v>
      </c>
      <c r="D55" s="64">
        <f t="shared" si="7"/>
        <v>0</v>
      </c>
      <c r="E55" s="64">
        <f t="shared" si="8"/>
        <v>0</v>
      </c>
      <c r="F55" s="64">
        <f t="shared" si="9"/>
        <v>0</v>
      </c>
      <c r="H55" s="71">
        <f t="shared" si="10"/>
        <v>331.131121482592</v>
      </c>
      <c r="I55" s="71">
        <f t="shared" si="0"/>
        <v>10442551047.07502</v>
      </c>
      <c r="J55" s="75">
        <f t="shared" si="11"/>
        <v>0</v>
      </c>
      <c r="K55" s="74">
        <f t="shared" si="12"/>
        <v>0</v>
      </c>
      <c r="L55" s="75">
        <f t="shared" si="13"/>
        <v>0</v>
      </c>
    </row>
    <row r="56" spans="1:12" ht="11.25">
      <c r="A56" s="64">
        <f t="shared" si="4"/>
        <v>0</v>
      </c>
      <c r="B56" s="64">
        <f t="shared" si="5"/>
        <v>0</v>
      </c>
      <c r="C56" s="64">
        <f t="shared" si="6"/>
        <v>0</v>
      </c>
      <c r="D56" s="64">
        <f t="shared" si="7"/>
        <v>0</v>
      </c>
      <c r="E56" s="64">
        <f t="shared" si="8"/>
        <v>0</v>
      </c>
      <c r="F56" s="64">
        <f t="shared" si="9"/>
        <v>0</v>
      </c>
      <c r="H56" s="71">
        <f t="shared" si="10"/>
        <v>380.18939632056225</v>
      </c>
      <c r="I56" s="71">
        <f t="shared" si="0"/>
        <v>11989652802.365252</v>
      </c>
      <c r="J56" s="75">
        <f t="shared" si="11"/>
        <v>0</v>
      </c>
      <c r="K56" s="74">
        <f t="shared" si="12"/>
        <v>0</v>
      </c>
      <c r="L56" s="75">
        <f t="shared" si="13"/>
        <v>0</v>
      </c>
    </row>
    <row r="57" spans="1:12" ht="11.25">
      <c r="A57" s="64">
        <f t="shared" si="4"/>
        <v>0</v>
      </c>
      <c r="B57" s="64">
        <f t="shared" si="5"/>
        <v>0</v>
      </c>
      <c r="C57" s="64">
        <f t="shared" si="6"/>
        <v>0</v>
      </c>
      <c r="D57" s="64">
        <f t="shared" si="7"/>
        <v>0</v>
      </c>
      <c r="E57" s="64">
        <f t="shared" si="8"/>
        <v>0</v>
      </c>
      <c r="F57" s="64">
        <f t="shared" si="9"/>
        <v>0</v>
      </c>
      <c r="H57" s="71">
        <f t="shared" si="10"/>
        <v>436.5158322401672</v>
      </c>
      <c r="I57" s="71">
        <f t="shared" si="0"/>
        <v>13765963285.525913</v>
      </c>
      <c r="J57" s="75">
        <f t="shared" si="11"/>
        <v>0</v>
      </c>
      <c r="K57" s="74">
        <f t="shared" si="12"/>
        <v>0</v>
      </c>
      <c r="L57" s="75">
        <f t="shared" si="13"/>
        <v>0</v>
      </c>
    </row>
    <row r="58" spans="1:12" ht="11.25">
      <c r="A58" s="64">
        <f t="shared" si="4"/>
        <v>0</v>
      </c>
      <c r="B58" s="64">
        <f t="shared" si="5"/>
        <v>0</v>
      </c>
      <c r="C58" s="64">
        <f t="shared" si="6"/>
        <v>0</v>
      </c>
      <c r="D58" s="64">
        <f t="shared" si="7"/>
        <v>0</v>
      </c>
      <c r="E58" s="64">
        <f t="shared" si="8"/>
        <v>0</v>
      </c>
      <c r="F58" s="64">
        <f t="shared" si="9"/>
        <v>0</v>
      </c>
      <c r="H58" s="71">
        <f t="shared" si="10"/>
        <v>501.1872336272737</v>
      </c>
      <c r="I58" s="71">
        <f t="shared" si="0"/>
        <v>15805440599.669704</v>
      </c>
      <c r="J58" s="75">
        <f t="shared" si="11"/>
        <v>0</v>
      </c>
      <c r="K58" s="74">
        <f t="shared" si="12"/>
        <v>0</v>
      </c>
      <c r="L58" s="75">
        <f t="shared" si="13"/>
        <v>0</v>
      </c>
    </row>
    <row r="59" spans="1:12" ht="11.25">
      <c r="A59" s="64">
        <f t="shared" si="4"/>
        <v>0</v>
      </c>
      <c r="B59" s="64">
        <f t="shared" si="5"/>
        <v>0</v>
      </c>
      <c r="C59" s="64">
        <f t="shared" si="6"/>
        <v>0</v>
      </c>
      <c r="D59" s="64">
        <f t="shared" si="7"/>
        <v>0</v>
      </c>
      <c r="E59" s="64">
        <f t="shared" si="8"/>
        <v>0</v>
      </c>
      <c r="F59" s="64">
        <f t="shared" si="9"/>
        <v>0</v>
      </c>
      <c r="H59" s="71">
        <f t="shared" si="10"/>
        <v>575.4399373371587</v>
      </c>
      <c r="I59" s="71">
        <f t="shared" si="0"/>
        <v>18147073863.864635</v>
      </c>
      <c r="J59" s="75">
        <f t="shared" si="11"/>
        <v>0</v>
      </c>
      <c r="K59" s="74">
        <f t="shared" si="12"/>
        <v>0</v>
      </c>
      <c r="L59" s="75">
        <f t="shared" si="13"/>
        <v>0</v>
      </c>
    </row>
    <row r="60" spans="1:12" ht="11.25">
      <c r="A60" s="64">
        <f t="shared" si="4"/>
        <v>0</v>
      </c>
      <c r="B60" s="64">
        <f t="shared" si="5"/>
        <v>0</v>
      </c>
      <c r="C60" s="64">
        <f t="shared" si="6"/>
        <v>0</v>
      </c>
      <c r="D60" s="64">
        <f t="shared" si="7"/>
        <v>0</v>
      </c>
      <c r="E60" s="64">
        <f t="shared" si="8"/>
        <v>0</v>
      </c>
      <c r="F60" s="64">
        <f t="shared" si="9"/>
        <v>0</v>
      </c>
      <c r="H60" s="71">
        <f t="shared" si="10"/>
        <v>660.693448007598</v>
      </c>
      <c r="I60" s="71">
        <f t="shared" si="0"/>
        <v>20835628576.36761</v>
      </c>
      <c r="J60" s="75">
        <f t="shared" si="11"/>
        <v>0</v>
      </c>
      <c r="K60" s="74">
        <f t="shared" si="12"/>
        <v>0</v>
      </c>
      <c r="L60" s="75">
        <f t="shared" si="13"/>
        <v>0</v>
      </c>
    </row>
    <row r="61" spans="1:12" ht="11.25">
      <c r="A61" s="64">
        <f t="shared" si="4"/>
        <v>0</v>
      </c>
      <c r="B61" s="64">
        <f t="shared" si="5"/>
        <v>0</v>
      </c>
      <c r="C61" s="64">
        <f t="shared" si="6"/>
        <v>0</v>
      </c>
      <c r="D61" s="64">
        <f t="shared" si="7"/>
        <v>0</v>
      </c>
      <c r="E61" s="64">
        <f t="shared" si="8"/>
        <v>0</v>
      </c>
      <c r="F61" s="64">
        <f t="shared" si="9"/>
        <v>0</v>
      </c>
      <c r="H61" s="71">
        <f t="shared" si="10"/>
        <v>758.5775750291862</v>
      </c>
      <c r="I61" s="71">
        <f t="shared" si="0"/>
        <v>23922502406.12042</v>
      </c>
      <c r="J61" s="75">
        <f t="shared" si="11"/>
        <v>0</v>
      </c>
      <c r="K61" s="74">
        <f t="shared" si="12"/>
        <v>0</v>
      </c>
      <c r="L61" s="75">
        <f t="shared" si="13"/>
        <v>0</v>
      </c>
    </row>
    <row r="62" spans="1:12" ht="11.25">
      <c r="A62" s="64">
        <f t="shared" si="4"/>
        <v>0</v>
      </c>
      <c r="B62" s="64">
        <f t="shared" si="5"/>
        <v>0</v>
      </c>
      <c r="C62" s="64">
        <f t="shared" si="6"/>
        <v>0</v>
      </c>
      <c r="D62" s="64">
        <f t="shared" si="7"/>
        <v>0</v>
      </c>
      <c r="E62" s="64">
        <f t="shared" si="8"/>
        <v>0</v>
      </c>
      <c r="F62" s="64">
        <f t="shared" si="9"/>
        <v>0</v>
      </c>
      <c r="H62" s="71">
        <f t="shared" si="10"/>
        <v>870.9635899560834</v>
      </c>
      <c r="I62" s="71">
        <f t="shared" si="0"/>
        <v>27466707772.855045</v>
      </c>
      <c r="J62" s="75">
        <f t="shared" si="11"/>
        <v>0</v>
      </c>
      <c r="K62" s="74">
        <f t="shared" si="12"/>
        <v>0</v>
      </c>
      <c r="L62" s="75">
        <f t="shared" si="13"/>
        <v>0</v>
      </c>
    </row>
    <row r="63" spans="1:12" ht="11.25">
      <c r="A63" s="64">
        <f t="shared" si="4"/>
        <v>0</v>
      </c>
      <c r="B63" s="64">
        <f>IF(OR(GM_delam="No",Solution_type="a"),0,IF(Solution_type="b",TwoLay_sol,Single_Lay_Sol))</f>
        <v>0</v>
      </c>
      <c r="C63" s="64">
        <f>IF(OR(GM_delam="No",Solution_type="a"),0,IF(Cont_Class="List I",MAX(A63,B63),(Delam_Out*aq_Q/1000+Contact_Out*aq_Q/1000)*1000/aq_Q))</f>
        <v>0</v>
      </c>
      <c r="D63" s="64">
        <f>IF(OR(GM_delam="No",Solution_type="a"),0,IF(Cont_Class="List II",List_II_J_Delam,List_I_J_Delam_In))*Area_delam*s_per_day</f>
        <v>0</v>
      </c>
      <c r="E63" s="64">
        <f>IF(OR(GM_delam="No",Solution_type="a"),0,IF(Solution_type="b",Two_Lay_Mass,Single_Lay_Mass))</f>
        <v>0</v>
      </c>
      <c r="F63" s="64">
        <f t="shared" si="9"/>
        <v>0</v>
      </c>
      <c r="H63" s="71">
        <f t="shared" si="10"/>
        <v>1000.0000000000033</v>
      </c>
      <c r="I63" s="71">
        <f t="shared" si="0"/>
        <v>31536000000.000107</v>
      </c>
      <c r="J63" s="75">
        <f t="shared" si="11"/>
        <v>0</v>
      </c>
      <c r="K63" s="74">
        <f t="shared" si="12"/>
        <v>0</v>
      </c>
      <c r="L63" s="75">
        <f t="shared" si="13"/>
        <v>0</v>
      </c>
    </row>
    <row r="65" spans="10:12" ht="11.25">
      <c r="J65" s="63"/>
      <c r="K65" s="63"/>
      <c r="L65" s="63"/>
    </row>
  </sheetData>
  <sheetProtection sheet="1" objects="1" scenarios="1"/>
  <mergeCells count="2">
    <mergeCell ref="J9:P9"/>
    <mergeCell ref="A11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63"/>
  <sheetViews>
    <sheetView workbookViewId="0" topLeftCell="A1">
      <selection activeCell="D7" sqref="D7"/>
    </sheetView>
  </sheetViews>
  <sheetFormatPr defaultColWidth="9.140625" defaultRowHeight="12.75"/>
  <cols>
    <col min="1" max="2" width="11.00390625" style="64" bestFit="1" customWidth="1"/>
    <col min="3" max="6" width="11.00390625" style="64" customWidth="1"/>
    <col min="7" max="7" width="9.421875" style="64" customWidth="1"/>
    <col min="8" max="10" width="9.140625" style="64" customWidth="1"/>
    <col min="11" max="12" width="13.140625" style="64" bestFit="1" customWidth="1"/>
    <col min="13" max="13" width="12.00390625" style="64" bestFit="1" customWidth="1"/>
    <col min="14" max="14" width="13.140625" style="64" bestFit="1" customWidth="1"/>
    <col min="15" max="16384" width="9.140625" style="64" customWidth="1"/>
  </cols>
  <sheetData>
    <row r="2" ht="11.25">
      <c r="I2" s="64" t="s">
        <v>249</v>
      </c>
    </row>
    <row r="8" spans="9:10" ht="11.25">
      <c r="I8" s="76" t="s">
        <v>233</v>
      </c>
      <c r="J8" s="63">
        <f>nsum</f>
        <v>12</v>
      </c>
    </row>
    <row r="9" spans="9:13" ht="11.25">
      <c r="I9" s="71" t="s">
        <v>197</v>
      </c>
      <c r="J9" s="63">
        <f>thick_cl+thick_gm</f>
        <v>1.003</v>
      </c>
      <c r="L9" s="64" t="s">
        <v>229</v>
      </c>
      <c r="M9" s="64" t="s">
        <v>248</v>
      </c>
    </row>
    <row r="10" spans="1:13" ht="11.25">
      <c r="A10" s="64" t="s">
        <v>325</v>
      </c>
      <c r="B10" s="64">
        <f>Area_Flux-Area_CZ</f>
        <v>86619.82883101371</v>
      </c>
      <c r="J10" s="71"/>
      <c r="K10" s="75"/>
      <c r="L10" s="79"/>
      <c r="M10" s="75"/>
    </row>
    <row r="11" spans="4:13" ht="11.25">
      <c r="D11" s="156" t="s">
        <v>342</v>
      </c>
      <c r="E11" s="156"/>
      <c r="F11" s="156" t="s">
        <v>341</v>
      </c>
      <c r="G11" s="156"/>
      <c r="J11" s="71"/>
      <c r="K11" s="75" t="s">
        <v>210</v>
      </c>
      <c r="L11" s="74" t="s">
        <v>52</v>
      </c>
      <c r="M11" s="75" t="s">
        <v>210</v>
      </c>
    </row>
    <row r="12" spans="1:13" ht="11.25">
      <c r="A12" s="76" t="s">
        <v>269</v>
      </c>
      <c r="B12" s="76" t="s">
        <v>318</v>
      </c>
      <c r="C12" s="76"/>
      <c r="D12" s="76" t="s">
        <v>269</v>
      </c>
      <c r="E12" s="76" t="s">
        <v>318</v>
      </c>
      <c r="F12" s="76" t="s">
        <v>265</v>
      </c>
      <c r="G12" s="76" t="s">
        <v>318</v>
      </c>
      <c r="I12" s="71" t="s">
        <v>58</v>
      </c>
      <c r="J12" s="71" t="s">
        <v>59</v>
      </c>
      <c r="K12" s="80" t="s">
        <v>200</v>
      </c>
      <c r="L12" s="81" t="s">
        <v>211</v>
      </c>
      <c r="M12" s="82" t="s">
        <v>212</v>
      </c>
    </row>
    <row r="13" spans="1:13" ht="11.25">
      <c r="A13" s="64">
        <f>IF(Cont_Class="List I",MAX(D13,F13),D13+F13)</f>
        <v>1.9790867653005497E-06</v>
      </c>
      <c r="B13" s="64">
        <f>Twolay_Flux+Twolay_defect_flux</f>
        <v>5.028703533663919E-08</v>
      </c>
      <c r="D13" s="64">
        <f>IF(Area_two=0,0,IF(Cont_Class="List I",List_I_C_TwoLay,List_II_J_TwoLay)*IF(Cont_Class="List II",Area_two*1000/aq_Q,1))</f>
        <v>0</v>
      </c>
      <c r="E13" s="64">
        <f>IF(Cont_Class="List II",List_II_J_TwoLay*Area_two*s_per_day,List_I_J_TwoLay_In*Area_two*s_per_day)</f>
        <v>0</v>
      </c>
      <c r="F13" s="64">
        <f>Single_Lay_Sol</f>
        <v>1.9790867653005497E-06</v>
      </c>
      <c r="G13" s="64">
        <f>Single_Lay_Mass</f>
        <v>5.028703533663919E-08</v>
      </c>
      <c r="I13" s="71">
        <f>tmin</f>
        <v>1</v>
      </c>
      <c r="J13" s="71">
        <f>I13*365*24*60*60</f>
        <v>31536000</v>
      </c>
      <c r="K13" s="75">
        <f aca="true" t="shared" si="0" ref="K13:K44">IF(Solution_type="b",get_Jsol2(Conc_gm/1000/Kd_gm,thick_gm,thick_cl,$J13,x_org,Kd_gm,1,R_cl,D_org*1,D_cl*n,0,Decay_cl,$J$8,1,n),0)</f>
        <v>0</v>
      </c>
      <c r="L13" s="83">
        <f aca="true" t="shared" si="1" ref="L13:L44">IF(Solution_type="b",get_sol2_infin(Conc_gm/Kd_gm,thick_gm,thick_cl,$J13,x_org,Kd_gm,1,R_cl,D_org*1,D_cl*n,0,Decay_cl,$J$8,1,n),0)</f>
        <v>0</v>
      </c>
      <c r="M13" s="84">
        <f aca="true" t="shared" si="2" ref="M13:M44">IF(Solution_type="b",get_Jsol2_infin(Conc_gm/1000/Kd_gm,thick_gm,thick_cl,$J13,x_org,Kd_gm,1,R_cl,D_org*1,D_cl*n,0,Decay_cl,$J$8,1,n),0)</f>
        <v>0</v>
      </c>
    </row>
    <row r="14" spans="1:13" ht="11.25">
      <c r="A14" s="64">
        <f aca="true" t="shared" si="3" ref="A14:A63">IF(Cont_Class="List I",MAX(D14,F14),D14+F14)</f>
        <v>4.29926078960053E-06</v>
      </c>
      <c r="B14" s="64">
        <f aca="true" t="shared" si="4" ref="B14:B62">Twolay_Flux+Twolay_defect_flux</f>
        <v>6.994483052621813E-08</v>
      </c>
      <c r="D14" s="64">
        <f aca="true" t="shared" si="5" ref="D14:D63">IF(Area_two=0,0,IF(Cont_Class="List I",List_I_C_TwoLay,List_II_J_TwoLay)*IF(Cont_Class="List II",Area_two*1000/aq_Q,1))</f>
        <v>0</v>
      </c>
      <c r="E14" s="64">
        <f aca="true" t="shared" si="6" ref="E14:E62">IF(Cont_Class="List II",List_II_J_TwoLay*Area_two*s_per_day,List_I_J_TwoLay_In*Area_two*s_per_day)</f>
        <v>0</v>
      </c>
      <c r="F14" s="64">
        <f aca="true" t="shared" si="7" ref="F14:F63">Single_Lay_Sol</f>
        <v>4.29926078960053E-06</v>
      </c>
      <c r="G14" s="64">
        <f aca="true" t="shared" si="8" ref="G14:G62">Single_Lay_Mass</f>
        <v>6.994483052621813E-08</v>
      </c>
      <c r="I14" s="71">
        <f>I13*tscale</f>
        <v>1.1481536214968828</v>
      </c>
      <c r="J14" s="71">
        <f aca="true" t="shared" si="9" ref="J14:J63">I14*365*24*60*60</f>
        <v>36208172.6075257</v>
      </c>
      <c r="K14" s="75">
        <f t="shared" si="0"/>
        <v>0</v>
      </c>
      <c r="L14" s="83">
        <f t="shared" si="1"/>
        <v>0</v>
      </c>
      <c r="M14" s="84">
        <f t="shared" si="2"/>
        <v>0</v>
      </c>
    </row>
    <row r="15" spans="1:13" ht="11.25">
      <c r="A15" s="64">
        <f t="shared" si="3"/>
        <v>6.008684291226461E-06</v>
      </c>
      <c r="B15" s="64">
        <f t="shared" si="4"/>
        <v>2.303081884415999E-08</v>
      </c>
      <c r="D15" s="64">
        <f t="shared" si="5"/>
        <v>0</v>
      </c>
      <c r="E15" s="64">
        <f t="shared" si="6"/>
        <v>0</v>
      </c>
      <c r="F15" s="64">
        <f t="shared" si="7"/>
        <v>6.008684291226461E-06</v>
      </c>
      <c r="G15" s="64">
        <f t="shared" si="8"/>
        <v>2.303081884415999E-08</v>
      </c>
      <c r="I15" s="71">
        <f aca="true" t="shared" si="10" ref="I15:I62">I14*tscale</f>
        <v>1.3182567385564072</v>
      </c>
      <c r="J15" s="71">
        <f t="shared" si="9"/>
        <v>41572544.50711486</v>
      </c>
      <c r="K15" s="75">
        <f t="shared" si="0"/>
        <v>0</v>
      </c>
      <c r="L15" s="83">
        <f t="shared" si="1"/>
        <v>0</v>
      </c>
      <c r="M15" s="84">
        <f t="shared" si="2"/>
        <v>0</v>
      </c>
    </row>
    <row r="16" spans="1:13" ht="11.25">
      <c r="A16" s="64">
        <f t="shared" si="3"/>
        <v>2.585479569464334E-06</v>
      </c>
      <c r="B16" s="64">
        <f t="shared" si="4"/>
        <v>-1.7733017819064827E-07</v>
      </c>
      <c r="D16" s="64">
        <f t="shared" si="5"/>
        <v>0</v>
      </c>
      <c r="E16" s="64">
        <f t="shared" si="6"/>
        <v>0</v>
      </c>
      <c r="F16" s="64">
        <f t="shared" si="7"/>
        <v>2.585479569464334E-06</v>
      </c>
      <c r="G16" s="64">
        <f t="shared" si="8"/>
        <v>-1.7733017819064827E-07</v>
      </c>
      <c r="I16" s="71">
        <f t="shared" si="10"/>
        <v>1.5135612484362084</v>
      </c>
      <c r="J16" s="71">
        <f t="shared" si="9"/>
        <v>47731667.53068427</v>
      </c>
      <c r="K16" s="75">
        <f t="shared" si="0"/>
        <v>0</v>
      </c>
      <c r="L16" s="83">
        <f t="shared" si="1"/>
        <v>0</v>
      </c>
      <c r="M16" s="84">
        <f t="shared" si="2"/>
        <v>0</v>
      </c>
    </row>
    <row r="17" spans="1:13" ht="11.25">
      <c r="A17" s="64">
        <f t="shared" si="3"/>
        <v>0</v>
      </c>
      <c r="B17" s="64">
        <f t="shared" si="4"/>
        <v>-5.595809655271138E-07</v>
      </c>
      <c r="D17" s="64">
        <f t="shared" si="5"/>
        <v>0</v>
      </c>
      <c r="E17" s="64">
        <f t="shared" si="6"/>
        <v>0</v>
      </c>
      <c r="F17" s="64">
        <f t="shared" si="7"/>
        <v>-1.2824950879531674E-05</v>
      </c>
      <c r="G17" s="64">
        <f t="shared" si="8"/>
        <v>-5.595809655271138E-07</v>
      </c>
      <c r="I17" s="71">
        <f t="shared" si="10"/>
        <v>1.7378008287493758</v>
      </c>
      <c r="J17" s="71">
        <f t="shared" si="9"/>
        <v>54803286.93544031</v>
      </c>
      <c r="K17" s="75">
        <f t="shared" si="0"/>
        <v>0</v>
      </c>
      <c r="L17" s="83">
        <f t="shared" si="1"/>
        <v>0</v>
      </c>
      <c r="M17" s="84">
        <f t="shared" si="2"/>
        <v>0</v>
      </c>
    </row>
    <row r="18" spans="1:13" ht="11.25">
      <c r="A18" s="64">
        <f t="shared" si="3"/>
        <v>0</v>
      </c>
      <c r="B18" s="64">
        <f t="shared" si="4"/>
        <v>-9.323863800461037E-07</v>
      </c>
      <c r="D18" s="64">
        <f t="shared" si="5"/>
        <v>0</v>
      </c>
      <c r="E18" s="64">
        <f t="shared" si="6"/>
        <v>0</v>
      </c>
      <c r="F18" s="64">
        <f t="shared" si="7"/>
        <v>-4.340778607944705E-05</v>
      </c>
      <c r="G18" s="64">
        <f t="shared" si="8"/>
        <v>-9.323863800461037E-07</v>
      </c>
      <c r="I18" s="71">
        <f t="shared" si="10"/>
        <v>1.9952623149688802</v>
      </c>
      <c r="J18" s="71">
        <f t="shared" si="9"/>
        <v>62922592.364858605</v>
      </c>
      <c r="K18" s="75">
        <f t="shared" si="0"/>
        <v>0</v>
      </c>
      <c r="L18" s="83">
        <f t="shared" si="1"/>
        <v>0</v>
      </c>
      <c r="M18" s="84">
        <f t="shared" si="2"/>
        <v>0</v>
      </c>
    </row>
    <row r="19" spans="1:13" ht="11.25">
      <c r="A19" s="64">
        <f t="shared" si="3"/>
        <v>0</v>
      </c>
      <c r="B19" s="64">
        <f t="shared" si="4"/>
        <v>-7.852069066551072E-07</v>
      </c>
      <c r="D19" s="64">
        <f t="shared" si="5"/>
        <v>0</v>
      </c>
      <c r="E19" s="64">
        <f t="shared" si="6"/>
        <v>0</v>
      </c>
      <c r="F19" s="64">
        <f>Single_Lay_Sol</f>
        <v>-7.704892536362276E-05</v>
      </c>
      <c r="G19" s="64">
        <f t="shared" si="8"/>
        <v>-7.852069066551072E-07</v>
      </c>
      <c r="I19" s="71">
        <f t="shared" si="10"/>
        <v>2.290867652767774</v>
      </c>
      <c r="J19" s="71">
        <f t="shared" si="9"/>
        <v>72244802.29768452</v>
      </c>
      <c r="K19" s="75">
        <f t="shared" si="0"/>
        <v>0</v>
      </c>
      <c r="L19" s="83">
        <f t="shared" si="1"/>
        <v>0</v>
      </c>
      <c r="M19" s="84">
        <f t="shared" si="2"/>
        <v>0</v>
      </c>
    </row>
    <row r="20" spans="1:13" ht="11.25">
      <c r="A20" s="64">
        <f t="shared" si="3"/>
        <v>0</v>
      </c>
      <c r="B20" s="64">
        <f>Twolay_Flux+Twolay_defect_flux</f>
        <v>4.94545638491167E-07</v>
      </c>
      <c r="D20" s="64">
        <f t="shared" si="5"/>
        <v>0</v>
      </c>
      <c r="E20" s="64">
        <f t="shared" si="6"/>
        <v>0</v>
      </c>
      <c r="F20" s="64">
        <f t="shared" si="7"/>
        <v>-7.750606452787518E-05</v>
      </c>
      <c r="G20" s="64">
        <f t="shared" si="8"/>
        <v>4.94545638491167E-07</v>
      </c>
      <c r="I20" s="71">
        <f t="shared" si="10"/>
        <v>2.630267991895383</v>
      </c>
      <c r="J20" s="71">
        <f t="shared" si="9"/>
        <v>82948131.3924128</v>
      </c>
      <c r="K20" s="75">
        <f t="shared" si="0"/>
        <v>0</v>
      </c>
      <c r="L20" s="83">
        <f t="shared" si="1"/>
        <v>0</v>
      </c>
      <c r="M20" s="84">
        <f t="shared" si="2"/>
        <v>0</v>
      </c>
    </row>
    <row r="21" spans="1:13" ht="11.25">
      <c r="A21" s="64">
        <f t="shared" si="3"/>
        <v>4.774288559969841E-06</v>
      </c>
      <c r="B21" s="64">
        <f t="shared" si="4"/>
        <v>2.975019783185449E-06</v>
      </c>
      <c r="D21" s="64">
        <f t="shared" si="5"/>
        <v>0</v>
      </c>
      <c r="E21" s="64">
        <f t="shared" si="6"/>
        <v>0</v>
      </c>
      <c r="F21" s="64">
        <f t="shared" si="7"/>
        <v>4.774288559969841E-06</v>
      </c>
      <c r="G21" s="64">
        <f t="shared" si="8"/>
        <v>2.975019783185449E-06</v>
      </c>
      <c r="I21" s="71">
        <f t="shared" si="10"/>
        <v>3.019951720402018</v>
      </c>
      <c r="J21" s="71">
        <f t="shared" si="9"/>
        <v>95237197.45459804</v>
      </c>
      <c r="K21" s="75">
        <f t="shared" si="0"/>
        <v>0</v>
      </c>
      <c r="L21" s="83">
        <f t="shared" si="1"/>
        <v>0</v>
      </c>
      <c r="M21" s="84">
        <f t="shared" si="2"/>
        <v>0</v>
      </c>
    </row>
    <row r="22" spans="1:13" ht="11.25">
      <c r="A22" s="64">
        <f t="shared" si="3"/>
        <v>0.0001926148056178224</v>
      </c>
      <c r="B22" s="64">
        <f t="shared" si="4"/>
        <v>5.562831737605175E-06</v>
      </c>
      <c r="D22" s="64">
        <f t="shared" si="5"/>
        <v>0</v>
      </c>
      <c r="E22" s="64">
        <f t="shared" si="6"/>
        <v>0</v>
      </c>
      <c r="F22" s="64">
        <f t="shared" si="7"/>
        <v>0.0001926148056178224</v>
      </c>
      <c r="G22" s="64">
        <f t="shared" si="8"/>
        <v>5.562831737605175E-06</v>
      </c>
      <c r="I22" s="71">
        <f t="shared" si="10"/>
        <v>3.4673685045253184</v>
      </c>
      <c r="J22" s="71">
        <f t="shared" si="9"/>
        <v>109346933.15871044</v>
      </c>
      <c r="K22" s="75">
        <f t="shared" si="0"/>
        <v>0</v>
      </c>
      <c r="L22" s="83">
        <f t="shared" si="1"/>
        <v>0</v>
      </c>
      <c r="M22" s="84">
        <f t="shared" si="2"/>
        <v>0</v>
      </c>
    </row>
    <row r="23" spans="1:13" ht="11.25">
      <c r="A23" s="64">
        <f t="shared" si="3"/>
        <v>0.00043972522168525725</v>
      </c>
      <c r="B23" s="64">
        <f t="shared" si="4"/>
        <v>6.628304600023476E-06</v>
      </c>
      <c r="D23" s="64">
        <f t="shared" si="5"/>
        <v>0</v>
      </c>
      <c r="E23" s="64">
        <f t="shared" si="6"/>
        <v>0</v>
      </c>
      <c r="F23" s="64">
        <f t="shared" si="7"/>
        <v>0.00043972522168525725</v>
      </c>
      <c r="G23" s="64">
        <f t="shared" si="8"/>
        <v>6.628304600023476E-06</v>
      </c>
      <c r="I23" s="71">
        <f t="shared" si="10"/>
        <v>3.981071705534975</v>
      </c>
      <c r="J23" s="71">
        <f t="shared" si="9"/>
        <v>125547077.30575098</v>
      </c>
      <c r="K23" s="75">
        <f t="shared" si="0"/>
        <v>0</v>
      </c>
      <c r="L23" s="83">
        <f t="shared" si="1"/>
        <v>0</v>
      </c>
      <c r="M23" s="84">
        <f t="shared" si="2"/>
        <v>0</v>
      </c>
    </row>
    <row r="24" spans="1:13" ht="11.25">
      <c r="A24" s="64">
        <f t="shared" si="3"/>
        <v>0.0006691119638723257</v>
      </c>
      <c r="B24" s="64">
        <f t="shared" si="4"/>
        <v>7.280661172078701E-06</v>
      </c>
      <c r="D24" s="64">
        <f t="shared" si="5"/>
        <v>0</v>
      </c>
      <c r="E24" s="64">
        <f t="shared" si="6"/>
        <v>0</v>
      </c>
      <c r="F24" s="64">
        <f t="shared" si="7"/>
        <v>0.0006691119638723257</v>
      </c>
      <c r="G24" s="64">
        <f t="shared" si="8"/>
        <v>7.280661172078701E-06</v>
      </c>
      <c r="I24" s="71">
        <f t="shared" si="10"/>
        <v>4.570881896148753</v>
      </c>
      <c r="J24" s="71">
        <f t="shared" si="9"/>
        <v>144147331.47694707</v>
      </c>
      <c r="K24" s="75">
        <f t="shared" si="0"/>
        <v>0</v>
      </c>
      <c r="L24" s="83">
        <f t="shared" si="1"/>
        <v>0</v>
      </c>
      <c r="M24" s="84">
        <f t="shared" si="2"/>
        <v>0</v>
      </c>
    </row>
    <row r="25" spans="1:13" ht="11.25">
      <c r="A25" s="64">
        <f t="shared" si="3"/>
        <v>0.0010081450843784914</v>
      </c>
      <c r="B25" s="64">
        <f t="shared" si="4"/>
        <v>1.7600542858086412E-05</v>
      </c>
      <c r="D25" s="64">
        <f t="shared" si="5"/>
        <v>0</v>
      </c>
      <c r="E25" s="64">
        <f t="shared" si="6"/>
        <v>0</v>
      </c>
      <c r="F25" s="64">
        <f t="shared" si="7"/>
        <v>0.0010081450843784914</v>
      </c>
      <c r="G25" s="64">
        <f t="shared" si="8"/>
        <v>1.7600542858086412E-05</v>
      </c>
      <c r="I25" s="71">
        <f t="shared" si="10"/>
        <v>5.24807460249773</v>
      </c>
      <c r="J25" s="71">
        <f t="shared" si="9"/>
        <v>165503280.6643684</v>
      </c>
      <c r="K25" s="75">
        <f t="shared" si="0"/>
        <v>0</v>
      </c>
      <c r="L25" s="83">
        <f t="shared" si="1"/>
        <v>0</v>
      </c>
      <c r="M25" s="84">
        <f t="shared" si="2"/>
        <v>0</v>
      </c>
    </row>
    <row r="26" spans="1:13" ht="11.25">
      <c r="A26" s="64">
        <f t="shared" si="3"/>
        <v>0.0022889040147008595</v>
      </c>
      <c r="B26" s="64">
        <f t="shared" si="4"/>
        <v>6.384271515883011E-05</v>
      </c>
      <c r="D26" s="64">
        <f t="shared" si="5"/>
        <v>0</v>
      </c>
      <c r="E26" s="64">
        <f t="shared" si="6"/>
        <v>0</v>
      </c>
      <c r="F26" s="64">
        <f t="shared" si="7"/>
        <v>0.0022889040147008595</v>
      </c>
      <c r="G26" s="64">
        <f t="shared" si="8"/>
        <v>6.384271515883011E-05</v>
      </c>
      <c r="I26" s="71">
        <f t="shared" si="10"/>
        <v>6.025595860743582</v>
      </c>
      <c r="J26" s="71">
        <f t="shared" si="9"/>
        <v>190023191.0644096</v>
      </c>
      <c r="K26" s="75">
        <f t="shared" si="0"/>
        <v>0</v>
      </c>
      <c r="L26" s="83">
        <f t="shared" si="1"/>
        <v>0</v>
      </c>
      <c r="M26" s="84">
        <f t="shared" si="2"/>
        <v>0</v>
      </c>
    </row>
    <row r="27" spans="1:13" ht="11.25">
      <c r="A27" s="64">
        <f t="shared" si="3"/>
        <v>0.006734315886387471</v>
      </c>
      <c r="B27" s="64">
        <f t="shared" si="4"/>
        <v>0.00019243491292625495</v>
      </c>
      <c r="D27" s="64">
        <f t="shared" si="5"/>
        <v>0</v>
      </c>
      <c r="E27" s="64">
        <f t="shared" si="6"/>
        <v>0</v>
      </c>
      <c r="F27" s="64">
        <f t="shared" si="7"/>
        <v>0.006734315886387471</v>
      </c>
      <c r="G27" s="64">
        <f t="shared" si="8"/>
        <v>0.00019243491292625495</v>
      </c>
      <c r="I27" s="71">
        <f t="shared" si="10"/>
        <v>6.918309709189371</v>
      </c>
      <c r="J27" s="71">
        <f t="shared" si="9"/>
        <v>218175814.98899603</v>
      </c>
      <c r="K27" s="75">
        <f t="shared" si="0"/>
        <v>0</v>
      </c>
      <c r="L27" s="83">
        <f t="shared" si="1"/>
        <v>0</v>
      </c>
      <c r="M27" s="84">
        <f t="shared" si="2"/>
        <v>0</v>
      </c>
    </row>
    <row r="28" spans="1:13" ht="11.25">
      <c r="A28" s="64">
        <f t="shared" si="3"/>
        <v>0.01855622279393029</v>
      </c>
      <c r="B28" s="64">
        <f t="shared" si="4"/>
        <v>0.00046633746022480726</v>
      </c>
      <c r="D28" s="64">
        <f t="shared" si="5"/>
        <v>0</v>
      </c>
      <c r="E28" s="64">
        <f t="shared" si="6"/>
        <v>0</v>
      </c>
      <c r="F28" s="64">
        <f t="shared" si="7"/>
        <v>0.01855622279393029</v>
      </c>
      <c r="G28" s="64">
        <f t="shared" si="8"/>
        <v>0.00046633746022480726</v>
      </c>
      <c r="I28" s="71">
        <f t="shared" si="10"/>
        <v>7.943282347242823</v>
      </c>
      <c r="J28" s="71">
        <f t="shared" si="9"/>
        <v>250499352.10264966</v>
      </c>
      <c r="K28" s="75">
        <f t="shared" si="0"/>
        <v>0</v>
      </c>
      <c r="L28" s="83">
        <f t="shared" si="1"/>
        <v>0</v>
      </c>
      <c r="M28" s="84">
        <f t="shared" si="2"/>
        <v>0</v>
      </c>
    </row>
    <row r="29" spans="1:13" ht="11.25">
      <c r="A29" s="64">
        <f t="shared" si="3"/>
        <v>0.04406954770397071</v>
      </c>
      <c r="B29" s="64">
        <f t="shared" si="4"/>
        <v>0.0009519351443727644</v>
      </c>
      <c r="D29" s="64">
        <f t="shared" si="5"/>
        <v>0</v>
      </c>
      <c r="E29" s="64">
        <f t="shared" si="6"/>
        <v>0</v>
      </c>
      <c r="F29" s="64">
        <f t="shared" si="7"/>
        <v>0.04406954770397071</v>
      </c>
      <c r="G29" s="64">
        <f t="shared" si="8"/>
        <v>0.0009519351443727644</v>
      </c>
      <c r="I29" s="71">
        <f t="shared" si="10"/>
        <v>9.120108393559107</v>
      </c>
      <c r="J29" s="71">
        <f t="shared" si="9"/>
        <v>287611738.29928</v>
      </c>
      <c r="K29" s="75">
        <f t="shared" si="0"/>
        <v>0</v>
      </c>
      <c r="L29" s="83">
        <f t="shared" si="1"/>
        <v>0</v>
      </c>
      <c r="M29" s="84">
        <f t="shared" si="2"/>
        <v>0</v>
      </c>
    </row>
    <row r="30" spans="1:13" ht="11.25">
      <c r="A30" s="64">
        <f t="shared" si="3"/>
        <v>0.09099083736528363</v>
      </c>
      <c r="B30" s="64">
        <f t="shared" si="4"/>
        <v>0.0016991949969626023</v>
      </c>
      <c r="D30" s="64">
        <f t="shared" si="5"/>
        <v>0</v>
      </c>
      <c r="E30" s="64">
        <f t="shared" si="6"/>
        <v>0</v>
      </c>
      <c r="F30" s="64">
        <f t="shared" si="7"/>
        <v>0.09099083736528363</v>
      </c>
      <c r="G30" s="64">
        <f t="shared" si="8"/>
        <v>0.0016991949969626023</v>
      </c>
      <c r="I30" s="71">
        <f t="shared" si="10"/>
        <v>10.471285480509007</v>
      </c>
      <c r="J30" s="71">
        <f t="shared" si="9"/>
        <v>330222458.913332</v>
      </c>
      <c r="K30" s="75">
        <f t="shared" si="0"/>
        <v>0</v>
      </c>
      <c r="L30" s="83">
        <f t="shared" si="1"/>
        <v>0</v>
      </c>
      <c r="M30" s="84">
        <f t="shared" si="2"/>
        <v>0</v>
      </c>
    </row>
    <row r="31" spans="1:13" ht="11.25">
      <c r="A31" s="64">
        <f t="shared" si="3"/>
        <v>0.16686479300916368</v>
      </c>
      <c r="B31" s="64">
        <f t="shared" si="4"/>
        <v>0.0027219110918960485</v>
      </c>
      <c r="D31" s="64">
        <f t="shared" si="5"/>
        <v>0</v>
      </c>
      <c r="E31" s="64">
        <f t="shared" si="6"/>
        <v>0</v>
      </c>
      <c r="F31" s="64">
        <f t="shared" si="7"/>
        <v>0.16686479300916368</v>
      </c>
      <c r="G31" s="64">
        <f t="shared" si="8"/>
        <v>0.0027219110918960485</v>
      </c>
      <c r="I31" s="71">
        <f t="shared" si="10"/>
        <v>12.022644346174143</v>
      </c>
      <c r="J31" s="71">
        <f t="shared" si="9"/>
        <v>379146112.10094774</v>
      </c>
      <c r="K31" s="75">
        <f t="shared" si="0"/>
        <v>0</v>
      </c>
      <c r="L31" s="83">
        <f t="shared" si="1"/>
        <v>0</v>
      </c>
      <c r="M31" s="84">
        <f t="shared" si="2"/>
        <v>0</v>
      </c>
    </row>
    <row r="32" spans="1:13" ht="11.25">
      <c r="A32" s="64">
        <f t="shared" si="3"/>
        <v>0.27694947453804014</v>
      </c>
      <c r="B32" s="64">
        <f t="shared" si="4"/>
        <v>0.003986027354696719</v>
      </c>
      <c r="D32" s="64">
        <f t="shared" si="5"/>
        <v>0</v>
      </c>
      <c r="E32" s="64">
        <f t="shared" si="6"/>
        <v>0</v>
      </c>
      <c r="F32" s="64">
        <f t="shared" si="7"/>
        <v>0.27694947453804014</v>
      </c>
      <c r="G32" s="64">
        <f t="shared" si="8"/>
        <v>0.003986027354696719</v>
      </c>
      <c r="I32" s="71">
        <f t="shared" si="10"/>
        <v>13.803842646028865</v>
      </c>
      <c r="J32" s="71">
        <f t="shared" si="9"/>
        <v>435317981.6851663</v>
      </c>
      <c r="K32" s="75">
        <f t="shared" si="0"/>
        <v>0</v>
      </c>
      <c r="L32" s="83">
        <f t="shared" si="1"/>
        <v>0</v>
      </c>
      <c r="M32" s="84">
        <f t="shared" si="2"/>
        <v>0</v>
      </c>
    </row>
    <row r="33" spans="1:13" ht="11.25">
      <c r="A33" s="64">
        <f t="shared" si="3"/>
        <v>0.4222078400677031</v>
      </c>
      <c r="B33" s="64">
        <f t="shared" si="4"/>
        <v>0.005411403473615011</v>
      </c>
      <c r="D33" s="64">
        <f t="shared" si="5"/>
        <v>0</v>
      </c>
      <c r="E33" s="64">
        <f t="shared" si="6"/>
        <v>0</v>
      </c>
      <c r="F33" s="64">
        <f t="shared" si="7"/>
        <v>0.4222078400677031</v>
      </c>
      <c r="G33" s="64">
        <f t="shared" si="8"/>
        <v>0.005411403473615011</v>
      </c>
      <c r="I33" s="71">
        <f t="shared" si="10"/>
        <v>15.848931924611156</v>
      </c>
      <c r="J33" s="71">
        <f t="shared" si="9"/>
        <v>499811917.17453736</v>
      </c>
      <c r="K33" s="75">
        <f t="shared" si="0"/>
        <v>0</v>
      </c>
      <c r="L33" s="83">
        <f t="shared" si="1"/>
        <v>0</v>
      </c>
      <c r="M33" s="84">
        <f t="shared" si="2"/>
        <v>0</v>
      </c>
    </row>
    <row r="34" spans="1:13" ht="11.25">
      <c r="A34" s="64">
        <f t="shared" si="3"/>
        <v>0.5981327255862923</v>
      </c>
      <c r="B34" s="64">
        <f t="shared" si="4"/>
        <v>0.006887191827841384</v>
      </c>
      <c r="D34" s="64">
        <f t="shared" si="5"/>
        <v>0</v>
      </c>
      <c r="E34" s="64">
        <f t="shared" si="6"/>
        <v>0</v>
      </c>
      <c r="F34" s="64">
        <f t="shared" si="7"/>
        <v>0.5981327255862923</v>
      </c>
      <c r="G34" s="64">
        <f t="shared" si="8"/>
        <v>0.006887191827841384</v>
      </c>
      <c r="I34" s="71">
        <f t="shared" si="10"/>
        <v>18.19700858609986</v>
      </c>
      <c r="J34" s="71">
        <f t="shared" si="9"/>
        <v>573860862.7712451</v>
      </c>
      <c r="K34" s="75">
        <f t="shared" si="0"/>
        <v>0</v>
      </c>
      <c r="L34" s="83">
        <f t="shared" si="1"/>
        <v>0</v>
      </c>
      <c r="M34" s="84">
        <f t="shared" si="2"/>
        <v>0</v>
      </c>
    </row>
    <row r="35" spans="1:13" ht="11.25">
      <c r="A35" s="64">
        <f t="shared" si="3"/>
        <v>0.7949128428514021</v>
      </c>
      <c r="B35" s="64">
        <f t="shared" si="4"/>
        <v>0.00829576533847421</v>
      </c>
      <c r="D35" s="64">
        <f t="shared" si="5"/>
        <v>0</v>
      </c>
      <c r="E35" s="64">
        <f t="shared" si="6"/>
        <v>0</v>
      </c>
      <c r="F35" s="64">
        <f t="shared" si="7"/>
        <v>0.7949128428514021</v>
      </c>
      <c r="G35" s="64">
        <f t="shared" si="8"/>
        <v>0.00829576533847421</v>
      </c>
      <c r="I35" s="71">
        <f t="shared" si="10"/>
        <v>20.892961308540425</v>
      </c>
      <c r="J35" s="71">
        <f t="shared" si="9"/>
        <v>658880427.8261309</v>
      </c>
      <c r="K35" s="75">
        <f t="shared" si="0"/>
        <v>0</v>
      </c>
      <c r="L35" s="83">
        <f t="shared" si="1"/>
        <v>0</v>
      </c>
      <c r="M35" s="84">
        <f t="shared" si="2"/>
        <v>0</v>
      </c>
    </row>
    <row r="36" spans="1:13" ht="11.25">
      <c r="A36" s="64">
        <f t="shared" si="3"/>
        <v>0.9990069955547548</v>
      </c>
      <c r="B36" s="64">
        <f t="shared" si="4"/>
        <v>0.009537256997765859</v>
      </c>
      <c r="D36" s="64">
        <f t="shared" si="5"/>
        <v>0</v>
      </c>
      <c r="E36" s="64">
        <f t="shared" si="6"/>
        <v>0</v>
      </c>
      <c r="F36" s="64">
        <f t="shared" si="7"/>
        <v>0.9990069955547548</v>
      </c>
      <c r="G36" s="64">
        <f t="shared" si="8"/>
        <v>0.009537256997765859</v>
      </c>
      <c r="I36" s="71">
        <f t="shared" si="10"/>
        <v>23.98832919019494</v>
      </c>
      <c r="J36" s="71">
        <f t="shared" si="9"/>
        <v>756495949.3419876</v>
      </c>
      <c r="K36" s="75">
        <f t="shared" si="0"/>
        <v>0</v>
      </c>
      <c r="L36" s="83">
        <f t="shared" si="1"/>
        <v>0</v>
      </c>
      <c r="M36" s="84">
        <f t="shared" si="2"/>
        <v>0</v>
      </c>
    </row>
    <row r="37" spans="1:13" ht="11.25">
      <c r="A37" s="64">
        <f t="shared" si="3"/>
        <v>1.1957112912942496</v>
      </c>
      <c r="B37" s="64">
        <f t="shared" si="4"/>
        <v>0.010547262789454406</v>
      </c>
      <c r="D37" s="64">
        <f t="shared" si="5"/>
        <v>0</v>
      </c>
      <c r="E37" s="64">
        <f t="shared" si="6"/>
        <v>0</v>
      </c>
      <c r="F37" s="64">
        <f t="shared" si="7"/>
        <v>1.1957112912942496</v>
      </c>
      <c r="G37" s="64">
        <f t="shared" si="8"/>
        <v>0.010547262789454406</v>
      </c>
      <c r="I37" s="71">
        <f t="shared" si="10"/>
        <v>27.542287033381704</v>
      </c>
      <c r="J37" s="71">
        <f t="shared" si="9"/>
        <v>868573563.8847256</v>
      </c>
      <c r="K37" s="75">
        <f t="shared" si="0"/>
        <v>0</v>
      </c>
      <c r="L37" s="83">
        <f t="shared" si="1"/>
        <v>0</v>
      </c>
      <c r="M37" s="84">
        <f t="shared" si="2"/>
        <v>0</v>
      </c>
    </row>
    <row r="38" spans="1:13" ht="11.25">
      <c r="A38" s="64">
        <f t="shared" si="3"/>
        <v>1.371974115448709</v>
      </c>
      <c r="B38" s="64">
        <f t="shared" si="4"/>
        <v>0.011303484881214198</v>
      </c>
      <c r="D38" s="64">
        <f t="shared" si="5"/>
        <v>0</v>
      </c>
      <c r="E38" s="64">
        <f t="shared" si="6"/>
        <v>0</v>
      </c>
      <c r="F38" s="64">
        <f t="shared" si="7"/>
        <v>1.371974115448709</v>
      </c>
      <c r="G38" s="64">
        <f t="shared" si="8"/>
        <v>0.011303484881214198</v>
      </c>
      <c r="I38" s="71">
        <f t="shared" si="10"/>
        <v>31.622776601683842</v>
      </c>
      <c r="J38" s="71">
        <f t="shared" si="9"/>
        <v>997255882.9107016</v>
      </c>
      <c r="K38" s="75">
        <f t="shared" si="0"/>
        <v>0</v>
      </c>
      <c r="L38" s="83">
        <f t="shared" si="1"/>
        <v>0</v>
      </c>
      <c r="M38" s="84">
        <f t="shared" si="2"/>
        <v>0</v>
      </c>
    </row>
    <row r="39" spans="1:13" ht="11.25">
      <c r="A39" s="64">
        <f t="shared" si="3"/>
        <v>1.5186600550460891</v>
      </c>
      <c r="B39" s="64">
        <f t="shared" si="4"/>
        <v>0.011821336214758055</v>
      </c>
      <c r="D39" s="64">
        <f t="shared" si="5"/>
        <v>0</v>
      </c>
      <c r="E39" s="64">
        <f t="shared" si="6"/>
        <v>0</v>
      </c>
      <c r="F39" s="64">
        <f t="shared" si="7"/>
        <v>1.5186600550460891</v>
      </c>
      <c r="G39" s="64">
        <f t="shared" si="8"/>
        <v>0.011821336214758055</v>
      </c>
      <c r="I39" s="71">
        <f t="shared" si="10"/>
        <v>36.30780547701019</v>
      </c>
      <c r="J39" s="71">
        <f t="shared" si="9"/>
        <v>1145002953.5229933</v>
      </c>
      <c r="K39" s="75">
        <f t="shared" si="0"/>
        <v>0</v>
      </c>
      <c r="L39" s="83">
        <f t="shared" si="1"/>
        <v>0</v>
      </c>
      <c r="M39" s="84">
        <f t="shared" si="2"/>
        <v>0</v>
      </c>
    </row>
    <row r="40" spans="1:13" ht="11.25">
      <c r="A40" s="64">
        <f t="shared" si="3"/>
        <v>1.6316922347243472</v>
      </c>
      <c r="B40" s="64">
        <f t="shared" si="4"/>
        <v>0.012141970450931605</v>
      </c>
      <c r="D40" s="64">
        <f t="shared" si="5"/>
        <v>0</v>
      </c>
      <c r="E40" s="64">
        <f t="shared" si="6"/>
        <v>0</v>
      </c>
      <c r="F40" s="64">
        <f t="shared" si="7"/>
        <v>1.6316922347243472</v>
      </c>
      <c r="G40" s="64">
        <f t="shared" si="8"/>
        <v>0.012141970450931605</v>
      </c>
      <c r="I40" s="71">
        <f t="shared" si="10"/>
        <v>41.68693834703361</v>
      </c>
      <c r="J40" s="71">
        <f t="shared" si="9"/>
        <v>1314639287.7120519</v>
      </c>
      <c r="K40" s="75">
        <f t="shared" si="0"/>
        <v>0</v>
      </c>
      <c r="L40" s="83">
        <f t="shared" si="1"/>
        <v>0</v>
      </c>
      <c r="M40" s="84">
        <f t="shared" si="2"/>
        <v>0</v>
      </c>
    </row>
    <row r="41" spans="1:13" ht="11.25">
      <c r="A41" s="64">
        <f t="shared" si="3"/>
        <v>1.7119056316798766</v>
      </c>
      <c r="B41" s="64">
        <f t="shared" si="4"/>
        <v>0.012317722917705061</v>
      </c>
      <c r="D41" s="64">
        <f t="shared" si="5"/>
        <v>0</v>
      </c>
      <c r="E41" s="64">
        <f t="shared" si="6"/>
        <v>0</v>
      </c>
      <c r="F41" s="64">
        <f t="shared" si="7"/>
        <v>1.7119056316798766</v>
      </c>
      <c r="G41" s="64">
        <f t="shared" si="8"/>
        <v>0.012317722917705061</v>
      </c>
      <c r="I41" s="71">
        <f t="shared" si="10"/>
        <v>47.86300923226392</v>
      </c>
      <c r="J41" s="71">
        <f t="shared" si="9"/>
        <v>1509407859.148675</v>
      </c>
      <c r="K41" s="75">
        <f t="shared" si="0"/>
        <v>0</v>
      </c>
      <c r="L41" s="83">
        <f t="shared" si="1"/>
        <v>0</v>
      </c>
      <c r="M41" s="84">
        <f t="shared" si="2"/>
        <v>0</v>
      </c>
    </row>
    <row r="42" spans="1:13" ht="11.25">
      <c r="A42" s="64">
        <f t="shared" si="3"/>
        <v>1.7638556739437299</v>
      </c>
      <c r="B42" s="64">
        <f t="shared" si="4"/>
        <v>0.012399441157557785</v>
      </c>
      <c r="D42" s="64">
        <f t="shared" si="5"/>
        <v>0</v>
      </c>
      <c r="E42" s="64">
        <f t="shared" si="6"/>
        <v>0</v>
      </c>
      <c r="F42" s="64">
        <f t="shared" si="7"/>
        <v>1.7638556739437299</v>
      </c>
      <c r="G42" s="64">
        <f t="shared" si="8"/>
        <v>0.012399441157557785</v>
      </c>
      <c r="I42" s="71">
        <f t="shared" si="10"/>
        <v>54.954087385762556</v>
      </c>
      <c r="J42" s="71">
        <f t="shared" si="9"/>
        <v>1733032099.797408</v>
      </c>
      <c r="K42" s="75">
        <f t="shared" si="0"/>
        <v>0</v>
      </c>
      <c r="L42" s="83">
        <f t="shared" si="1"/>
        <v>0</v>
      </c>
      <c r="M42" s="84">
        <f t="shared" si="2"/>
        <v>0</v>
      </c>
    </row>
    <row r="43" spans="1:13" ht="11.25">
      <c r="A43" s="64">
        <f t="shared" si="3"/>
        <v>1.7940951653350774</v>
      </c>
      <c r="B43" s="64">
        <f t="shared" si="4"/>
        <v>0.012428349800275377</v>
      </c>
      <c r="D43" s="64">
        <f t="shared" si="5"/>
        <v>0</v>
      </c>
      <c r="E43" s="64">
        <f t="shared" si="6"/>
        <v>0</v>
      </c>
      <c r="F43" s="64">
        <f t="shared" si="7"/>
        <v>1.7940951653350774</v>
      </c>
      <c r="G43" s="64">
        <f t="shared" si="8"/>
        <v>0.012428349800275377</v>
      </c>
      <c r="I43" s="71">
        <f t="shared" si="10"/>
        <v>63.09573444801944</v>
      </c>
      <c r="J43" s="71">
        <f t="shared" si="9"/>
        <v>1989787081.552741</v>
      </c>
      <c r="K43" s="75">
        <f t="shared" si="0"/>
        <v>0</v>
      </c>
      <c r="L43" s="83">
        <f t="shared" si="1"/>
        <v>0</v>
      </c>
      <c r="M43" s="84">
        <f t="shared" si="2"/>
        <v>0</v>
      </c>
    </row>
    <row r="44" spans="1:13" ht="11.25">
      <c r="A44" s="64">
        <f t="shared" si="3"/>
        <v>1.809482873788469</v>
      </c>
      <c r="B44" s="64">
        <f t="shared" si="4"/>
        <v>0.012432953844360523</v>
      </c>
      <c r="D44" s="64">
        <f t="shared" si="5"/>
        <v>0</v>
      </c>
      <c r="E44" s="64">
        <f t="shared" si="6"/>
        <v>0</v>
      </c>
      <c r="F44" s="64">
        <f t="shared" si="7"/>
        <v>1.809482873788469</v>
      </c>
      <c r="G44" s="64">
        <f t="shared" si="8"/>
        <v>0.012432953844360523</v>
      </c>
      <c r="I44" s="71">
        <f t="shared" si="10"/>
        <v>72.44359600749915</v>
      </c>
      <c r="J44" s="71">
        <f t="shared" si="9"/>
        <v>2284581243.6924934</v>
      </c>
      <c r="K44" s="75">
        <f t="shared" si="0"/>
        <v>0</v>
      </c>
      <c r="L44" s="83">
        <f t="shared" si="1"/>
        <v>0</v>
      </c>
      <c r="M44" s="84">
        <f t="shared" si="2"/>
        <v>0</v>
      </c>
    </row>
    <row r="45" spans="1:13" ht="11.25">
      <c r="A45" s="64">
        <f t="shared" si="3"/>
        <v>1.815941396575266</v>
      </c>
      <c r="B45" s="64">
        <f t="shared" si="4"/>
        <v>0.01242987747830721</v>
      </c>
      <c r="D45" s="64">
        <f t="shared" si="5"/>
        <v>0</v>
      </c>
      <c r="E45" s="64">
        <f t="shared" si="6"/>
        <v>0</v>
      </c>
      <c r="F45" s="64">
        <f t="shared" si="7"/>
        <v>1.815941396575266</v>
      </c>
      <c r="G45" s="64">
        <f t="shared" si="8"/>
        <v>0.01242987747830721</v>
      </c>
      <c r="I45" s="71">
        <f t="shared" si="10"/>
        <v>83.17637711026727</v>
      </c>
      <c r="J45" s="71">
        <f t="shared" si="9"/>
        <v>2623050228.549389</v>
      </c>
      <c r="K45" s="75">
        <f aca="true" t="shared" si="11" ref="K45:K63">IF(Solution_type="b",get_Jsol2(Conc_gm/1000/Kd_gm,thick_gm,thick_cl,$J45,x_org,Kd_gm,1,R_cl,D_org*1,D_cl*n,0,Decay_cl,$J$8,1,n),0)</f>
        <v>0</v>
      </c>
      <c r="L45" s="83">
        <f aca="true" t="shared" si="12" ref="L45:L63">IF(Solution_type="b",get_sol2_infin(Conc_gm/Kd_gm,thick_gm,thick_cl,$J45,x_org,Kd_gm,1,R_cl,D_org*1,D_cl*n,0,Decay_cl,$J$8,1,n),0)</f>
        <v>0</v>
      </c>
      <c r="M45" s="84">
        <f aca="true" t="shared" si="13" ref="M45:M63">IF(Solution_type="b",get_Jsol2_infin(Conc_gm/1000/Kd_gm,thick_gm,thick_cl,$J45,x_org,Kd_gm,1,R_cl,D_org*1,D_cl*n,0,Decay_cl,$J$8,1,n),0)</f>
        <v>0</v>
      </c>
    </row>
    <row r="46" spans="1:13" ht="11.25">
      <c r="A46" s="64">
        <f t="shared" si="3"/>
        <v>1.8178359995635784</v>
      </c>
      <c r="B46" s="64">
        <f t="shared" si="4"/>
        <v>0.012426841876278277</v>
      </c>
      <c r="D46" s="64">
        <f t="shared" si="5"/>
        <v>0</v>
      </c>
      <c r="E46" s="64">
        <f t="shared" si="6"/>
        <v>0</v>
      </c>
      <c r="F46" s="64">
        <f t="shared" si="7"/>
        <v>1.8178359995635784</v>
      </c>
      <c r="G46" s="64">
        <f t="shared" si="8"/>
        <v>0.012426841876278277</v>
      </c>
      <c r="I46" s="71">
        <f t="shared" si="10"/>
        <v>95.4992586021438</v>
      </c>
      <c r="J46" s="71">
        <f t="shared" si="9"/>
        <v>3011664619.277207</v>
      </c>
      <c r="K46" s="75">
        <f t="shared" si="11"/>
        <v>0</v>
      </c>
      <c r="L46" s="83">
        <f t="shared" si="12"/>
        <v>0</v>
      </c>
      <c r="M46" s="84">
        <f t="shared" si="13"/>
        <v>0</v>
      </c>
    </row>
    <row r="47" spans="1:13" ht="11.25">
      <c r="A47" s="64">
        <f t="shared" si="3"/>
        <v>1.817914184423876</v>
      </c>
      <c r="B47" s="64">
        <f t="shared" si="4"/>
        <v>0.012426116359118992</v>
      </c>
      <c r="D47" s="64">
        <f t="shared" si="5"/>
        <v>0</v>
      </c>
      <c r="E47" s="64">
        <f t="shared" si="6"/>
        <v>0</v>
      </c>
      <c r="F47" s="64">
        <f t="shared" si="7"/>
        <v>1.817914184423876</v>
      </c>
      <c r="G47" s="64">
        <f t="shared" si="8"/>
        <v>0.012426116359118992</v>
      </c>
      <c r="I47" s="71">
        <f t="shared" si="10"/>
        <v>109.64781961431873</v>
      </c>
      <c r="J47" s="71">
        <f t="shared" si="9"/>
        <v>3457853639.357156</v>
      </c>
      <c r="K47" s="75">
        <f t="shared" si="11"/>
        <v>0</v>
      </c>
      <c r="L47" s="83">
        <f t="shared" si="12"/>
        <v>0</v>
      </c>
      <c r="M47" s="84">
        <f t="shared" si="13"/>
        <v>0</v>
      </c>
    </row>
    <row r="48" spans="1:13" ht="11.25">
      <c r="A48" s="64">
        <f t="shared" si="3"/>
        <v>1.81760712791417</v>
      </c>
      <c r="B48" s="64">
        <f t="shared" si="4"/>
        <v>0.012427370777978957</v>
      </c>
      <c r="D48" s="64">
        <f t="shared" si="5"/>
        <v>0</v>
      </c>
      <c r="E48" s="64">
        <f t="shared" si="6"/>
        <v>0</v>
      </c>
      <c r="F48" s="64">
        <f t="shared" si="7"/>
        <v>1.81760712791417</v>
      </c>
      <c r="G48" s="64">
        <f t="shared" si="8"/>
        <v>0.012427370777978957</v>
      </c>
      <c r="I48" s="71">
        <f t="shared" si="10"/>
        <v>125.892541179417</v>
      </c>
      <c r="J48" s="71">
        <f t="shared" si="9"/>
        <v>3970147178.634094</v>
      </c>
      <c r="K48" s="75">
        <f t="shared" si="11"/>
        <v>0</v>
      </c>
      <c r="L48" s="83">
        <f t="shared" si="12"/>
        <v>0</v>
      </c>
      <c r="M48" s="84">
        <f t="shared" si="13"/>
        <v>0</v>
      </c>
    </row>
    <row r="49" spans="1:13" ht="11.25">
      <c r="A49" s="64">
        <f t="shared" si="3"/>
        <v>1.8174681574299958</v>
      </c>
      <c r="B49" s="64">
        <f t="shared" si="4"/>
        <v>0.01242952155892907</v>
      </c>
      <c r="D49" s="64">
        <f t="shared" si="5"/>
        <v>0</v>
      </c>
      <c r="E49" s="64">
        <f t="shared" si="6"/>
        <v>0</v>
      </c>
      <c r="F49" s="64">
        <f t="shared" si="7"/>
        <v>1.8174681574299958</v>
      </c>
      <c r="G49" s="64">
        <f t="shared" si="8"/>
        <v>0.01242952155892907</v>
      </c>
      <c r="I49" s="71">
        <f t="shared" si="10"/>
        <v>144.54397707459307</v>
      </c>
      <c r="J49" s="71">
        <f t="shared" si="9"/>
        <v>4558338861.024367</v>
      </c>
      <c r="K49" s="75">
        <f t="shared" si="11"/>
        <v>0</v>
      </c>
      <c r="L49" s="83">
        <f t="shared" si="12"/>
        <v>0</v>
      </c>
      <c r="M49" s="84">
        <f t="shared" si="13"/>
        <v>0</v>
      </c>
    </row>
    <row r="50" spans="1:13" ht="11.25">
      <c r="A50" s="64">
        <f t="shared" si="3"/>
        <v>1.817578753333726</v>
      </c>
      <c r="B50" s="64">
        <f t="shared" si="4"/>
        <v>0.012431643871529915</v>
      </c>
      <c r="D50" s="64">
        <f t="shared" si="5"/>
        <v>0</v>
      </c>
      <c r="E50" s="64">
        <f t="shared" si="6"/>
        <v>0</v>
      </c>
      <c r="F50" s="64">
        <f t="shared" si="7"/>
        <v>1.817578753333726</v>
      </c>
      <c r="G50" s="64">
        <f t="shared" si="8"/>
        <v>0.012431643871529915</v>
      </c>
      <c r="I50" s="71">
        <f t="shared" si="10"/>
        <v>165.95869074375645</v>
      </c>
      <c r="J50" s="71">
        <f t="shared" si="9"/>
        <v>5233673271.295103</v>
      </c>
      <c r="K50" s="75">
        <f t="shared" si="11"/>
        <v>0</v>
      </c>
      <c r="L50" s="83">
        <f t="shared" si="12"/>
        <v>0</v>
      </c>
      <c r="M50" s="84">
        <f t="shared" si="13"/>
        <v>0</v>
      </c>
    </row>
    <row r="51" spans="1:13" ht="11.25">
      <c r="A51" s="64">
        <f t="shared" si="3"/>
        <v>1.8178379405878566</v>
      </c>
      <c r="B51" s="64">
        <f t="shared" si="4"/>
        <v>0.012433244390955391</v>
      </c>
      <c r="D51" s="64">
        <f t="shared" si="5"/>
        <v>0</v>
      </c>
      <c r="E51" s="64">
        <f t="shared" si="6"/>
        <v>0</v>
      </c>
      <c r="F51" s="64">
        <f t="shared" si="7"/>
        <v>1.8178379405878566</v>
      </c>
      <c r="G51" s="64">
        <f t="shared" si="8"/>
        <v>0.012433244390955391</v>
      </c>
      <c r="I51" s="71">
        <f t="shared" si="10"/>
        <v>190.54607179632518</v>
      </c>
      <c r="J51" s="71">
        <f t="shared" si="9"/>
        <v>6009060920.168911</v>
      </c>
      <c r="K51" s="75">
        <f t="shared" si="11"/>
        <v>0</v>
      </c>
      <c r="L51" s="83">
        <f t="shared" si="12"/>
        <v>0</v>
      </c>
      <c r="M51" s="84">
        <f t="shared" si="13"/>
        <v>0</v>
      </c>
    </row>
    <row r="52" spans="1:13" ht="11.25">
      <c r="A52" s="64">
        <f t="shared" si="3"/>
        <v>1.8181238838902176</v>
      </c>
      <c r="B52" s="64">
        <f t="shared" si="4"/>
        <v>0.012434206293223508</v>
      </c>
      <c r="D52" s="64">
        <f t="shared" si="5"/>
        <v>0</v>
      </c>
      <c r="E52" s="64">
        <f t="shared" si="6"/>
        <v>0</v>
      </c>
      <c r="F52" s="64">
        <f t="shared" si="7"/>
        <v>1.8181238838902176</v>
      </c>
      <c r="G52" s="64">
        <f t="shared" si="8"/>
        <v>0.012434206293223508</v>
      </c>
      <c r="I52" s="71">
        <f t="shared" si="10"/>
        <v>218.7761623949558</v>
      </c>
      <c r="J52" s="71">
        <f t="shared" si="9"/>
        <v>6899325057.287327</v>
      </c>
      <c r="K52" s="75">
        <f t="shared" si="11"/>
        <v>0</v>
      </c>
      <c r="L52" s="83">
        <f t="shared" si="12"/>
        <v>0</v>
      </c>
      <c r="M52" s="84">
        <f t="shared" si="13"/>
        <v>0</v>
      </c>
    </row>
    <row r="53" spans="1:13" ht="11.25">
      <c r="A53" s="64">
        <f t="shared" si="3"/>
        <v>1.818357726135268</v>
      </c>
      <c r="B53" s="64">
        <f t="shared" si="4"/>
        <v>0.012434631286551203</v>
      </c>
      <c r="D53" s="64">
        <f t="shared" si="5"/>
        <v>0</v>
      </c>
      <c r="E53" s="64">
        <f t="shared" si="6"/>
        <v>0</v>
      </c>
      <c r="F53" s="64">
        <f t="shared" si="7"/>
        <v>1.818357726135268</v>
      </c>
      <c r="G53" s="64">
        <f t="shared" si="8"/>
        <v>0.012434631286551203</v>
      </c>
      <c r="I53" s="71">
        <f t="shared" si="10"/>
        <v>251.18864315095865</v>
      </c>
      <c r="J53" s="71">
        <f t="shared" si="9"/>
        <v>7921485050.408631</v>
      </c>
      <c r="K53" s="75">
        <f t="shared" si="11"/>
        <v>0</v>
      </c>
      <c r="L53" s="83">
        <f t="shared" si="12"/>
        <v>0</v>
      </c>
      <c r="M53" s="84">
        <f t="shared" si="13"/>
        <v>0</v>
      </c>
    </row>
    <row r="54" spans="1:13" ht="11.25">
      <c r="A54" s="64">
        <f t="shared" si="3"/>
        <v>1.81851073802475</v>
      </c>
      <c r="B54" s="64">
        <f t="shared" si="4"/>
        <v>0.01243469766413259</v>
      </c>
      <c r="D54" s="64">
        <f t="shared" si="5"/>
        <v>0</v>
      </c>
      <c r="E54" s="64">
        <f t="shared" si="6"/>
        <v>0</v>
      </c>
      <c r="F54" s="64">
        <f t="shared" si="7"/>
        <v>1.81851073802475</v>
      </c>
      <c r="G54" s="64">
        <f t="shared" si="8"/>
        <v>0.01243469766413259</v>
      </c>
      <c r="I54" s="71">
        <f t="shared" si="10"/>
        <v>288.40315031266135</v>
      </c>
      <c r="J54" s="71">
        <f t="shared" si="9"/>
        <v>9095081748.26009</v>
      </c>
      <c r="K54" s="75">
        <f t="shared" si="11"/>
        <v>0</v>
      </c>
      <c r="L54" s="83">
        <f t="shared" si="12"/>
        <v>0</v>
      </c>
      <c r="M54" s="84">
        <f t="shared" si="13"/>
        <v>0</v>
      </c>
    </row>
    <row r="55" spans="1:13" ht="11.25">
      <c r="A55" s="64">
        <f t="shared" si="3"/>
        <v>1.8185883602014712</v>
      </c>
      <c r="B55" s="64">
        <f t="shared" si="4"/>
        <v>0.012434573257798051</v>
      </c>
      <c r="D55" s="64">
        <f t="shared" si="5"/>
        <v>0</v>
      </c>
      <c r="E55" s="64">
        <f t="shared" si="6"/>
        <v>0</v>
      </c>
      <c r="F55" s="64">
        <f t="shared" si="7"/>
        <v>1.8185883602014712</v>
      </c>
      <c r="G55" s="64">
        <f t="shared" si="8"/>
        <v>0.012434573257798051</v>
      </c>
      <c r="I55" s="71">
        <f t="shared" si="10"/>
        <v>331.131121482592</v>
      </c>
      <c r="J55" s="71">
        <f t="shared" si="9"/>
        <v>10442551047.07502</v>
      </c>
      <c r="K55" s="75">
        <f t="shared" si="11"/>
        <v>0</v>
      </c>
      <c r="L55" s="83">
        <f t="shared" si="12"/>
        <v>0</v>
      </c>
      <c r="M55" s="84">
        <f t="shared" si="13"/>
        <v>0</v>
      </c>
    </row>
    <row r="56" spans="1:13" ht="11.25">
      <c r="A56" s="64">
        <f t="shared" si="3"/>
        <v>1.8186113280623752</v>
      </c>
      <c r="B56" s="64">
        <f>Twolay_Flux+Twolay_defect_flux</f>
        <v>0.012434379544543255</v>
      </c>
      <c r="D56" s="64">
        <f t="shared" si="5"/>
        <v>0</v>
      </c>
      <c r="E56" s="64">
        <f t="shared" si="6"/>
        <v>0</v>
      </c>
      <c r="F56" s="64">
        <f t="shared" si="7"/>
        <v>1.8186113280623752</v>
      </c>
      <c r="G56" s="64">
        <f t="shared" si="8"/>
        <v>0.012434379544543255</v>
      </c>
      <c r="I56" s="71">
        <f>I55*tscale</f>
        <v>380.18939632056225</v>
      </c>
      <c r="J56" s="71">
        <f t="shared" si="9"/>
        <v>11989652802.365252</v>
      </c>
      <c r="K56" s="75">
        <f t="shared" si="11"/>
        <v>0</v>
      </c>
      <c r="L56" s="83">
        <f t="shared" si="12"/>
        <v>0</v>
      </c>
      <c r="M56" s="84">
        <f t="shared" si="13"/>
        <v>0</v>
      </c>
    </row>
    <row r="57" spans="1:13" ht="11.25">
      <c r="A57" s="64">
        <f t="shared" si="3"/>
        <v>1.81860229155801</v>
      </c>
      <c r="B57" s="64">
        <f t="shared" si="4"/>
        <v>0.012434188119322391</v>
      </c>
      <c r="D57" s="64">
        <f t="shared" si="5"/>
        <v>0</v>
      </c>
      <c r="E57" s="64">
        <f t="shared" si="6"/>
        <v>0</v>
      </c>
      <c r="F57" s="64">
        <f t="shared" si="7"/>
        <v>1.81860229155801</v>
      </c>
      <c r="G57" s="64">
        <f t="shared" si="8"/>
        <v>0.012434188119322391</v>
      </c>
      <c r="I57" s="71">
        <f t="shared" si="10"/>
        <v>436.5158322401672</v>
      </c>
      <c r="J57" s="71">
        <f t="shared" si="9"/>
        <v>13765963285.525913</v>
      </c>
      <c r="K57" s="75">
        <f t="shared" si="11"/>
        <v>0</v>
      </c>
      <c r="L57" s="83">
        <f t="shared" si="12"/>
        <v>0</v>
      </c>
      <c r="M57" s="84">
        <f t="shared" si="13"/>
        <v>0</v>
      </c>
    </row>
    <row r="58" spans="1:13" ht="11.25">
      <c r="A58" s="64">
        <f t="shared" si="3"/>
        <v>1.8185791771174202</v>
      </c>
      <c r="B58" s="64">
        <f t="shared" si="4"/>
        <v>0.012434031874998096</v>
      </c>
      <c r="D58" s="64">
        <f t="shared" si="5"/>
        <v>0</v>
      </c>
      <c r="E58" s="64">
        <f t="shared" si="6"/>
        <v>0</v>
      </c>
      <c r="F58" s="64">
        <f t="shared" si="7"/>
        <v>1.8185791771174202</v>
      </c>
      <c r="G58" s="64">
        <f t="shared" si="8"/>
        <v>0.012434031874998096</v>
      </c>
      <c r="I58" s="71">
        <f t="shared" si="10"/>
        <v>501.1872336272737</v>
      </c>
      <c r="J58" s="71">
        <f t="shared" si="9"/>
        <v>15805440599.669704</v>
      </c>
      <c r="K58" s="75">
        <f t="shared" si="11"/>
        <v>0</v>
      </c>
      <c r="L58" s="83">
        <f t="shared" si="12"/>
        <v>0</v>
      </c>
      <c r="M58" s="84">
        <f t="shared" si="13"/>
        <v>0</v>
      </c>
    </row>
    <row r="59" spans="1:13" ht="11.25">
      <c r="A59" s="64">
        <f t="shared" si="3"/>
        <v>1.818553462095188</v>
      </c>
      <c r="B59" s="64">
        <f t="shared" si="4"/>
        <v>0.012433919148781834</v>
      </c>
      <c r="D59" s="64">
        <f t="shared" si="5"/>
        <v>0</v>
      </c>
      <c r="E59" s="64">
        <f t="shared" si="6"/>
        <v>0</v>
      </c>
      <c r="F59" s="64">
        <f t="shared" si="7"/>
        <v>1.818553462095188</v>
      </c>
      <c r="G59" s="64">
        <f t="shared" si="8"/>
        <v>0.012433919148781834</v>
      </c>
      <c r="I59" s="71">
        <f t="shared" si="10"/>
        <v>575.4399373371587</v>
      </c>
      <c r="J59" s="71">
        <f t="shared" si="9"/>
        <v>18147073863.864635</v>
      </c>
      <c r="K59" s="75">
        <f t="shared" si="11"/>
        <v>0</v>
      </c>
      <c r="L59" s="83">
        <f t="shared" si="12"/>
        <v>0</v>
      </c>
      <c r="M59" s="84">
        <f t="shared" si="13"/>
        <v>0</v>
      </c>
    </row>
    <row r="60" spans="1:13" ht="11.25">
      <c r="A60" s="64">
        <f>IF(Cont_Class="List I",MAX(D60,F60),D60+F60)</f>
        <v>1.818531079492128</v>
      </c>
      <c r="B60" s="64">
        <f t="shared" si="4"/>
        <v>0.01243384572382835</v>
      </c>
      <c r="D60" s="64">
        <f t="shared" si="5"/>
        <v>0</v>
      </c>
      <c r="E60" s="64">
        <f t="shared" si="6"/>
        <v>0</v>
      </c>
      <c r="F60" s="64">
        <f t="shared" si="7"/>
        <v>1.818531079492128</v>
      </c>
      <c r="G60" s="64">
        <f t="shared" si="8"/>
        <v>0.01243384572382835</v>
      </c>
      <c r="I60" s="71">
        <f t="shared" si="10"/>
        <v>660.693448007598</v>
      </c>
      <c r="J60" s="71">
        <f t="shared" si="9"/>
        <v>20835628576.36761</v>
      </c>
      <c r="K60" s="75">
        <f t="shared" si="11"/>
        <v>0</v>
      </c>
      <c r="L60" s="83">
        <f t="shared" si="12"/>
        <v>0</v>
      </c>
      <c r="M60" s="84">
        <f t="shared" si="13"/>
        <v>0</v>
      </c>
    </row>
    <row r="61" spans="1:13" ht="11.25">
      <c r="A61" s="64">
        <f t="shared" si="3"/>
        <v>1.8185141552057675</v>
      </c>
      <c r="B61" s="64">
        <f t="shared" si="4"/>
        <v>0.012433802637232368</v>
      </c>
      <c r="D61" s="64">
        <f t="shared" si="5"/>
        <v>0</v>
      </c>
      <c r="E61" s="64">
        <f t="shared" si="6"/>
        <v>0</v>
      </c>
      <c r="F61" s="64">
        <f t="shared" si="7"/>
        <v>1.8185141552057675</v>
      </c>
      <c r="G61" s="64">
        <f t="shared" si="8"/>
        <v>0.012433802637232368</v>
      </c>
      <c r="I61" s="71">
        <f t="shared" si="10"/>
        <v>758.5775750291862</v>
      </c>
      <c r="J61" s="71">
        <f t="shared" si="9"/>
        <v>23922502406.12042</v>
      </c>
      <c r="K61" s="75">
        <f t="shared" si="11"/>
        <v>0</v>
      </c>
      <c r="L61" s="83">
        <f t="shared" si="12"/>
        <v>0</v>
      </c>
      <c r="M61" s="84">
        <f t="shared" si="13"/>
        <v>0</v>
      </c>
    </row>
    <row r="62" spans="1:13" ht="11.25">
      <c r="A62" s="64">
        <f t="shared" si="3"/>
        <v>1.8185026514056728</v>
      </c>
      <c r="B62" s="64">
        <f t="shared" si="4"/>
        <v>0.012433780521947739</v>
      </c>
      <c r="D62" s="64">
        <f t="shared" si="5"/>
        <v>0</v>
      </c>
      <c r="E62" s="64">
        <f t="shared" si="6"/>
        <v>0</v>
      </c>
      <c r="F62" s="64">
        <f t="shared" si="7"/>
        <v>1.8185026514056728</v>
      </c>
      <c r="G62" s="64">
        <f t="shared" si="8"/>
        <v>0.012433780521947739</v>
      </c>
      <c r="I62" s="71">
        <f t="shared" si="10"/>
        <v>870.9635899560834</v>
      </c>
      <c r="J62" s="71">
        <f t="shared" si="9"/>
        <v>27466707772.855045</v>
      </c>
      <c r="K62" s="75">
        <f t="shared" si="11"/>
        <v>0</v>
      </c>
      <c r="L62" s="83">
        <f t="shared" si="12"/>
        <v>0</v>
      </c>
      <c r="M62" s="84">
        <f t="shared" si="13"/>
        <v>0</v>
      </c>
    </row>
    <row r="63" spans="1:13" ht="11.25">
      <c r="A63" s="64">
        <f t="shared" si="3"/>
        <v>1.8184955750482878</v>
      </c>
      <c r="B63" s="64">
        <f>Twolay_Flux+Twolay_defect_flux</f>
        <v>0.012433771627906879</v>
      </c>
      <c r="D63" s="64">
        <f t="shared" si="5"/>
        <v>0</v>
      </c>
      <c r="E63" s="64">
        <f>IF(Cont_Class="List II",List_II_J_TwoLay*Area_two*s_per_day,List_I_J_TwoLay_In*Area_two*s_per_day)</f>
        <v>0</v>
      </c>
      <c r="F63" s="64">
        <f t="shared" si="7"/>
        <v>1.8184955750482878</v>
      </c>
      <c r="G63" s="64">
        <f>Single_Lay_Mass</f>
        <v>0.012433771627906879</v>
      </c>
      <c r="I63" s="71">
        <f>I62*tscale</f>
        <v>1000.0000000000033</v>
      </c>
      <c r="J63" s="71">
        <f t="shared" si="9"/>
        <v>31536000000.000107</v>
      </c>
      <c r="K63" s="75">
        <f t="shared" si="11"/>
        <v>0</v>
      </c>
      <c r="L63" s="83">
        <f t="shared" si="12"/>
        <v>0</v>
      </c>
      <c r="M63" s="84">
        <f t="shared" si="13"/>
        <v>0</v>
      </c>
    </row>
  </sheetData>
  <sheetProtection sheet="1" objects="1" scenarios="1"/>
  <mergeCells count="2">
    <mergeCell ref="F11:G11"/>
    <mergeCell ref="D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Simulations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kmg</dc:creator>
  <cp:keywords/>
  <dc:description/>
  <cp:lastModifiedBy>Hugh Potter</cp:lastModifiedBy>
  <cp:lastPrinted>2004-03-25T16:48:23Z</cp:lastPrinted>
  <dcterms:created xsi:type="dcterms:W3CDTF">2003-12-10T18:13:08Z</dcterms:created>
  <dcterms:modified xsi:type="dcterms:W3CDTF">2004-09-13T11:00:18Z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